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lles de Archiv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98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20" customWidth="1" min="3" max="3"/>
    <col width="25" customWidth="1" min="4" max="4"/>
    <col width="25" customWidth="1" min="5" max="5"/>
    <col width="15" customWidth="1" min="6" max="6"/>
  </cols>
  <sheetData>
    <row r="1">
      <c r="A1" s="1" t="inlineStr">
        <is>
          <t>Nombre de Archivo</t>
        </is>
      </c>
      <c r="B1" s="1" t="inlineStr">
        <is>
          <t>Ruta</t>
        </is>
      </c>
      <c r="C1" s="1" t="inlineStr">
        <is>
          <t>Tamaño (bytes)</t>
        </is>
      </c>
      <c r="D1" s="1" t="inlineStr">
        <is>
          <t>Fecha de Modificación</t>
        </is>
      </c>
      <c r="E1" s="1" t="inlineStr">
        <is>
          <t>Fecha de Creación</t>
        </is>
      </c>
      <c r="F1" s="1" t="inlineStr">
        <is>
          <t>Permisos</t>
        </is>
      </c>
    </row>
    <row r="2">
      <c r="A2" t="inlineStr">
        <is>
          <t>122023 - 62531.xlsx</t>
        </is>
      </c>
      <c r="B2">
        <f>HYPERLINK("C:\Users\lmonroy\Tema\122023 - 62531.xlsx", "Link")</f>
        <v/>
      </c>
      <c r="C2" t="n">
        <v>39630</v>
      </c>
      <c r="D2" t="inlineStr">
        <is>
          <t>2024-01-11 17:01:16</t>
        </is>
      </c>
      <c r="E2" t="inlineStr">
        <is>
          <t>2024-01-10 16:34:16</t>
        </is>
      </c>
      <c r="F2" t="inlineStr">
        <is>
          <t>666</t>
        </is>
      </c>
    </row>
    <row r="3">
      <c r="A3" t="inlineStr">
        <is>
          <t>76408332.pdf</t>
        </is>
      </c>
      <c r="B3">
        <f>HYPERLINK("C:\Users\lmonroy\Tema\76408332.pdf", "Link")</f>
        <v/>
      </c>
      <c r="C3" t="n">
        <v>320399</v>
      </c>
      <c r="D3" t="inlineStr">
        <is>
          <t>2024-02-07 16:20:12</t>
        </is>
      </c>
      <c r="E3" t="inlineStr">
        <is>
          <t>2024-02-07 16:18:59</t>
        </is>
      </c>
      <c r="F3" t="inlineStr">
        <is>
          <t>666</t>
        </is>
      </c>
    </row>
    <row r="4">
      <c r="A4" t="inlineStr">
        <is>
          <t>76408332.prnx</t>
        </is>
      </c>
      <c r="B4">
        <f>HYPERLINK("C:\Users\lmonroy\Tema\76408332.prnx", "Link")</f>
        <v/>
      </c>
      <c r="C4" t="n">
        <v>31144</v>
      </c>
      <c r="D4" t="inlineStr">
        <is>
          <t>2024-02-07 16:18:18</t>
        </is>
      </c>
      <c r="E4" t="inlineStr">
        <is>
          <t>2024-02-07 16:18:18</t>
        </is>
      </c>
      <c r="F4" t="inlineStr">
        <is>
          <t>666</t>
        </is>
      </c>
    </row>
    <row r="5">
      <c r="A5" t="inlineStr">
        <is>
          <t>ACTIVIDADES LUIS MONROY - EN GGPI.pdf</t>
        </is>
      </c>
      <c r="B5">
        <f>HYPERLINK("C:\Users\lmonroy\Tema\ACTIVIDADES LUIS MONROY - EN GGPI.pdf", "Link")</f>
        <v/>
      </c>
      <c r="C5" t="n">
        <v>35946</v>
      </c>
      <c r="D5" t="inlineStr">
        <is>
          <t>2024-03-21 08:42:16</t>
        </is>
      </c>
      <c r="E5" t="inlineStr">
        <is>
          <t>2024-03-21 08:42:15</t>
        </is>
      </c>
      <c r="F5" t="inlineStr">
        <is>
          <t>666</t>
        </is>
      </c>
    </row>
    <row r="6">
      <c r="A6" t="inlineStr">
        <is>
          <t>ACTIVIDADES LUIS MONROY - EN GGPI.xlsx</t>
        </is>
      </c>
      <c r="B6">
        <f>HYPERLINK("C:\Users\lmonroy\Tema\ACTIVIDADES LUIS MONROY - EN GGPI.xlsx", "Link")</f>
        <v/>
      </c>
      <c r="C6" t="n">
        <v>12820</v>
      </c>
      <c r="D6" t="inlineStr">
        <is>
          <t>2024-03-21 09:05:37</t>
        </is>
      </c>
      <c r="E6" t="inlineStr">
        <is>
          <t>2024-03-21 08:42:00</t>
        </is>
      </c>
      <c r="F6" t="inlineStr">
        <is>
          <t>666</t>
        </is>
      </c>
    </row>
    <row r="7">
      <c r="A7" t="inlineStr">
        <is>
          <t>ALTAS 11-12-2023.zip</t>
        </is>
      </c>
      <c r="B7">
        <f>HYPERLINK("C:\Users\lmonroy\Tema\ALTAS 11-12-2023.zip", "Link")</f>
        <v/>
      </c>
      <c r="C7" t="n">
        <v>619830</v>
      </c>
      <c r="D7" t="inlineStr">
        <is>
          <t>2023-12-11 10:33:48</t>
        </is>
      </c>
      <c r="E7" t="inlineStr">
        <is>
          <t>2023-12-11 10:33:48</t>
        </is>
      </c>
      <c r="F7" t="inlineStr">
        <is>
          <t>666</t>
        </is>
      </c>
    </row>
    <row r="8">
      <c r="A8" t="inlineStr">
        <is>
          <t>Archivo.txt</t>
        </is>
      </c>
      <c r="B8">
        <f>HYPERLINK("C:\Users\lmonroy\Tema\Archivo.txt", "Link")</f>
        <v/>
      </c>
      <c r="C8" t="n">
        <v>680</v>
      </c>
      <c r="D8" t="inlineStr">
        <is>
          <t>2024-02-22 14:40:33</t>
        </is>
      </c>
      <c r="E8" t="inlineStr">
        <is>
          <t>2024-02-22 14:37:57</t>
        </is>
      </c>
      <c r="F8" t="inlineStr">
        <is>
          <t>666</t>
        </is>
      </c>
    </row>
    <row r="9">
      <c r="A9" t="inlineStr">
        <is>
          <t>Archivoe5.txt</t>
        </is>
      </c>
      <c r="B9">
        <f>HYPERLINK("C:\Users\lmonroy\Tema\Archivoe5.txt", "Link")</f>
        <v/>
      </c>
      <c r="C9" t="n">
        <v>1122</v>
      </c>
      <c r="D9" t="inlineStr">
        <is>
          <t>2024-02-22 15:48:19</t>
        </is>
      </c>
      <c r="E9" t="inlineStr">
        <is>
          <t>2024-02-22 14:45:12</t>
        </is>
      </c>
      <c r="F9" t="inlineStr">
        <is>
          <t>666</t>
        </is>
      </c>
    </row>
    <row r="10">
      <c r="A10" t="inlineStr">
        <is>
          <t>BCP CCNN - FEBRERO - 2DA QUINCENA - TRANSFERENCIA.xls</t>
        </is>
      </c>
      <c r="B10">
        <f>HYPERLINK("C:\Users\lmonroy\Tema\BCP CCNN - FEBRERO - 2DA QUINCENA - TRANSFERENCIA.xls", "Link")</f>
        <v/>
      </c>
      <c r="C10" t="n">
        <v>230912</v>
      </c>
      <c r="D10" t="inlineStr">
        <is>
          <t>2024-03-01 17:26:01</t>
        </is>
      </c>
      <c r="E10" t="inlineStr">
        <is>
          <t>2024-03-01 15:52:45</t>
        </is>
      </c>
      <c r="F10" t="inlineStr">
        <is>
          <t>666</t>
        </is>
      </c>
    </row>
    <row r="11">
      <c r="A11" t="inlineStr">
        <is>
          <t>BD Personal TEMA.xlsm</t>
        </is>
      </c>
      <c r="B11">
        <f>HYPERLINK("C:\Users\lmonroy\Tema\BD Personal TEMA.xlsm", "Link")</f>
        <v/>
      </c>
      <c r="C11" t="n">
        <v>173104</v>
      </c>
      <c r="D11" t="inlineStr">
        <is>
          <t>2024-03-12 09:00:43</t>
        </is>
      </c>
      <c r="E11" t="inlineStr">
        <is>
          <t>2024-03-12 09:00:43</t>
        </is>
      </c>
      <c r="F11" t="inlineStr">
        <is>
          <t>666</t>
        </is>
      </c>
    </row>
    <row r="12">
      <c r="A12" t="inlineStr">
        <is>
          <t>BD TRABAJADORES TEMA LITOCLEAN.xlsm</t>
        </is>
      </c>
      <c r="B12">
        <f>HYPERLINK("C:\Users\lmonroy\Tema\BD TRABAJADORES TEMA LITOCLEAN.xlsm", "Link")</f>
        <v/>
      </c>
      <c r="C12" t="n">
        <v>559185</v>
      </c>
      <c r="D12" t="inlineStr">
        <is>
          <t>2024-02-08 18:14:20</t>
        </is>
      </c>
      <c r="E12" t="inlineStr">
        <is>
          <t>2024-01-29 22:56:20</t>
        </is>
      </c>
      <c r="F12" t="inlineStr">
        <is>
          <t>666</t>
        </is>
      </c>
    </row>
    <row r="13">
      <c r="A13" t="inlineStr">
        <is>
          <t>BD_TEMA.xlsm</t>
        </is>
      </c>
      <c r="B13">
        <f>HYPERLINK("C:\Users\lmonroy\Tema\BD_TEMA.xlsm", "Link")</f>
        <v/>
      </c>
      <c r="C13" t="n">
        <v>993726</v>
      </c>
      <c r="D13" t="inlineStr">
        <is>
          <t>2024-02-08 12:11:38</t>
        </is>
      </c>
      <c r="E13" t="inlineStr">
        <is>
          <t>2024-01-19 14:12:49</t>
        </is>
      </c>
      <c r="F13" t="inlineStr">
        <is>
          <t>666</t>
        </is>
      </c>
    </row>
    <row r="14">
      <c r="A14" t="inlineStr">
        <is>
          <t>Boletas - 1era Semana Diciembre.zip</t>
        </is>
      </c>
      <c r="B14">
        <f>HYPERLINK("C:\Users\lmonroy\Tema\Boletas - 1era Semana Diciembre.zip", "Link")</f>
        <v/>
      </c>
      <c r="C14" t="n">
        <v>40552457</v>
      </c>
      <c r="D14" t="inlineStr">
        <is>
          <t>2023-12-15 23:20:53</t>
        </is>
      </c>
      <c r="E14" t="inlineStr">
        <is>
          <t>2023-12-15 23:20:51</t>
        </is>
      </c>
      <c r="F14" t="inlineStr">
        <is>
          <t>666</t>
        </is>
      </c>
    </row>
    <row r="15">
      <c r="A15" t="inlineStr">
        <is>
          <t>BOLETAS STAFF - FEBRERO - 2024.pdf</t>
        </is>
      </c>
      <c r="B15">
        <f>HYPERLINK("C:\Users\lmonroy\Tema\BOLETAS STAFF - FEBRERO - 2024.pdf", "Link")</f>
        <v/>
      </c>
      <c r="C15" t="n">
        <v>2293592</v>
      </c>
      <c r="D15" t="inlineStr">
        <is>
          <t>2024-03-05 18:30:46</t>
        </is>
      </c>
      <c r="E15" t="inlineStr">
        <is>
          <t>2024-03-05 18:30:44</t>
        </is>
      </c>
      <c r="F15" t="inlineStr">
        <is>
          <t>666</t>
        </is>
      </c>
    </row>
    <row r="16">
      <c r="A16" t="inlineStr">
        <is>
          <t>CALCULADORA.xlsm</t>
        </is>
      </c>
      <c r="B16">
        <f>HYPERLINK("C:\Users\lmonroy\Tema\CALCULADORA.xlsm", "Link")</f>
        <v/>
      </c>
      <c r="C16" t="n">
        <v>1993513</v>
      </c>
      <c r="D16" t="inlineStr">
        <is>
          <t>2024-03-04 17:42:13</t>
        </is>
      </c>
      <c r="E16" t="inlineStr">
        <is>
          <t>2024-03-01 21:16:22</t>
        </is>
      </c>
      <c r="F16" t="inlineStr">
        <is>
          <t>666</t>
        </is>
      </c>
    </row>
    <row r="17">
      <c r="A17" t="inlineStr">
        <is>
          <t>Copia de Copia de Importación Tasas_Montos-Tema-AF.xls</t>
        </is>
      </c>
      <c r="B17">
        <f>HYPERLINK("C:\Users\lmonroy\Tema\Copia de Copia de Importación Tasas_Montos-Tema-AF.xls", "Link")</f>
        <v/>
      </c>
      <c r="C17" t="n">
        <v>269824</v>
      </c>
      <c r="D17" t="inlineStr">
        <is>
          <t>2024-02-16 15:48:57</t>
        </is>
      </c>
      <c r="E17" t="inlineStr">
        <is>
          <t>2024-02-16 15:48:56</t>
        </is>
      </c>
      <c r="F17" t="inlineStr">
        <is>
          <t>666</t>
        </is>
      </c>
    </row>
    <row r="18">
      <c r="A18" t="inlineStr">
        <is>
          <t>Copia de Importación Tasas_Montos-Tema-012024.xls</t>
        </is>
      </c>
      <c r="B18">
        <f>HYPERLINK("C:\Users\lmonroy\Tema\Copia de Importación Tasas_Montos-Tema-012024.xls", "Link")</f>
        <v/>
      </c>
      <c r="C18" t="n">
        <v>269824</v>
      </c>
      <c r="D18" t="inlineStr">
        <is>
          <t>2024-02-16 15:46:03</t>
        </is>
      </c>
      <c r="E18" t="inlineStr">
        <is>
          <t>2024-02-16 15:45:59</t>
        </is>
      </c>
      <c r="F18" t="inlineStr">
        <is>
          <t>666</t>
        </is>
      </c>
    </row>
    <row r="19">
      <c r="A19" t="inlineStr">
        <is>
          <t>Costo por Categoria CCNN - STAFF.xlsx</t>
        </is>
      </c>
      <c r="B19">
        <f>HYPERLINK("C:\Users\lmonroy\Tema\Costo por Categoria CCNN - STAFF.xlsx", "Link")</f>
        <v/>
      </c>
      <c r="C19" t="n">
        <v>79691</v>
      </c>
      <c r="D19" t="inlineStr">
        <is>
          <t>2024-03-13 14:00:34</t>
        </is>
      </c>
      <c r="E19" t="inlineStr">
        <is>
          <t>2024-03-13 14:00:33</t>
        </is>
      </c>
      <c r="F19" t="inlineStr">
        <is>
          <t>666</t>
        </is>
      </c>
    </row>
    <row r="20">
      <c r="A20" t="inlineStr">
        <is>
          <t>Costo por Categoria CCNN.xlsx</t>
        </is>
      </c>
      <c r="B20">
        <f>HYPERLINK("C:\Users\lmonroy\Tema\Costo por Categoria CCNN.xlsx", "Link")</f>
        <v/>
      </c>
      <c r="C20" t="n">
        <v>402524</v>
      </c>
      <c r="D20" t="inlineStr">
        <is>
          <t>2024-03-13 11:03:27</t>
        </is>
      </c>
      <c r="E20" t="inlineStr">
        <is>
          <t>2024-03-13 11:03:27</t>
        </is>
      </c>
      <c r="F20" t="inlineStr">
        <is>
          <t>666</t>
        </is>
      </c>
    </row>
    <row r="21">
      <c r="A21" t="inlineStr">
        <is>
          <t>COSTOS HORAS EXTRAS - PENDIENTE.xlsx</t>
        </is>
      </c>
      <c r="B21">
        <f>HYPERLINK("C:\Users\lmonroy\Tema\COSTOS HORAS EXTRAS - PENDIENTE.xlsx", "Link")</f>
        <v/>
      </c>
      <c r="C21" t="n">
        <v>253983</v>
      </c>
      <c r="D21" t="inlineStr">
        <is>
          <t>2023-11-29 09:44:09</t>
        </is>
      </c>
      <c r="E21" t="inlineStr">
        <is>
          <t>2023-11-29 08:50:48</t>
        </is>
      </c>
      <c r="F21" t="inlineStr">
        <is>
          <t>666</t>
        </is>
      </c>
    </row>
    <row r="22">
      <c r="A22" t="inlineStr">
        <is>
          <t>COSTOS PLANILLA ENERO 2024 PROYECTO 62531.xlsm</t>
        </is>
      </c>
      <c r="B22">
        <f>HYPERLINK("C:\Users\lmonroy\Tema\COSTOS PLANILLA ENERO 2024 PROYECTO 62531.xlsm", "Link")</f>
        <v/>
      </c>
      <c r="C22" t="n">
        <v>37487</v>
      </c>
      <c r="D22" t="inlineStr">
        <is>
          <t>2024-02-01 11:19:51</t>
        </is>
      </c>
      <c r="E22" t="inlineStr">
        <is>
          <t>2024-02-01 11:19:51</t>
        </is>
      </c>
      <c r="F22" t="inlineStr">
        <is>
          <t>666</t>
        </is>
      </c>
    </row>
    <row r="23">
      <c r="A23" t="inlineStr">
        <is>
          <t>dias laborador.xlsx</t>
        </is>
      </c>
      <c r="B23">
        <f>HYPERLINK("C:\Users\lmonroy\Tema\dias laborador.xlsx", "Link")</f>
        <v/>
      </c>
      <c r="C23" t="n">
        <v>9590</v>
      </c>
      <c r="D23" t="inlineStr">
        <is>
          <t>2024-02-28 05:35:42</t>
        </is>
      </c>
      <c r="E23" t="inlineStr">
        <is>
          <t>2024-02-28 05:35:42</t>
        </is>
      </c>
      <c r="F23" t="inlineStr">
        <is>
          <t>666</t>
        </is>
      </c>
    </row>
    <row r="24">
      <c r="A24" t="inlineStr">
        <is>
          <t>ENERO.rar</t>
        </is>
      </c>
      <c r="B24">
        <f>HYPERLINK("C:\Users\lmonroy\Tema\ENERO.rar", "Link")</f>
        <v/>
      </c>
      <c r="C24" t="n">
        <v>3050432</v>
      </c>
      <c r="D24" t="inlineStr">
        <is>
          <t>2024-01-30 11:40:50</t>
        </is>
      </c>
      <c r="E24" t="inlineStr">
        <is>
          <t>2024-01-30 11:40:49</t>
        </is>
      </c>
      <c r="F24" t="inlineStr">
        <is>
          <t>666</t>
        </is>
      </c>
    </row>
    <row r="25">
      <c r="A25" t="inlineStr">
        <is>
          <t>FORMATO ING PLANILLA 13-03-2024.xlsx</t>
        </is>
      </c>
      <c r="B25">
        <f>HYPERLINK("C:\Users\lmonroy\Tema\FORMATO ING PLANILLA 13-03-2024.xlsx", "Link")</f>
        <v/>
      </c>
      <c r="C25" t="n">
        <v>1343505</v>
      </c>
      <c r="D25" t="inlineStr">
        <is>
          <t>2024-03-13 17:41:50</t>
        </is>
      </c>
      <c r="E25" t="inlineStr">
        <is>
          <t>2024-03-13 17:41:49</t>
        </is>
      </c>
      <c r="F25" t="inlineStr">
        <is>
          <t>666</t>
        </is>
      </c>
    </row>
    <row r="26">
      <c r="A26" t="inlineStr">
        <is>
          <t>FORMULARIO - TEMA.xlsm</t>
        </is>
      </c>
      <c r="B26">
        <f>HYPERLINK("C:\Users\lmonroy\Tema\FORMULARIO - TEMA.xlsm", "Link")</f>
        <v/>
      </c>
      <c r="C26" t="n">
        <v>622410</v>
      </c>
      <c r="D26" t="inlineStr">
        <is>
          <t>2024-03-21 17:12:19</t>
        </is>
      </c>
      <c r="E26" t="inlineStr">
        <is>
          <t>2024-03-13 14:10:50</t>
        </is>
      </c>
      <c r="F26" t="inlineStr">
        <is>
          <t>666</t>
        </is>
      </c>
    </row>
    <row r="27">
      <c r="A27" t="inlineStr">
        <is>
          <t>Importación Tasas_Montos-Tema-012024-CCNN-TOTAL PLANILLA.xls</t>
        </is>
      </c>
      <c r="B27">
        <f>HYPERLINK("C:\Users\lmonroy\Tema\Importación Tasas_Montos-Tema-012024-CCNN-TOTAL PLANILLA.xls", "Link")</f>
        <v/>
      </c>
      <c r="C27" t="n">
        <v>500736</v>
      </c>
      <c r="D27" t="inlineStr">
        <is>
          <t>2024-02-19 10:00:57</t>
        </is>
      </c>
      <c r="E27" t="inlineStr">
        <is>
          <t>2024-02-19 10:00:55</t>
        </is>
      </c>
      <c r="F27" t="inlineStr">
        <is>
          <t>666</t>
        </is>
      </c>
    </row>
    <row r="28">
      <c r="A28" t="inlineStr">
        <is>
          <t>Importación Tasas_Montos-Tema-012024-QUINTA.xls</t>
        </is>
      </c>
      <c r="B28">
        <f>HYPERLINK("C:\Users\lmonroy\Tema\Importación Tasas_Montos-Tema-012024-QUINTA.xls", "Link")</f>
        <v/>
      </c>
      <c r="C28" t="n">
        <v>264192</v>
      </c>
      <c r="D28" t="inlineStr">
        <is>
          <t>2024-02-15 18:01:15</t>
        </is>
      </c>
      <c r="E28" t="inlineStr">
        <is>
          <t>2024-02-15 18:01:13</t>
        </is>
      </c>
      <c r="F28" t="inlineStr">
        <is>
          <t>666</t>
        </is>
      </c>
    </row>
    <row r="29">
      <c r="A29" t="inlineStr">
        <is>
          <t>Importación Tasas_Montos-Tema-012024-STAFF-VACA-CTS.xls</t>
        </is>
      </c>
      <c r="B29">
        <f>HYPERLINK("C:\Users\lmonroy\Tema\Importación Tasas_Montos-Tema-012024-STAFF-VACA-CTS.xls", "Link")</f>
        <v/>
      </c>
      <c r="C29" t="n">
        <v>275968</v>
      </c>
      <c r="D29" t="inlineStr">
        <is>
          <t>2024-02-16 16:53:13</t>
        </is>
      </c>
      <c r="E29" t="inlineStr">
        <is>
          <t>2024-02-16 16:51:15</t>
        </is>
      </c>
      <c r="F29" t="inlineStr">
        <is>
          <t>666</t>
        </is>
      </c>
    </row>
    <row r="30">
      <c r="A30" t="inlineStr">
        <is>
          <t>Importación Tasas_Montos-Tema-012024-STAFF.xls</t>
        </is>
      </c>
      <c r="B30">
        <f>HYPERLINK("C:\Users\lmonroy\Tema\Importación Tasas_Montos-Tema-012024-STAFF.xls", "Link")</f>
        <v/>
      </c>
      <c r="C30" t="n">
        <v>269824</v>
      </c>
      <c r="D30" t="inlineStr">
        <is>
          <t>2024-02-16 15:43:54</t>
        </is>
      </c>
      <c r="E30" t="inlineStr">
        <is>
          <t>2024-02-16 15:40:05</t>
        </is>
      </c>
      <c r="F30" t="inlineStr">
        <is>
          <t>666</t>
        </is>
      </c>
    </row>
    <row r="31">
      <c r="A31" t="inlineStr">
        <is>
          <t>INGRESOS DE TRABAJADORES - TEMA LITOCLEAN - TABLAS.xlsm</t>
        </is>
      </c>
      <c r="B31">
        <f>HYPERLINK("C:\Users\lmonroy\Tema\INGRESOS DE TRABAJADORES - TEMA LITOCLEAN - TABLAS.xlsm", "Link")</f>
        <v/>
      </c>
      <c r="C31" t="n">
        <v>593666</v>
      </c>
      <c r="D31" t="inlineStr">
        <is>
          <t>2024-05-08 16:29:12</t>
        </is>
      </c>
      <c r="E31" t="inlineStr">
        <is>
          <t>2024-03-13 10:36:33</t>
        </is>
      </c>
      <c r="F31" t="inlineStr">
        <is>
          <t>666</t>
        </is>
      </c>
    </row>
    <row r="32">
      <c r="A32" t="inlineStr">
        <is>
          <t>INGRESOS DE TRABAJADORES - TEMA LITOCLEAN.xlsm</t>
        </is>
      </c>
      <c r="B32">
        <f>HYPERLINK("C:\Users\lmonroy\Tema\INGRESOS DE TRABAJADORES - TEMA LITOCLEAN.xlsm", "Link")</f>
        <v/>
      </c>
      <c r="C32" t="n">
        <v>581357</v>
      </c>
      <c r="D32" t="inlineStr">
        <is>
          <t>2024-03-13 10:37:09</t>
        </is>
      </c>
      <c r="E32" t="inlineStr">
        <is>
          <t>2024-03-05 14:20:34</t>
        </is>
      </c>
      <c r="F32" t="inlineStr">
        <is>
          <t>666</t>
        </is>
      </c>
    </row>
    <row r="33">
      <c r="A33" t="inlineStr">
        <is>
          <t>LBS PENDIENTES.xlsx</t>
        </is>
      </c>
      <c r="B33">
        <f>HYPERLINK("C:\Users\lmonroy\Tema\LBS PENDIENTES.xlsx", "Link")</f>
        <v/>
      </c>
      <c r="C33" t="n">
        <v>9884</v>
      </c>
      <c r="D33" t="inlineStr">
        <is>
          <t>2024-02-08 17:40:57</t>
        </is>
      </c>
      <c r="E33" t="inlineStr">
        <is>
          <t>2024-02-08 14:49:15</t>
        </is>
      </c>
      <c r="F33" t="inlineStr">
        <is>
          <t>666</t>
        </is>
      </c>
    </row>
    <row r="34">
      <c r="A34" t="inlineStr">
        <is>
          <t>MACRO ORDEN V6.xlsm</t>
        </is>
      </c>
      <c r="B34">
        <f>HYPERLINK("C:\Users\lmonroy\Tema\MACRO ORDEN V6.xlsm", "Link")</f>
        <v/>
      </c>
      <c r="C34" t="n">
        <v>679459</v>
      </c>
      <c r="D34" t="inlineStr">
        <is>
          <t>2024-03-25 17:44:34</t>
        </is>
      </c>
      <c r="E34" t="inlineStr">
        <is>
          <t>2024-03-25 17:44:33</t>
        </is>
      </c>
      <c r="F34" t="inlineStr">
        <is>
          <t>666</t>
        </is>
      </c>
    </row>
    <row r="35">
      <c r="A35" t="inlineStr">
        <is>
          <t>MASTER DATA BASE.xlsm</t>
        </is>
      </c>
      <c r="B35">
        <f>HYPERLINK("C:\Users\lmonroy\Tema\MASTER DATA BASE.xlsm", "Link")</f>
        <v/>
      </c>
      <c r="C35" t="n">
        <v>303702</v>
      </c>
      <c r="D35" t="inlineStr">
        <is>
          <t>2024-03-25 17:48:14</t>
        </is>
      </c>
      <c r="E35" t="inlineStr">
        <is>
          <t>2024-03-12 09:09:07</t>
        </is>
      </c>
      <c r="F35" t="inlineStr">
        <is>
          <t>666</t>
        </is>
      </c>
    </row>
    <row r="36">
      <c r="A36" t="inlineStr">
        <is>
          <t>Modelo Liquidación.xlsx</t>
        </is>
      </c>
      <c r="B36">
        <f>HYPERLINK("C:\Users\lmonroy\Tema\Modelo Liquidación.xlsx", "Link")</f>
        <v/>
      </c>
      <c r="C36" t="n">
        <v>32197</v>
      </c>
      <c r="D36" t="inlineStr">
        <is>
          <t>2023-12-29 14:52:12</t>
        </is>
      </c>
      <c r="E36" t="inlineStr">
        <is>
          <t>2023-12-29 14:52:10</t>
        </is>
      </c>
      <c r="F36" t="inlineStr">
        <is>
          <t>666</t>
        </is>
      </c>
    </row>
    <row r="37">
      <c r="A37" t="inlineStr">
        <is>
          <t>PAGO DE HE NOVIEMBRE 2023.xlsx</t>
        </is>
      </c>
      <c r="B37">
        <f>HYPERLINK("C:\Users\lmonroy\Tema\PAGO DE HE NOVIEMBRE 2023.xlsx", "Link")</f>
        <v/>
      </c>
      <c r="C37" t="n">
        <v>14276</v>
      </c>
      <c r="D37" t="inlineStr">
        <is>
          <t>2024-02-14 16:02:47</t>
        </is>
      </c>
      <c r="E37" t="inlineStr">
        <is>
          <t>2024-02-14 16:02:46</t>
        </is>
      </c>
      <c r="F37" t="inlineStr">
        <is>
          <t>666</t>
        </is>
      </c>
    </row>
    <row r="38">
      <c r="A38" t="inlineStr">
        <is>
          <t>pago feriados.xlsx</t>
        </is>
      </c>
      <c r="B38">
        <f>HYPERLINK("C:\Users\lmonroy\Tema\pago feriados.xlsx", "Link")</f>
        <v/>
      </c>
      <c r="C38" t="n">
        <v>32185</v>
      </c>
      <c r="D38" t="inlineStr">
        <is>
          <t>2023-12-26 23:51:52</t>
        </is>
      </c>
      <c r="E38" t="inlineStr">
        <is>
          <t>2023-12-26 23:51:52</t>
        </is>
      </c>
      <c r="F38" t="inlineStr">
        <is>
          <t>666</t>
        </is>
      </c>
    </row>
    <row r="39">
      <c r="A39" t="inlineStr">
        <is>
          <t>PAGO PLANILLA CCNN NOVIEMBRE 2023 - 15 DIC 2024.xlsx</t>
        </is>
      </c>
      <c r="B39">
        <f>HYPERLINK("C:\Users\lmonroy\Tema\PAGO PLANILLA CCNN NOVIEMBRE 2023 - 15 DIC 2024.xlsx", "Link")</f>
        <v/>
      </c>
      <c r="C39" t="n">
        <v>526908</v>
      </c>
      <c r="D39" t="inlineStr">
        <is>
          <t>2024-02-08 11:53:44</t>
        </is>
      </c>
      <c r="E39" t="inlineStr">
        <is>
          <t>2024-02-08 11:53:43</t>
        </is>
      </c>
      <c r="F39" t="inlineStr">
        <is>
          <t>666</t>
        </is>
      </c>
    </row>
    <row r="40">
      <c r="A40" t="inlineStr">
        <is>
          <t>planilla 4 trabajadores no tareados.xlsx</t>
        </is>
      </c>
      <c r="B40">
        <f>HYPERLINK("C:\Users\lmonroy\Tema\planilla 4 trabajadores no tareados.xlsx", "Link")</f>
        <v/>
      </c>
      <c r="C40" t="n">
        <v>9615</v>
      </c>
      <c r="D40" t="inlineStr">
        <is>
          <t>2024-01-08 11:19:01</t>
        </is>
      </c>
      <c r="E40" t="inlineStr">
        <is>
          <t>2024-01-08 11:19:01</t>
        </is>
      </c>
      <c r="F40" t="inlineStr">
        <is>
          <t>666</t>
        </is>
      </c>
    </row>
    <row r="41">
      <c r="A41" t="inlineStr">
        <is>
          <t>planilla-2024.xls</t>
        </is>
      </c>
      <c r="B41">
        <f>HYPERLINK("C:\Users\lmonroy\Tema\planilla-2024.xls", "Link")</f>
        <v/>
      </c>
      <c r="C41" t="n">
        <v>632320</v>
      </c>
      <c r="D41" t="inlineStr">
        <is>
          <t>2024-03-06 21:17:51</t>
        </is>
      </c>
      <c r="E41" t="inlineStr">
        <is>
          <t>2024-03-06 21:17:48</t>
        </is>
      </c>
      <c r="F41" t="inlineStr">
        <is>
          <t>666</t>
        </is>
      </c>
    </row>
    <row r="42">
      <c r="A42" t="inlineStr">
        <is>
          <t>PLANILLAS CCNN - NOV DIC - 2023 Y ENE 2024.xlsx</t>
        </is>
      </c>
      <c r="B42">
        <f>HYPERLINK("C:\Users\lmonroy\Tema\PLANILLAS CCNN - NOV DIC - 2023 Y ENE 2024.xlsx", "Link")</f>
        <v/>
      </c>
      <c r="C42" t="n">
        <v>301180</v>
      </c>
      <c r="D42" t="inlineStr">
        <is>
          <t>2024-03-06 13:02:48</t>
        </is>
      </c>
      <c r="E42" t="inlineStr">
        <is>
          <t>2024-03-06 12:09:37</t>
        </is>
      </c>
      <c r="F42" t="inlineStr">
        <is>
          <t>666</t>
        </is>
      </c>
    </row>
    <row r="43">
      <c r="A43" t="inlineStr">
        <is>
          <t>Planillón Enero Validado.xls</t>
        </is>
      </c>
      <c r="B43">
        <f>HYPERLINK("C:\Users\lmonroy\Tema\Planillón Enero Validado.xls", "Link")</f>
        <v/>
      </c>
      <c r="C43" t="n">
        <v>281600</v>
      </c>
      <c r="D43" t="inlineStr">
        <is>
          <t>2024-02-16 12:49:56</t>
        </is>
      </c>
      <c r="E43" t="inlineStr">
        <is>
          <t>2024-02-15 17:22:26</t>
        </is>
      </c>
      <c r="F43" t="inlineStr">
        <is>
          <t>666</t>
        </is>
      </c>
    </row>
    <row r="44">
      <c r="A44" t="inlineStr">
        <is>
          <t>Planillón Enero.xls</t>
        </is>
      </c>
      <c r="B44">
        <f>HYPERLINK("C:\Users\lmonroy\Tema\Planillón Enero.xls", "Link")</f>
        <v/>
      </c>
      <c r="C44" t="n">
        <v>59392</v>
      </c>
      <c r="D44" t="inlineStr">
        <is>
          <t>2024-02-16 17:37:35</t>
        </is>
      </c>
      <c r="E44" t="inlineStr">
        <is>
          <t>2024-02-05 17:19:01</t>
        </is>
      </c>
      <c r="F44" t="inlineStr">
        <is>
          <t>666</t>
        </is>
      </c>
    </row>
    <row r="45">
      <c r="A45" t="inlineStr">
        <is>
          <t>Plantilla Aperturas Cuentas Bancarias BCP 091023.xlsm</t>
        </is>
      </c>
      <c r="B45">
        <f>HYPERLINK("C:\Users\lmonroy\Tema\Plantilla Aperturas Cuentas Bancarias BCP 091023.xlsm", "Link")</f>
        <v/>
      </c>
      <c r="C45" t="n">
        <v>289772</v>
      </c>
      <c r="D45" t="inlineStr">
        <is>
          <t>2023-11-28 14:14:31</t>
        </is>
      </c>
      <c r="E45" t="inlineStr">
        <is>
          <t>2023-11-28 14:14:26</t>
        </is>
      </c>
      <c r="F45" t="inlineStr">
        <is>
          <t>666</t>
        </is>
      </c>
    </row>
    <row r="46">
      <c r="A46" t="inlineStr">
        <is>
          <t>PLLA SUELDO FEBRERO 2024 - CCNN.xlsm</t>
        </is>
      </c>
      <c r="B46">
        <f>HYPERLINK("C:\Users\lmonroy\Tema\PLLA SUELDO FEBRERO 2024 - CCNN.xlsm", "Link")</f>
        <v/>
      </c>
      <c r="C46" t="n">
        <v>2019438</v>
      </c>
      <c r="D46" t="inlineStr">
        <is>
          <t>2024-03-01 18:58:27</t>
        </is>
      </c>
      <c r="E46" t="inlineStr">
        <is>
          <t>2024-02-20 16:46:51</t>
        </is>
      </c>
      <c r="F46" t="inlineStr">
        <is>
          <t>666</t>
        </is>
      </c>
    </row>
    <row r="47">
      <c r="A47" t="inlineStr">
        <is>
          <t>Provisión.xlsx</t>
        </is>
      </c>
      <c r="B47">
        <f>HYPERLINK("C:\Users\lmonroy\Tema\Provisión.xlsx", "Link")</f>
        <v/>
      </c>
      <c r="C47" t="n">
        <v>160628</v>
      </c>
      <c r="D47" t="inlineStr">
        <is>
          <t>2024-02-14 16:30:18</t>
        </is>
      </c>
      <c r="E47" t="inlineStr">
        <is>
          <t>2024-02-14 16:30:17</t>
        </is>
      </c>
      <c r="F47" t="inlineStr">
        <is>
          <t>666</t>
        </is>
      </c>
    </row>
    <row r="48">
      <c r="A48" t="inlineStr">
        <is>
          <t>PU 2023.xlsm</t>
        </is>
      </c>
      <c r="B48">
        <f>HYPERLINK("C:\Users\lmonroy\Tema\PU 2023.xlsm", "Link")</f>
        <v/>
      </c>
      <c r="C48" t="n">
        <v>722744</v>
      </c>
      <c r="D48" t="inlineStr">
        <is>
          <t>2024-03-18 15:01:01</t>
        </is>
      </c>
      <c r="E48" t="inlineStr">
        <is>
          <t>2024-03-18 14:48:15</t>
        </is>
      </c>
      <c r="F48" t="inlineStr">
        <is>
          <t>666</t>
        </is>
      </c>
    </row>
    <row r="49">
      <c r="A49" t="inlineStr">
        <is>
          <t>RP_20521268191.cta</t>
        </is>
      </c>
      <c r="B49">
        <f>HYPERLINK("C:\Users\lmonroy\Tema\RP_20521268191.cta", "Link")</f>
        <v/>
      </c>
      <c r="C49" t="n">
        <v>186</v>
      </c>
      <c r="D49" t="inlineStr">
        <is>
          <t>2024-02-22 17:05:41</t>
        </is>
      </c>
      <c r="E49" t="inlineStr">
        <is>
          <t>2024-02-22 17:02:06</t>
        </is>
      </c>
      <c r="F49" t="inlineStr">
        <is>
          <t>666</t>
        </is>
      </c>
    </row>
    <row r="50">
      <c r="A50" t="inlineStr">
        <is>
          <t>RP_20521268191.edu</t>
        </is>
      </c>
      <c r="B50">
        <f>HYPERLINK("C:\Users\lmonroy\Tema\RP_20521268191.edu", "Link")</f>
        <v/>
      </c>
      <c r="C50" t="n">
        <v>234</v>
      </c>
      <c r="D50" t="inlineStr">
        <is>
          <t>2024-02-22 17:05:36</t>
        </is>
      </c>
      <c r="E50" t="inlineStr">
        <is>
          <t>2024-02-22 17:03:15</t>
        </is>
      </c>
      <c r="F50" t="inlineStr">
        <is>
          <t>666</t>
        </is>
      </c>
    </row>
    <row r="51">
      <c r="A51" t="inlineStr">
        <is>
          <t>RP_20521268191.est</t>
        </is>
      </c>
      <c r="B51">
        <f>HYPERLINK("C:\Users\lmonroy\Tema\RP_20521268191.est", "Link")</f>
        <v/>
      </c>
      <c r="C51" t="n">
        <v>192</v>
      </c>
      <c r="D51" t="inlineStr">
        <is>
          <t>2024-02-22 16:55:15</t>
        </is>
      </c>
      <c r="E51" t="inlineStr">
        <is>
          <t>2024-02-22 16:47:21</t>
        </is>
      </c>
      <c r="F51" t="inlineStr">
        <is>
          <t>666</t>
        </is>
      </c>
    </row>
    <row r="52">
      <c r="A52" t="inlineStr">
        <is>
          <t>RP_20521268191.per.txt</t>
        </is>
      </c>
      <c r="B52">
        <f>HYPERLINK("C:\Users\lmonroy\Tema\RP_20521268191.per.txt", "Link")</f>
        <v/>
      </c>
      <c r="C52" t="n">
        <v>9525</v>
      </c>
      <c r="D52" t="inlineStr">
        <is>
          <t>2024-03-07 12:19:19</t>
        </is>
      </c>
      <c r="E52" t="inlineStr">
        <is>
          <t>2024-03-07 12:19:19</t>
        </is>
      </c>
      <c r="F52" t="inlineStr">
        <is>
          <t>666</t>
        </is>
      </c>
    </row>
    <row r="53">
      <c r="A53" t="inlineStr">
        <is>
          <t>T REGISTRO.xlsm</t>
        </is>
      </c>
      <c r="B53">
        <f>HYPERLINK("C:\Users\lmonroy\Tema\T REGISTRO.xlsm", "Link")</f>
        <v/>
      </c>
      <c r="C53" t="n">
        <v>126118</v>
      </c>
      <c r="D53" t="inlineStr">
        <is>
          <t>2024-03-11 09:40:26</t>
        </is>
      </c>
      <c r="E53" t="inlineStr">
        <is>
          <t>2024-03-10 09:47:18</t>
        </is>
      </c>
      <c r="F53" t="inlineStr">
        <is>
          <t>666</t>
        </is>
      </c>
    </row>
    <row r="54">
      <c r="A54" t="inlineStr">
        <is>
          <t>Tareo 15 diciembre.xlsx</t>
        </is>
      </c>
      <c r="B54">
        <f>HYPERLINK("C:\Users\lmonroy\Tema\Tareo 15 diciembre.xlsx", "Link")</f>
        <v/>
      </c>
      <c r="C54" t="n">
        <v>140785</v>
      </c>
      <c r="D54" t="inlineStr">
        <is>
          <t>2023-12-15 09:23:49</t>
        </is>
      </c>
      <c r="E54" t="inlineStr">
        <is>
          <t>2023-12-15 09:23:49</t>
        </is>
      </c>
      <c r="F54" t="inlineStr">
        <is>
          <t>666</t>
        </is>
      </c>
    </row>
    <row r="55">
      <c r="A55" t="inlineStr">
        <is>
          <t>Trabajadores Dependientes CCNN.xls</t>
        </is>
      </c>
      <c r="B55">
        <f>HYPERLINK("C:\Users\lmonroy\Tema\Trabajadores Dependientes CCNN.xls", "Link")</f>
        <v/>
      </c>
      <c r="C55" t="n">
        <v>99328</v>
      </c>
      <c r="D55" t="inlineStr">
        <is>
          <t>2024-02-19 16:34:39</t>
        </is>
      </c>
      <c r="E55" t="inlineStr">
        <is>
          <t>2024-02-19 16:34:38</t>
        </is>
      </c>
      <c r="F55" t="inlineStr">
        <is>
          <t>666</t>
        </is>
      </c>
    </row>
    <row r="56">
      <c r="A56" t="inlineStr">
        <is>
          <t>Trabajadores Dependientes.xls</t>
        </is>
      </c>
      <c r="B56">
        <f>HYPERLINK("C:\Users\lmonroy\Tema\Trabajadores Dependientes.xls", "Link")</f>
        <v/>
      </c>
      <c r="C56" t="n">
        <v>65024</v>
      </c>
      <c r="D56" t="inlineStr">
        <is>
          <t>2024-02-14 14:57:41</t>
        </is>
      </c>
      <c r="E56" t="inlineStr">
        <is>
          <t>2024-02-06 08:46:12</t>
        </is>
      </c>
      <c r="F56" t="inlineStr">
        <is>
          <t>666</t>
        </is>
      </c>
    </row>
    <row r="57">
      <c r="A57" t="inlineStr">
        <is>
          <t>Trabajadores incluidos en la Planilla Enero 2024.xlsx</t>
        </is>
      </c>
      <c r="B57">
        <f>HYPERLINK("C:\Users\lmonroy\Tema\Trabajadores incluidos en la Planilla Enero 2024.xlsx", "Link")</f>
        <v/>
      </c>
      <c r="C57" t="n">
        <v>65448</v>
      </c>
      <c r="D57" t="inlineStr">
        <is>
          <t>2024-02-06 11:04:15</t>
        </is>
      </c>
      <c r="E57" t="inlineStr">
        <is>
          <t>2024-02-06 11:04:15</t>
        </is>
      </c>
      <c r="F57" t="inlineStr">
        <is>
          <t>666</t>
        </is>
      </c>
    </row>
    <row r="58">
      <c r="A58" t="inlineStr">
        <is>
          <t>Trabajadores Planilla enero - solo CCNN - Staff.xlsx</t>
        </is>
      </c>
      <c r="B58">
        <f>HYPERLINK("C:\Users\lmonroy\Tema\Trabajadores Planilla enero - solo CCNN - Staff.xlsx", "Link")</f>
        <v/>
      </c>
      <c r="C58" t="n">
        <v>82175</v>
      </c>
      <c r="D58" t="inlineStr">
        <is>
          <t>2024-02-06 11:12:25</t>
        </is>
      </c>
      <c r="E58" t="inlineStr">
        <is>
          <t>2024-02-06 11:12:25</t>
        </is>
      </c>
      <c r="F58" t="inlineStr">
        <is>
          <t>666</t>
        </is>
      </c>
    </row>
    <row r="59">
      <c r="A59" t="inlineStr">
        <is>
          <t>VALIDACIÓN DNI - RENIEC.xlsm</t>
        </is>
      </c>
      <c r="B59">
        <f>HYPERLINK("C:\Users\lmonroy\Tema\VALIDACIÓN DNI - RENIEC.xlsm", "Link")</f>
        <v/>
      </c>
      <c r="C59" t="n">
        <v>593114</v>
      </c>
      <c r="D59" t="inlineStr">
        <is>
          <t>2024-03-13 10:55:03</t>
        </is>
      </c>
      <c r="E59" t="inlineStr">
        <is>
          <t>2024-03-13 10:54:51</t>
        </is>
      </c>
      <c r="F59" t="inlineStr">
        <is>
          <t>666</t>
        </is>
      </c>
    </row>
    <row r="60">
      <c r="A60" t="inlineStr">
        <is>
          <t>~$-CT de ODSE - Luis Reaño - Oct 2023.docx</t>
        </is>
      </c>
      <c r="B60">
        <f>HYPERLINK("C:\Users\lmonroy\Tema\~$-CT de ODSE - Luis Reaño - Oct 2023.docx", "Link")</f>
        <v/>
      </c>
      <c r="C60" t="n">
        <v>162</v>
      </c>
      <c r="D60" t="inlineStr">
        <is>
          <t>2023-11-27 16:01:17</t>
        </is>
      </c>
      <c r="E60" t="inlineStr">
        <is>
          <t>2023-11-27 16:01:17</t>
        </is>
      </c>
      <c r="F60" t="inlineStr">
        <is>
          <t>666</t>
        </is>
      </c>
    </row>
    <row r="61">
      <c r="A61" t="inlineStr">
        <is>
          <t>~$ANILLA DE MOVILIDAD - TEMA.docx</t>
        </is>
      </c>
      <c r="B61">
        <f>HYPERLINK("C:\Users\lmonroy\Tema\~$ANILLA DE MOVILIDAD - TEMA.docx", "Link")</f>
        <v/>
      </c>
      <c r="C61" t="n">
        <v>162</v>
      </c>
      <c r="D61" t="inlineStr">
        <is>
          <t>2023-11-27 15:45:47</t>
        </is>
      </c>
      <c r="E61" t="inlineStr">
        <is>
          <t>2023-11-27 15:45:47</t>
        </is>
      </c>
      <c r="F61" t="inlineStr">
        <is>
          <t>666</t>
        </is>
      </c>
    </row>
    <row r="62">
      <c r="A62" t="inlineStr">
        <is>
          <t>CLEMENTE TARICUARIMA MANUEL  T0001061.pdf</t>
        </is>
      </c>
      <c r="B62">
        <f>HYPERLINK("C:\Users\lmonroy\Tema\61850\01. HABILITACION\01. PROFESIONAL\PerAsi\DNI\03855671\04. Contrato\CLEMENTE TARICUARIMA MANUEL  T0001061.pdf", "Link")</f>
        <v/>
      </c>
      <c r="C62" t="n">
        <v>166153</v>
      </c>
      <c r="D62" t="inlineStr">
        <is>
          <t>2024-03-27 08:56:43</t>
        </is>
      </c>
      <c r="E62" t="inlineStr">
        <is>
          <t>2024-03-27 08:56:43</t>
        </is>
      </c>
      <c r="F62" t="inlineStr">
        <is>
          <t>666</t>
        </is>
      </c>
    </row>
    <row r="63">
      <c r="A63" t="inlineStr">
        <is>
          <t>BARDALES PEREZ RISTER AROYO T0001041.xlsx</t>
        </is>
      </c>
      <c r="B63">
        <f>HYPERLINK("C:\Users\lmonroy\Tema\62372\01. HABILITACION\01. PROFESIONAL\PerAsi\DNI\03855671\03. EMO\BARDALES PEREZ RISTER AROYO T0001041.xlsx", "Link")</f>
        <v/>
      </c>
      <c r="C63" t="n">
        <v>8486</v>
      </c>
      <c r="D63" t="inlineStr">
        <is>
          <t>2024-04-23 10:03:21</t>
        </is>
      </c>
      <c r="E63" t="inlineStr">
        <is>
          <t>2024-04-23 10:03:21</t>
        </is>
      </c>
      <c r="F63" t="inlineStr">
        <is>
          <t>666</t>
        </is>
      </c>
    </row>
    <row r="64">
      <c r="A64" t="inlineStr">
        <is>
          <t>CACERES BRENIS ESLANDER ALFREDO T0001044.pdf</t>
        </is>
      </c>
      <c r="B64">
        <f>HYPERLINK("C:\Users\lmonroy\Tema\62372\01. HABILITACION\01. PROFESIONAL\PerAsi\DNI\03855671\07. AntPenPoliJud\CACERES BRENIS ESLANDER ALFREDO T0001044.pdf", "Link")</f>
        <v/>
      </c>
      <c r="C64" t="n">
        <v>166174</v>
      </c>
      <c r="D64" t="inlineStr">
        <is>
          <t>2024-03-27 08:56:54</t>
        </is>
      </c>
      <c r="E64" t="inlineStr">
        <is>
          <t>2024-03-27 08:56:54</t>
        </is>
      </c>
      <c r="F64" t="inlineStr">
        <is>
          <t>666</t>
        </is>
      </c>
    </row>
    <row r="65">
      <c r="A65" t="inlineStr">
        <is>
          <t>ROJAS JOGUISTA JULIAN  T0001275.pdf</t>
        </is>
      </c>
      <c r="B65">
        <f>HYPERLINK("C:\Users\lmonroy\Tema\62832\01. HABILITACION\01. PROFESIONAL\PerAsi\DNI\03855671\06. SeguroVL\ROJAS JOGUISTA JULIAN  T0001275.pdf", "Link")</f>
        <v/>
      </c>
      <c r="C65" t="n">
        <v>166176</v>
      </c>
      <c r="D65" t="inlineStr">
        <is>
          <t>2024-03-27 08:56:58</t>
        </is>
      </c>
      <c r="E65" t="inlineStr">
        <is>
          <t>2024-03-27 08:56:58</t>
        </is>
      </c>
      <c r="F65" t="inlineStr">
        <is>
          <t>666</t>
        </is>
      </c>
    </row>
    <row r="66">
      <c r="A66" t="inlineStr">
        <is>
          <t>CHAVEZ TECO SEGUNDO TEOBALDO T0001055.pdf</t>
        </is>
      </c>
      <c r="B66">
        <f>HYPERLINK("C:\Users\lmonroy\Tema\62832\01. HABILITACION\01. PROFESIONAL\PerAsi\DNI\03855671\09. CarVac\CHAVEZ TECO SEGUNDO TEOBALDO T0001055.pdf", "Link")</f>
        <v/>
      </c>
      <c r="C66" t="n">
        <v>166352</v>
      </c>
      <c r="D66" t="inlineStr">
        <is>
          <t>2024-03-27 08:56:57</t>
        </is>
      </c>
      <c r="E66" t="inlineStr">
        <is>
          <t>2024-03-27 08:56:57</t>
        </is>
      </c>
      <c r="F66" t="inlineStr">
        <is>
          <t>666</t>
        </is>
      </c>
    </row>
    <row r="67">
      <c r="A67" t="inlineStr">
        <is>
          <t>1-100.xls</t>
        </is>
      </c>
      <c r="B67">
        <f>HYPERLINK("C:\Users\lmonroy\Tema\AFP NET\1-100.xls", "Link")</f>
        <v/>
      </c>
      <c r="C67" t="n">
        <v>36352</v>
      </c>
      <c r="D67" t="inlineStr">
        <is>
          <t>2024-02-29 18:31:02</t>
        </is>
      </c>
      <c r="E67" t="inlineStr">
        <is>
          <t>2024-02-20 11:00:57</t>
        </is>
      </c>
      <c r="F67" t="inlineStr">
        <is>
          <t>666</t>
        </is>
      </c>
    </row>
    <row r="68">
      <c r="A68" t="inlineStr">
        <is>
          <t>101-200.xls</t>
        </is>
      </c>
      <c r="B68">
        <f>HYPERLINK("C:\Users\lmonroy\Tema\AFP NET\101-200.xls", "Link")</f>
        <v/>
      </c>
      <c r="C68" t="n">
        <v>36352</v>
      </c>
      <c r="D68" t="inlineStr">
        <is>
          <t>2024-02-29 18:31:02</t>
        </is>
      </c>
      <c r="E68" t="inlineStr">
        <is>
          <t>2024-02-20 11:00:58</t>
        </is>
      </c>
      <c r="F68" t="inlineStr">
        <is>
          <t>666</t>
        </is>
      </c>
    </row>
    <row r="69">
      <c r="A69" t="inlineStr">
        <is>
          <t>201-300.xls</t>
        </is>
      </c>
      <c r="B69">
        <f>HYPERLINK("C:\Users\lmonroy\Tema\AFP NET\201-300.xls", "Link")</f>
        <v/>
      </c>
      <c r="C69" t="n">
        <v>36352</v>
      </c>
      <c r="D69" t="inlineStr">
        <is>
          <t>2024-02-29 18:31:03</t>
        </is>
      </c>
      <c r="E69" t="inlineStr">
        <is>
          <t>2024-02-20 11:00:59</t>
        </is>
      </c>
      <c r="F69" t="inlineStr">
        <is>
          <t>666</t>
        </is>
      </c>
    </row>
    <row r="70">
      <c r="A70" t="inlineStr">
        <is>
          <t>301-400.xls</t>
        </is>
      </c>
      <c r="B70">
        <f>HYPERLINK("C:\Users\lmonroy\Tema\AFP NET\301-400.xls", "Link")</f>
        <v/>
      </c>
      <c r="C70" t="n">
        <v>36352</v>
      </c>
      <c r="D70" t="inlineStr">
        <is>
          <t>2024-02-29 18:31:04</t>
        </is>
      </c>
      <c r="E70" t="inlineStr">
        <is>
          <t>2024-02-20 11:00:59</t>
        </is>
      </c>
      <c r="F70" t="inlineStr">
        <is>
          <t>666</t>
        </is>
      </c>
    </row>
    <row r="71">
      <c r="A71" t="inlineStr">
        <is>
          <t>401-500.xls</t>
        </is>
      </c>
      <c r="B71">
        <f>HYPERLINK("C:\Users\lmonroy\Tema\AFP NET\401-500.xls", "Link")</f>
        <v/>
      </c>
      <c r="C71" t="n">
        <v>36352</v>
      </c>
      <c r="D71" t="inlineStr">
        <is>
          <t>2024-02-29 18:31:05</t>
        </is>
      </c>
      <c r="E71" t="inlineStr">
        <is>
          <t>2024-02-20 11:01:00</t>
        </is>
      </c>
      <c r="F71" t="inlineStr">
        <is>
          <t>666</t>
        </is>
      </c>
    </row>
    <row r="72">
      <c r="A72" t="inlineStr">
        <is>
          <t>501-600.xls</t>
        </is>
      </c>
      <c r="B72">
        <f>HYPERLINK("C:\Users\lmonroy\Tema\AFP NET\501-600.xls", "Link")</f>
        <v/>
      </c>
      <c r="C72" t="n">
        <v>36352</v>
      </c>
      <c r="D72" t="inlineStr">
        <is>
          <t>2024-02-29 18:31:06</t>
        </is>
      </c>
      <c r="E72" t="inlineStr">
        <is>
          <t>2024-02-20 11:01:01</t>
        </is>
      </c>
      <c r="F72" t="inlineStr">
        <is>
          <t>666</t>
        </is>
      </c>
    </row>
    <row r="73">
      <c r="A73" t="inlineStr">
        <is>
          <t>601-632.xls</t>
        </is>
      </c>
      <c r="B73">
        <f>HYPERLINK("C:\Users\lmonroy\Tema\AFP NET\601-632.xls", "Link")</f>
        <v/>
      </c>
      <c r="C73" t="n">
        <v>27648</v>
      </c>
      <c r="D73" t="inlineStr">
        <is>
          <t>2024-02-29 15:02:36</t>
        </is>
      </c>
      <c r="E73" t="inlineStr">
        <is>
          <t>2024-02-20 11:01:01</t>
        </is>
      </c>
      <c r="F73" t="inlineStr">
        <is>
          <t>666</t>
        </is>
      </c>
    </row>
    <row r="74">
      <c r="A74" t="inlineStr">
        <is>
          <t>601-669.xls</t>
        </is>
      </c>
      <c r="B74">
        <f>HYPERLINK("C:\Users\lmonroy\Tema\AFP NET\601-669.xls", "Link")</f>
        <v/>
      </c>
      <c r="C74" t="n">
        <v>34304</v>
      </c>
      <c r="D74" t="inlineStr">
        <is>
          <t>2024-02-29 18:31:06</t>
        </is>
      </c>
      <c r="E74" t="inlineStr">
        <is>
          <t>2024-02-29 18:31:06</t>
        </is>
      </c>
      <c r="F74" t="inlineStr">
        <is>
          <t>666</t>
        </is>
      </c>
    </row>
    <row r="75">
      <c r="A75" t="inlineStr">
        <is>
          <t>altas - 16-02-2023.xls</t>
        </is>
      </c>
      <c r="B75">
        <f>HYPERLINK("C:\Users\lmonroy\Tema\AFP NET\altas - 16-02-2023.xls", "Link")</f>
        <v/>
      </c>
      <c r="C75" t="n">
        <v>26112</v>
      </c>
      <c r="D75" t="inlineStr">
        <is>
          <t>2024-02-16 11:56:51</t>
        </is>
      </c>
      <c r="E75" t="inlineStr">
        <is>
          <t>2024-02-16 11:56:51</t>
        </is>
      </c>
      <c r="F75" t="inlineStr">
        <is>
          <t>666</t>
        </is>
      </c>
    </row>
    <row r="76">
      <c r="A76" t="inlineStr">
        <is>
          <t>altas - 19-02-2024.xls</t>
        </is>
      </c>
      <c r="B76">
        <f>HYPERLINK("C:\Users\lmonroy\Tema\AFP NET\altas - 19-02-2024.xls", "Link")</f>
        <v/>
      </c>
      <c r="C76" t="n">
        <v>27136</v>
      </c>
      <c r="D76" t="inlineStr">
        <is>
          <t>2024-02-19 14:42:09</t>
        </is>
      </c>
      <c r="E76" t="inlineStr">
        <is>
          <t>2024-02-19 14:42:08</t>
        </is>
      </c>
      <c r="F76" t="inlineStr">
        <is>
          <t>666</t>
        </is>
      </c>
    </row>
    <row r="77">
      <c r="A77" t="inlineStr">
        <is>
          <t>altas - 20-02-2023.xls</t>
        </is>
      </c>
      <c r="B77">
        <f>HYPERLINK("C:\Users\lmonroy\Tema\AFP NET\altas - 20-02-2023.xls", "Link")</f>
        <v/>
      </c>
      <c r="C77" t="n">
        <v>26112</v>
      </c>
      <c r="D77" t="inlineStr">
        <is>
          <t>2024-02-19 10:52:01</t>
        </is>
      </c>
      <c r="E77" t="inlineStr">
        <is>
          <t>2024-02-19 10:52:01</t>
        </is>
      </c>
      <c r="F77" t="inlineStr">
        <is>
          <t>666</t>
        </is>
      </c>
    </row>
    <row r="78">
      <c r="A78" t="inlineStr">
        <is>
          <t>altas - 20-02-2024-1.xls</t>
        </is>
      </c>
      <c r="B78">
        <f>HYPERLINK("C:\Users\lmonroy\Tema\AFP NET\altas - 20-02-2024-1.xls", "Link")</f>
        <v/>
      </c>
      <c r="C78" t="n">
        <v>26112</v>
      </c>
      <c r="D78" t="inlineStr">
        <is>
          <t>2024-02-19 11:10:12</t>
        </is>
      </c>
      <c r="E78" t="inlineStr">
        <is>
          <t>2024-02-19 11:10:12</t>
        </is>
      </c>
      <c r="F78" t="inlineStr">
        <is>
          <t>666</t>
        </is>
      </c>
    </row>
    <row r="79">
      <c r="A79" t="inlineStr">
        <is>
          <t>altas - febrero - 2024 -1.xls</t>
        </is>
      </c>
      <c r="B79">
        <f>HYPERLINK("C:\Users\lmonroy\Tema\AFP NET\altas - febrero - 2024 -1.xls", "Link")</f>
        <v/>
      </c>
      <c r="C79" t="n">
        <v>28160</v>
      </c>
      <c r="D79" t="inlineStr">
        <is>
          <t>2024-02-19 17:11:52</t>
        </is>
      </c>
      <c r="E79" t="inlineStr">
        <is>
          <t>2024-02-19 17:11:51</t>
        </is>
      </c>
      <c r="F79" t="inlineStr">
        <is>
          <t>666</t>
        </is>
      </c>
    </row>
    <row r="80">
      <c r="A80" t="inlineStr">
        <is>
          <t>Altas 12-02-2023 CCNN.xls</t>
        </is>
      </c>
      <c r="B80">
        <f>HYPERLINK("C:\Users\lmonroy\Tema\AFP NET\Altas 12-02-2023 CCNN.xls", "Link")</f>
        <v/>
      </c>
      <c r="C80" t="n">
        <v>26112</v>
      </c>
      <c r="D80" t="inlineStr">
        <is>
          <t>2024-02-12 12:02:52</t>
        </is>
      </c>
      <c r="E80" t="inlineStr">
        <is>
          <t>2024-02-12 12:02:51</t>
        </is>
      </c>
      <c r="F80" t="inlineStr">
        <is>
          <t>666</t>
        </is>
      </c>
    </row>
    <row r="81">
      <c r="A81" t="inlineStr">
        <is>
          <t>ALTAS 13-04-2024.xls</t>
        </is>
      </c>
      <c r="B81">
        <f>HYPERLINK("C:\Users\lmonroy\Tema\AFP NET\ALTAS 13-04-2024.xls", "Link")</f>
        <v/>
      </c>
      <c r="C81" t="n">
        <v>26624</v>
      </c>
      <c r="D81" t="inlineStr">
        <is>
          <t>2024-04-13 08:55:53</t>
        </is>
      </c>
      <c r="E81" t="inlineStr">
        <is>
          <t>2024-04-13 08:55:52</t>
        </is>
      </c>
      <c r="F81" t="inlineStr">
        <is>
          <t>666</t>
        </is>
      </c>
    </row>
    <row r="82">
      <c r="A82" t="inlineStr">
        <is>
          <t>Altas 26-02-2024.xls</t>
        </is>
      </c>
      <c r="B82">
        <f>HYPERLINK("C:\Users\lmonroy\Tema\AFP NET\Altas 26-02-2024.xls", "Link")</f>
        <v/>
      </c>
      <c r="C82" t="n">
        <v>26624</v>
      </c>
      <c r="D82" t="inlineStr">
        <is>
          <t>2024-02-26 10:17:10</t>
        </is>
      </c>
      <c r="E82" t="inlineStr">
        <is>
          <t>2024-02-26 10:17:09</t>
        </is>
      </c>
      <c r="F82" t="inlineStr">
        <is>
          <t>666</t>
        </is>
      </c>
    </row>
    <row r="83">
      <c r="A83" t="inlineStr">
        <is>
          <t>CARGA MASIVA - CAMBIO A AFP.xls</t>
        </is>
      </c>
      <c r="B83">
        <f>HYPERLINK("C:\Users\lmonroy\Tema\AFP NET\CARGA MASIVA - CAMBIO A AFP.xls", "Link")</f>
        <v/>
      </c>
      <c r="C83" t="n">
        <v>224768</v>
      </c>
      <c r="D83" t="inlineStr">
        <is>
          <t>2024-02-12 17:06:43</t>
        </is>
      </c>
      <c r="E83" t="inlineStr">
        <is>
          <t>2024-02-09 17:30:22</t>
        </is>
      </c>
      <c r="F83" t="inlineStr">
        <is>
          <t>666</t>
        </is>
      </c>
    </row>
    <row r="84">
      <c r="A84" t="inlineStr">
        <is>
          <t>consultaCUSPPMasiva_001.xlsx</t>
        </is>
      </c>
      <c r="B84">
        <f>HYPERLINK("C:\Users\lmonroy\Tema\AFP NET\consultaCUSPPMasiva_001.xlsx", "Link")</f>
        <v/>
      </c>
      <c r="C84" t="n">
        <v>8751</v>
      </c>
      <c r="D84" t="inlineStr">
        <is>
          <t>2024-02-29 18:33:03</t>
        </is>
      </c>
      <c r="E84" t="inlineStr">
        <is>
          <t>2024-02-29 18:33:03</t>
        </is>
      </c>
      <c r="F84" t="inlineStr">
        <is>
          <t>666</t>
        </is>
      </c>
    </row>
    <row r="85">
      <c r="A85" t="inlineStr">
        <is>
          <t>consultaCUSPPMasiva_002.xlsx</t>
        </is>
      </c>
      <c r="B85">
        <f>HYPERLINK("C:\Users\lmonroy\Tema\AFP NET\consultaCUSPPMasiva_002.xlsx", "Link")</f>
        <v/>
      </c>
      <c r="C85" t="n">
        <v>8848</v>
      </c>
      <c r="D85" t="inlineStr">
        <is>
          <t>2024-02-29 18:33:10</t>
        </is>
      </c>
      <c r="E85" t="inlineStr">
        <is>
          <t>2024-02-29 18:33:10</t>
        </is>
      </c>
      <c r="F85" t="inlineStr">
        <is>
          <t>666</t>
        </is>
      </c>
    </row>
    <row r="86">
      <c r="A86" t="inlineStr">
        <is>
          <t>consultaCUSPPMasiva_003.xlsx</t>
        </is>
      </c>
      <c r="B86">
        <f>HYPERLINK("C:\Users\lmonroy\Tema\AFP NET\consultaCUSPPMasiva_003.xlsx", "Link")</f>
        <v/>
      </c>
      <c r="C86" t="n">
        <v>8158</v>
      </c>
      <c r="D86" t="inlineStr">
        <is>
          <t>2024-02-29 18:33:17</t>
        </is>
      </c>
      <c r="E86" t="inlineStr">
        <is>
          <t>2024-02-29 18:33:17</t>
        </is>
      </c>
      <c r="F86" t="inlineStr">
        <is>
          <t>666</t>
        </is>
      </c>
    </row>
    <row r="87">
      <c r="A87" t="inlineStr">
        <is>
          <t>consultaCUSPPMasiva_004.xlsx</t>
        </is>
      </c>
      <c r="B87">
        <f>HYPERLINK("C:\Users\lmonroy\Tema\AFP NET\consultaCUSPPMasiva_004.xlsx", "Link")</f>
        <v/>
      </c>
      <c r="C87" t="n">
        <v>8592</v>
      </c>
      <c r="D87" t="inlineStr">
        <is>
          <t>2024-02-29 18:33:25</t>
        </is>
      </c>
      <c r="E87" t="inlineStr">
        <is>
          <t>2024-02-29 18:33:24</t>
        </is>
      </c>
      <c r="F87" t="inlineStr">
        <is>
          <t>666</t>
        </is>
      </c>
    </row>
    <row r="88">
      <c r="A88" t="inlineStr">
        <is>
          <t>consultaCUSPPMasiva_005.xlsx</t>
        </is>
      </c>
      <c r="B88">
        <f>HYPERLINK("C:\Users\lmonroy\Tema\AFP NET\consultaCUSPPMasiva_005.xlsx", "Link")</f>
        <v/>
      </c>
      <c r="C88" t="n">
        <v>8830</v>
      </c>
      <c r="D88" t="inlineStr">
        <is>
          <t>2024-02-29 18:33:30</t>
        </is>
      </c>
      <c r="E88" t="inlineStr">
        <is>
          <t>2024-02-29 18:33:30</t>
        </is>
      </c>
      <c r="F88" t="inlineStr">
        <is>
          <t>666</t>
        </is>
      </c>
    </row>
    <row r="89">
      <c r="A89" t="inlineStr">
        <is>
          <t>consultaCUSPPMasiva_006.xlsx</t>
        </is>
      </c>
      <c r="B89">
        <f>HYPERLINK("C:\Users\lmonroy\Tema\AFP NET\consultaCUSPPMasiva_006.xlsx", "Link")</f>
        <v/>
      </c>
      <c r="C89" t="n">
        <v>8445</v>
      </c>
      <c r="D89" t="inlineStr">
        <is>
          <t>2024-02-29 18:33:38</t>
        </is>
      </c>
      <c r="E89" t="inlineStr">
        <is>
          <t>2024-02-29 18:33:37</t>
        </is>
      </c>
      <c r="F89" t="inlineStr">
        <is>
          <t>666</t>
        </is>
      </c>
    </row>
    <row r="90">
      <c r="A90" t="inlineStr">
        <is>
          <t>consultaCUSPPMasiva_007.xlsx</t>
        </is>
      </c>
      <c r="B90">
        <f>HYPERLINK("C:\Users\lmonroy\Tema\AFP NET\consultaCUSPPMasiva_007.xlsx", "Link")</f>
        <v/>
      </c>
      <c r="C90" t="n">
        <v>6187</v>
      </c>
      <c r="D90" t="inlineStr">
        <is>
          <t>2024-02-29 18:33:44</t>
        </is>
      </c>
      <c r="E90" t="inlineStr">
        <is>
          <t>2024-02-29 15:08:57</t>
        </is>
      </c>
      <c r="F90" t="inlineStr">
        <is>
          <t>666</t>
        </is>
      </c>
    </row>
    <row r="91">
      <c r="A91" t="inlineStr">
        <is>
          <t>CONSULTA_ENFERMERA.xls</t>
        </is>
      </c>
      <c r="B91">
        <f>HYPERLINK("C:\Users\lmonroy\Tema\AFP NET\CONSULTA_ENFERMERA.xls", "Link")</f>
        <v/>
      </c>
      <c r="C91" t="n">
        <v>25600</v>
      </c>
      <c r="D91" t="inlineStr">
        <is>
          <t>2024-01-31 11:14:31</t>
        </is>
      </c>
      <c r="E91" t="inlineStr">
        <is>
          <t>2024-01-31 11:14:30</t>
        </is>
      </c>
      <c r="F91" t="inlineStr">
        <is>
          <t>666</t>
        </is>
      </c>
    </row>
    <row r="92">
      <c r="A92" t="inlineStr">
        <is>
          <t>OBS - SIN CUSPP - 05-03-2024.xls</t>
        </is>
      </c>
      <c r="B92">
        <f>HYPERLINK("C:\Users\lmonroy\Tema\AFP NET\OBS - SIN CUSPP - 05-03-2024.xls", "Link")</f>
        <v/>
      </c>
      <c r="C92" t="n">
        <v>27136</v>
      </c>
      <c r="D92" t="inlineStr">
        <is>
          <t>2024-03-05 09:26:22</t>
        </is>
      </c>
      <c r="E92" t="inlineStr">
        <is>
          <t>2024-03-05 09:26:09</t>
        </is>
      </c>
      <c r="F92" t="inlineStr">
        <is>
          <t>666</t>
        </is>
      </c>
    </row>
    <row r="93">
      <c r="A93" t="inlineStr">
        <is>
          <t>pendientes.xls</t>
        </is>
      </c>
      <c r="B93">
        <f>HYPERLINK("C:\Users\lmonroy\Tema\AFP NET\pendientes.xls", "Link")</f>
        <v/>
      </c>
      <c r="C93" t="n">
        <v>27136</v>
      </c>
      <c r="D93" t="inlineStr">
        <is>
          <t>2024-02-13 18:40:30</t>
        </is>
      </c>
      <c r="E93" t="inlineStr">
        <is>
          <t>2024-02-13 18:40:29</t>
        </is>
      </c>
      <c r="F93" t="inlineStr">
        <is>
          <t>666</t>
        </is>
      </c>
    </row>
    <row r="94">
      <c r="A94" t="inlineStr">
        <is>
          <t>Planilla_Nuevo_Formato_Ejemplo (2).xlsx</t>
        </is>
      </c>
      <c r="B94">
        <f>HYPERLINK("C:\Users\lmonroy\Tema\AFP NET\Planilla_Nuevo_Formato_Ejemplo (2).xlsx", "Link")</f>
        <v/>
      </c>
      <c r="C94" t="n">
        <v>24655</v>
      </c>
      <c r="D94" t="inlineStr">
        <is>
          <t>2024-02-09 18:17:16</t>
        </is>
      </c>
      <c r="E94" t="inlineStr">
        <is>
          <t>2024-02-09 17:34:14</t>
        </is>
      </c>
      <c r="F94" t="inlineStr">
        <is>
          <t>666</t>
        </is>
      </c>
    </row>
    <row r="95">
      <c r="A95" t="inlineStr">
        <is>
          <t>Resultado_Unido.xls</t>
        </is>
      </c>
      <c r="B95">
        <f>HYPERLINK("C:\Users\lmonroy\Tema\AFP NET\Resultado_Unido.xls", "Link")</f>
        <v/>
      </c>
      <c r="C95" t="n">
        <v>168448</v>
      </c>
      <c r="D95" t="inlineStr">
        <is>
          <t>2024-02-29 18:51:19</t>
        </is>
      </c>
      <c r="E95" t="inlineStr">
        <is>
          <t>2024-01-30 11:47:48</t>
        </is>
      </c>
      <c r="F95" t="inlineStr">
        <is>
          <t>666</t>
        </is>
      </c>
    </row>
    <row r="96">
      <c r="A96" t="inlineStr">
        <is>
          <t>0-100.xls</t>
        </is>
      </c>
      <c r="B96">
        <f>HYPERLINK("C:\Users\lmonroy\Tema\AFP NET\TREGISTRO\0-100.xls", "Link")</f>
        <v/>
      </c>
      <c r="C96" t="n">
        <v>36864</v>
      </c>
      <c r="D96" t="inlineStr">
        <is>
          <t>2024-01-26 11:40:56</t>
        </is>
      </c>
      <c r="E96" t="inlineStr">
        <is>
          <t>2024-01-26 11:33:40</t>
        </is>
      </c>
      <c r="F96" t="inlineStr">
        <is>
          <t>666</t>
        </is>
      </c>
    </row>
    <row r="97">
      <c r="A97" t="inlineStr">
        <is>
          <t>100-200.xls</t>
        </is>
      </c>
      <c r="B97">
        <f>HYPERLINK("C:\Users\lmonroy\Tema\AFP NET\TREGISTRO\100-200.xls", "Link")</f>
        <v/>
      </c>
      <c r="C97" t="n">
        <v>36864</v>
      </c>
      <c r="D97" t="inlineStr">
        <is>
          <t>2024-01-26 11:40:56</t>
        </is>
      </c>
      <c r="E97" t="inlineStr">
        <is>
          <t>2024-01-26 11:33:41</t>
        </is>
      </c>
      <c r="F97" t="inlineStr">
        <is>
          <t>666</t>
        </is>
      </c>
    </row>
    <row r="98">
      <c r="A98" t="inlineStr">
        <is>
          <t>200-300.xls</t>
        </is>
      </c>
      <c r="B98">
        <f>HYPERLINK("C:\Users\lmonroy\Tema\AFP NET\TREGISTRO\200-300.xls", "Link")</f>
        <v/>
      </c>
      <c r="C98" t="n">
        <v>36864</v>
      </c>
      <c r="D98" t="inlineStr">
        <is>
          <t>2024-01-26 11:40:57</t>
        </is>
      </c>
      <c r="E98" t="inlineStr">
        <is>
          <t>2024-01-26 11:33:41</t>
        </is>
      </c>
      <c r="F98" t="inlineStr">
        <is>
          <t>666</t>
        </is>
      </c>
    </row>
    <row r="99">
      <c r="A99" t="inlineStr">
        <is>
          <t>300-400.xls</t>
        </is>
      </c>
      <c r="B99">
        <f>HYPERLINK("C:\Users\lmonroy\Tema\AFP NET\TREGISTRO\300-400.xls", "Link")</f>
        <v/>
      </c>
      <c r="C99" t="n">
        <v>36864</v>
      </c>
      <c r="D99" t="inlineStr">
        <is>
          <t>2024-01-26 11:40:58</t>
        </is>
      </c>
      <c r="E99" t="inlineStr">
        <is>
          <t>2024-01-26 11:33:42</t>
        </is>
      </c>
      <c r="F99" t="inlineStr">
        <is>
          <t>666</t>
        </is>
      </c>
    </row>
    <row r="100">
      <c r="A100" t="inlineStr">
        <is>
          <t>400-500.xls</t>
        </is>
      </c>
      <c r="B100">
        <f>HYPERLINK("C:\Users\lmonroy\Tema\AFP NET\TREGISTRO\400-500.xls", "Link")</f>
        <v/>
      </c>
      <c r="C100" t="n">
        <v>36864</v>
      </c>
      <c r="D100" t="inlineStr">
        <is>
          <t>2024-01-26 11:40:59</t>
        </is>
      </c>
      <c r="E100" t="inlineStr">
        <is>
          <t>2024-01-26 11:33:43</t>
        </is>
      </c>
      <c r="F100" t="inlineStr">
        <is>
          <t>666</t>
        </is>
      </c>
    </row>
    <row r="101">
      <c r="A101" t="inlineStr">
        <is>
          <t>500-600.xls</t>
        </is>
      </c>
      <c r="B101">
        <f>HYPERLINK("C:\Users\lmonroy\Tema\AFP NET\TREGISTRO\500-600.xls", "Link")</f>
        <v/>
      </c>
      <c r="C101" t="n">
        <v>36864</v>
      </c>
      <c r="D101" t="inlineStr">
        <is>
          <t>2024-01-26 11:40:59</t>
        </is>
      </c>
      <c r="E101" t="inlineStr">
        <is>
          <t>2024-01-26 11:33:43</t>
        </is>
      </c>
      <c r="F101" t="inlineStr">
        <is>
          <t>666</t>
        </is>
      </c>
    </row>
    <row r="102">
      <c r="A102" t="inlineStr">
        <is>
          <t>600-700.xls</t>
        </is>
      </c>
      <c r="B102">
        <f>HYPERLINK("C:\Users\lmonroy\Tema\AFP NET\TREGISTRO\600-700.xls", "Link")</f>
        <v/>
      </c>
      <c r="C102" t="n">
        <v>36864</v>
      </c>
      <c r="D102" t="inlineStr">
        <is>
          <t>2024-01-26 11:41:00</t>
        </is>
      </c>
      <c r="E102" t="inlineStr">
        <is>
          <t>2024-01-26 11:33:44</t>
        </is>
      </c>
      <c r="F102" t="inlineStr">
        <is>
          <t>666</t>
        </is>
      </c>
    </row>
    <row r="103">
      <c r="A103" t="inlineStr">
        <is>
          <t>700-800.xls</t>
        </is>
      </c>
      <c r="B103">
        <f>HYPERLINK("C:\Users\lmonroy\Tema\AFP NET\TREGISTRO\700-800.xls", "Link")</f>
        <v/>
      </c>
      <c r="C103" t="n">
        <v>35840</v>
      </c>
      <c r="D103" t="inlineStr">
        <is>
          <t>2024-01-26 11:41:01</t>
        </is>
      </c>
      <c r="E103" t="inlineStr">
        <is>
          <t>2024-01-26 11:33:45</t>
        </is>
      </c>
      <c r="F103" t="inlineStr">
        <is>
          <t>666</t>
        </is>
      </c>
    </row>
    <row r="104">
      <c r="A104" t="inlineStr">
        <is>
          <t>ALTAS - BAJAS - T REGISTRO 01-02-2024.xlsx</t>
        </is>
      </c>
      <c r="B104">
        <f>HYPERLINK("C:\Users\lmonroy\Tema\ALTAS\ALTAS - BAJAS - T REGISTRO 01-02-2024.xlsx", "Link")</f>
        <v/>
      </c>
      <c r="C104" t="n">
        <v>76068</v>
      </c>
      <c r="D104" t="inlineStr">
        <is>
          <t>2024-02-02 12:04:31</t>
        </is>
      </c>
      <c r="E104" t="inlineStr">
        <is>
          <t>2024-02-02 12:04:31</t>
        </is>
      </c>
      <c r="F104" t="inlineStr">
        <is>
          <t>666</t>
        </is>
      </c>
    </row>
    <row r="105">
      <c r="A105" t="inlineStr">
        <is>
          <t>ALTAS - BAJAS - T REGISTRO 13-02-2024.xlsx</t>
        </is>
      </c>
      <c r="B105">
        <f>HYPERLINK("C:\Users\lmonroy\Tema\ALTAS\ALTAS - BAJAS - T REGISTRO 13-02-2024.xlsx", "Link")</f>
        <v/>
      </c>
      <c r="C105" t="n">
        <v>21345</v>
      </c>
      <c r="D105" t="inlineStr">
        <is>
          <t>2024-02-13 15:39:18</t>
        </is>
      </c>
      <c r="E105" t="inlineStr">
        <is>
          <t>2024-02-13 15:39:18</t>
        </is>
      </c>
      <c r="F105" t="inlineStr">
        <is>
          <t>666</t>
        </is>
      </c>
    </row>
    <row r="106">
      <c r="A106" t="inlineStr">
        <is>
          <t>MODELO_VL - PROYECTO 62531 - ALTAS 01 FEBRERO.xlsx</t>
        </is>
      </c>
      <c r="B106">
        <f>HYPERLINK("C:\Users\lmonroy\Tema\ALTAS\MODELO_VL - PROYECTO 62531 - ALTAS 01 FEBRERO.xlsx", "Link")</f>
        <v/>
      </c>
      <c r="C106" t="n">
        <v>16509</v>
      </c>
      <c r="D106" t="inlineStr">
        <is>
          <t>2024-02-02 12:03:26</t>
        </is>
      </c>
      <c r="E106" t="inlineStr">
        <is>
          <t>2024-02-02 12:03:25</t>
        </is>
      </c>
      <c r="F106" t="inlineStr">
        <is>
          <t>666</t>
        </is>
      </c>
    </row>
    <row r="107">
      <c r="A107" t="inlineStr">
        <is>
          <t>SCTR - ENERO 2024 - 01-02-24.xls</t>
        </is>
      </c>
      <c r="B107">
        <f>HYPERLINK("C:\Users\lmonroy\Tema\ALTAS\SCTR - ENERO 2024 - 01-02-24.xls", "Link")</f>
        <v/>
      </c>
      <c r="C107" t="n">
        <v>179200</v>
      </c>
      <c r="D107" t="inlineStr">
        <is>
          <t>2024-02-02 12:03:00</t>
        </is>
      </c>
      <c r="E107" t="inlineStr">
        <is>
          <t>2024-02-02 12:01:34</t>
        </is>
      </c>
      <c r="F107" t="inlineStr">
        <is>
          <t>666</t>
        </is>
      </c>
    </row>
    <row r="108">
      <c r="A108" t="inlineStr">
        <is>
          <t>001 TUANAMA PINCHE, CARLOS LUIS.pdf</t>
        </is>
      </c>
      <c r="B108">
        <f>HYPERLINK("C:\Users\lmonroy\Tema\ALTAS\ALTAS 11-12-2023\001 TUANAMA PINCHE, CARLOS LUIS.pdf", "Link")</f>
        <v/>
      </c>
      <c r="C108" t="n">
        <v>34938</v>
      </c>
      <c r="D108" t="inlineStr">
        <is>
          <t>2023-12-11 09:58:17</t>
        </is>
      </c>
      <c r="E108" t="inlineStr">
        <is>
          <t>2023-12-11 09:58:17</t>
        </is>
      </c>
      <c r="F108" t="inlineStr">
        <is>
          <t>666</t>
        </is>
      </c>
    </row>
    <row r="109">
      <c r="A109" t="inlineStr">
        <is>
          <t>002 GOMEZ BARBAGELATA, GERMAN.pdf</t>
        </is>
      </c>
      <c r="B109">
        <f>HYPERLINK("C:\Users\lmonroy\Tema\ALTAS\ALTAS 11-12-2023\002 GOMEZ BARBAGELATA, GERMAN.pdf", "Link")</f>
        <v/>
      </c>
      <c r="C109" t="n">
        <v>34974</v>
      </c>
      <c r="D109" t="inlineStr">
        <is>
          <t>2023-12-11 09:58:20</t>
        </is>
      </c>
      <c r="E109" t="inlineStr">
        <is>
          <t>2023-12-11 09:58:20</t>
        </is>
      </c>
      <c r="F109" t="inlineStr">
        <is>
          <t>666</t>
        </is>
      </c>
    </row>
    <row r="110">
      <c r="A110" t="inlineStr">
        <is>
          <t>003 ORTEGA FUENTES, JAVIER ARTURO.pdf</t>
        </is>
      </c>
      <c r="B110">
        <f>HYPERLINK("C:\Users\lmonroy\Tema\ALTAS\ALTAS 11-12-2023\003 ORTEGA FUENTES, JAVIER ARTURO.pdf", "Link")</f>
        <v/>
      </c>
      <c r="C110" t="n">
        <v>34953</v>
      </c>
      <c r="D110" t="inlineStr">
        <is>
          <t>2023-12-11 09:58:22</t>
        </is>
      </c>
      <c r="E110" t="inlineStr">
        <is>
          <t>2023-12-11 09:58:22</t>
        </is>
      </c>
      <c r="F110" t="inlineStr">
        <is>
          <t>666</t>
        </is>
      </c>
    </row>
    <row r="111">
      <c r="A111" t="inlineStr">
        <is>
          <t>004 ANDRADE NUÑEZ, ARTI LEO.pdf</t>
        </is>
      </c>
      <c r="B111">
        <f>HYPERLINK("C:\Users\lmonroy\Tema\ALTAS\ALTAS 11-12-2023\004 ANDRADE NUÑEZ, ARTI LEO.pdf", "Link")</f>
        <v/>
      </c>
      <c r="C111" t="n">
        <v>34976</v>
      </c>
      <c r="D111" t="inlineStr">
        <is>
          <t>2023-12-11 09:58:24</t>
        </is>
      </c>
      <c r="E111" t="inlineStr">
        <is>
          <t>2023-12-11 09:58:24</t>
        </is>
      </c>
      <c r="F111" t="inlineStr">
        <is>
          <t>666</t>
        </is>
      </c>
    </row>
    <row r="112">
      <c r="A112" t="inlineStr">
        <is>
          <t>005 ARIRAMA CANAQUIRI, OCTAVIO.pdf</t>
        </is>
      </c>
      <c r="B112">
        <f>HYPERLINK("C:\Users\lmonroy\Tema\ALTAS\ALTAS 11-12-2023\005 ARIRAMA CANAQUIRI, OCTAVIO.pdf", "Link")</f>
        <v/>
      </c>
      <c r="C112" t="n">
        <v>35452</v>
      </c>
      <c r="D112" t="inlineStr">
        <is>
          <t>2023-12-11 09:58:25</t>
        </is>
      </c>
      <c r="E112" t="inlineStr">
        <is>
          <t>2023-12-11 09:58:25</t>
        </is>
      </c>
      <c r="F112" t="inlineStr">
        <is>
          <t>666</t>
        </is>
      </c>
    </row>
    <row r="113">
      <c r="A113" t="inlineStr">
        <is>
          <t>006 ARIRAMA SANDI, FELIX.pdf</t>
        </is>
      </c>
      <c r="B113">
        <f>HYPERLINK("C:\Users\lmonroy\Tema\ALTAS\ALTAS 11-12-2023\006 ARIRAMA SANDI, FELIX.pdf", "Link")</f>
        <v/>
      </c>
      <c r="C113" t="n">
        <v>34982</v>
      </c>
      <c r="D113" t="inlineStr">
        <is>
          <t>2023-12-11 09:58:27</t>
        </is>
      </c>
      <c r="E113" t="inlineStr">
        <is>
          <t>2023-12-11 09:58:26</t>
        </is>
      </c>
      <c r="F113" t="inlineStr">
        <is>
          <t>666</t>
        </is>
      </c>
    </row>
    <row r="114">
      <c r="A114" t="inlineStr">
        <is>
          <t>007 BARDALES RODRIGUEZ, CLEISEN.pdf</t>
        </is>
      </c>
      <c r="B114">
        <f>HYPERLINK("C:\Users\lmonroy\Tema\ALTAS\ALTAS 11-12-2023\007 BARDALES RODRIGUEZ, CLEISEN.pdf", "Link")</f>
        <v/>
      </c>
      <c r="C114" t="n">
        <v>35489</v>
      </c>
      <c r="D114" t="inlineStr">
        <is>
          <t>2023-12-11 09:58:29</t>
        </is>
      </c>
      <c r="E114" t="inlineStr">
        <is>
          <t>2023-12-11 09:58:28</t>
        </is>
      </c>
      <c r="F114" t="inlineStr">
        <is>
          <t>666</t>
        </is>
      </c>
    </row>
    <row r="115">
      <c r="A115" t="inlineStr">
        <is>
          <t>008 BARDALES SANCHEZ, BRALIN.pdf</t>
        </is>
      </c>
      <c r="B115">
        <f>HYPERLINK("C:\Users\lmonroy\Tema\ALTAS\ALTAS 11-12-2023\008 BARDALES SANCHEZ, BRALIN.pdf", "Link")</f>
        <v/>
      </c>
      <c r="C115" t="n">
        <v>34979</v>
      </c>
      <c r="D115" t="inlineStr">
        <is>
          <t>2023-12-11 09:58:30</t>
        </is>
      </c>
      <c r="E115" t="inlineStr">
        <is>
          <t>2023-12-11 09:58:29</t>
        </is>
      </c>
      <c r="F115" t="inlineStr">
        <is>
          <t>666</t>
        </is>
      </c>
    </row>
    <row r="116">
      <c r="A116" t="inlineStr">
        <is>
          <t>009 CHARPENTIER MURAYARI, REIMER.pdf</t>
        </is>
      </c>
      <c r="B116">
        <f>HYPERLINK("C:\Users\lmonroy\Tema\ALTAS\ALTAS 11-12-2023\009 CHARPENTIER MURAYARI, REIMER.pdf", "Link")</f>
        <v/>
      </c>
      <c r="C116" t="n">
        <v>35036</v>
      </c>
      <c r="D116" t="inlineStr">
        <is>
          <t>2023-12-11 09:58:31</t>
        </is>
      </c>
      <c r="E116" t="inlineStr">
        <is>
          <t>2023-12-11 09:58:31</t>
        </is>
      </c>
      <c r="F116" t="inlineStr">
        <is>
          <t>666</t>
        </is>
      </c>
    </row>
    <row r="117">
      <c r="A117" t="inlineStr">
        <is>
          <t>010 CHOTA HUALINGA, JOSE.pdf</t>
        </is>
      </c>
      <c r="B117">
        <f>HYPERLINK("C:\Users\lmonroy\Tema\ALTAS\ALTAS 11-12-2023\010 CHOTA HUALINGA, JOSE.pdf", "Link")</f>
        <v/>
      </c>
      <c r="C117" t="n">
        <v>35447</v>
      </c>
      <c r="D117" t="inlineStr">
        <is>
          <t>2023-12-11 09:58:35</t>
        </is>
      </c>
      <c r="E117" t="inlineStr">
        <is>
          <t>2023-12-11 09:58:34</t>
        </is>
      </c>
      <c r="F117" t="inlineStr">
        <is>
          <t>666</t>
        </is>
      </c>
    </row>
    <row r="118">
      <c r="A118" t="inlineStr">
        <is>
          <t>011 CHOTA NURIBE, RICARDO.pdf</t>
        </is>
      </c>
      <c r="B118">
        <f>HYPERLINK("C:\Users\lmonroy\Tema\ALTAS\ALTAS 11-12-2023\011 CHOTA NURIBE, RICARDO.pdf", "Link")</f>
        <v/>
      </c>
      <c r="C118" t="n">
        <v>35457</v>
      </c>
      <c r="D118" t="inlineStr">
        <is>
          <t>2023-12-11 09:58:36</t>
        </is>
      </c>
      <c r="E118" t="inlineStr">
        <is>
          <t>2023-12-11 09:58:36</t>
        </is>
      </c>
      <c r="F118" t="inlineStr">
        <is>
          <t>666</t>
        </is>
      </c>
    </row>
    <row r="119">
      <c r="A119" t="inlineStr">
        <is>
          <t>012 CHOTA NURIBE, SEGUNDO JOSE.pdf</t>
        </is>
      </c>
      <c r="B119">
        <f>HYPERLINK("C:\Users\lmonroy\Tema\ALTAS\ALTAS 11-12-2023\012 CHOTA NURIBE, SEGUNDO JOSE.pdf", "Link")</f>
        <v/>
      </c>
      <c r="C119" t="n">
        <v>34980</v>
      </c>
      <c r="D119" t="inlineStr">
        <is>
          <t>2023-12-11 09:58:38</t>
        </is>
      </c>
      <c r="E119" t="inlineStr">
        <is>
          <t>2023-12-11 09:58:38</t>
        </is>
      </c>
      <c r="F119" t="inlineStr">
        <is>
          <t>666</t>
        </is>
      </c>
    </row>
    <row r="120">
      <c r="A120" t="inlineStr">
        <is>
          <t>013 CUNAYA OJEICATE, RIGOBERTO.pdf</t>
        </is>
      </c>
      <c r="B120">
        <f>HYPERLINK("C:\Users\lmonroy\Tema\ALTAS\ALTAS 11-12-2023\013 CUNAYA OJEICATE, RIGOBERTO.pdf", "Link")</f>
        <v/>
      </c>
      <c r="C120" t="n">
        <v>35468</v>
      </c>
      <c r="D120" t="inlineStr">
        <is>
          <t>2023-12-11 09:58:40</t>
        </is>
      </c>
      <c r="E120" t="inlineStr">
        <is>
          <t>2023-12-11 09:58:40</t>
        </is>
      </c>
      <c r="F120" t="inlineStr">
        <is>
          <t>666</t>
        </is>
      </c>
    </row>
    <row r="121">
      <c r="A121" t="inlineStr">
        <is>
          <t>014 CURI MURAYARI, HILDEBRANDO.pdf</t>
        </is>
      </c>
      <c r="B121">
        <f>HYPERLINK("C:\Users\lmonroy\Tema\ALTAS\ALTAS 11-12-2023\014 CURI MURAYARI, HILDEBRANDO.pdf", "Link")</f>
        <v/>
      </c>
      <c r="C121" t="n">
        <v>35459</v>
      </c>
      <c r="D121" t="inlineStr">
        <is>
          <t>2023-12-11 09:58:42</t>
        </is>
      </c>
      <c r="E121" t="inlineStr">
        <is>
          <t>2023-12-11 09:58:42</t>
        </is>
      </c>
      <c r="F121" t="inlineStr">
        <is>
          <t>666</t>
        </is>
      </c>
    </row>
    <row r="122">
      <c r="A122" t="inlineStr">
        <is>
          <t>015 CURITIMA IRARICA, EDGAR.pdf</t>
        </is>
      </c>
      <c r="B122">
        <f>HYPERLINK("C:\Users\lmonroy\Tema\ALTAS\ALTAS 11-12-2023\015 CURITIMA IRARICA, EDGAR.pdf", "Link")</f>
        <v/>
      </c>
      <c r="C122" t="n">
        <v>35458</v>
      </c>
      <c r="D122" t="inlineStr">
        <is>
          <t>2023-12-11 10:16:32</t>
        </is>
      </c>
      <c r="E122" t="inlineStr">
        <is>
          <t>2023-12-11 10:16:31</t>
        </is>
      </c>
      <c r="F122" t="inlineStr">
        <is>
          <t>666</t>
        </is>
      </c>
    </row>
    <row r="123">
      <c r="A123" t="inlineStr">
        <is>
          <t>016 DORADO CASTRO, RAFAEL.pdf</t>
        </is>
      </c>
      <c r="B123">
        <f>HYPERLINK("C:\Users\lmonroy\Tema\ALTAS\ALTAS 11-12-2023\016 DORADO CASTRO, RAFAEL.pdf", "Link")</f>
        <v/>
      </c>
      <c r="C123" t="n">
        <v>35008</v>
      </c>
      <c r="D123" t="inlineStr">
        <is>
          <t>2023-12-11 09:58:52</t>
        </is>
      </c>
      <c r="E123" t="inlineStr">
        <is>
          <t>2023-12-11 09:58:52</t>
        </is>
      </c>
      <c r="F123" t="inlineStr">
        <is>
          <t>666</t>
        </is>
      </c>
    </row>
    <row r="124">
      <c r="A124" t="inlineStr">
        <is>
          <t>017 GOMEZ MANAJO, RICHARD.pdf</t>
        </is>
      </c>
      <c r="B124">
        <f>HYPERLINK("C:\Users\lmonroy\Tema\ALTAS\ALTAS 11-12-2023\017 GOMEZ MANAJO, RICHARD.pdf", "Link")</f>
        <v/>
      </c>
      <c r="C124" t="n">
        <v>34971</v>
      </c>
      <c r="D124" t="inlineStr">
        <is>
          <t>2023-12-11 09:58:53</t>
        </is>
      </c>
      <c r="E124" t="inlineStr">
        <is>
          <t>2023-12-11 09:58:53</t>
        </is>
      </c>
      <c r="F124" t="inlineStr">
        <is>
          <t>666</t>
        </is>
      </c>
    </row>
    <row r="125">
      <c r="A125" t="inlineStr">
        <is>
          <t>018 HUARATAPAIRO ISUZA, WITHMER.pdf</t>
        </is>
      </c>
      <c r="B125">
        <f>HYPERLINK("C:\Users\lmonroy\Tema\ALTAS\ALTAS 11-12-2023\018 HUARATAPAIRO ISUZA, WITHMER.pdf", "Link")</f>
        <v/>
      </c>
      <c r="C125" t="n">
        <v>35480</v>
      </c>
      <c r="D125" t="inlineStr">
        <is>
          <t>2023-12-11 09:58:55</t>
        </is>
      </c>
      <c r="E125" t="inlineStr">
        <is>
          <t>2023-12-11 09:58:55</t>
        </is>
      </c>
      <c r="F125" t="inlineStr">
        <is>
          <t>666</t>
        </is>
      </c>
    </row>
    <row r="126">
      <c r="A126" t="inlineStr">
        <is>
          <t>019 INUMA NURIBE, JULIO.pdf</t>
        </is>
      </c>
      <c r="B126">
        <f>HYPERLINK("C:\Users\lmonroy\Tema\ALTAS\ALTAS 11-12-2023\019 INUMA NURIBE, JULIO.pdf", "Link")</f>
        <v/>
      </c>
      <c r="C126" t="n">
        <v>35445</v>
      </c>
      <c r="D126" t="inlineStr">
        <is>
          <t>2023-12-11 09:58:56</t>
        </is>
      </c>
      <c r="E126" t="inlineStr">
        <is>
          <t>2023-12-11 09:58:56</t>
        </is>
      </c>
      <c r="F126" t="inlineStr">
        <is>
          <t>666</t>
        </is>
      </c>
    </row>
    <row r="127">
      <c r="A127" t="inlineStr">
        <is>
          <t>020 MACUSI AHUITE, ARTEMIO.pdf</t>
        </is>
      </c>
      <c r="B127">
        <f>HYPERLINK("C:\Users\lmonroy\Tema\ALTAS\ALTAS 11-12-2023\020 MACUSI AHUITE, ARTEMIO.pdf", "Link")</f>
        <v/>
      </c>
      <c r="C127" t="n">
        <v>35457</v>
      </c>
      <c r="D127" t="inlineStr">
        <is>
          <t>2023-12-11 09:58:57</t>
        </is>
      </c>
      <c r="E127" t="inlineStr">
        <is>
          <t>2023-12-11 09:58:57</t>
        </is>
      </c>
      <c r="F127" t="inlineStr">
        <is>
          <t>666</t>
        </is>
      </c>
    </row>
    <row r="128">
      <c r="A128" t="inlineStr">
        <is>
          <t>021 MACUSI RUIZ, ANTONIO.pdf</t>
        </is>
      </c>
      <c r="B128">
        <f>HYPERLINK("C:\Users\lmonroy\Tema\ALTAS\ALTAS 11-12-2023\021 MACUSI RUIZ, ANTONIO.pdf", "Link")</f>
        <v/>
      </c>
      <c r="C128" t="n">
        <v>35456</v>
      </c>
      <c r="D128" t="inlineStr">
        <is>
          <t>2023-12-11 10:22:41</t>
        </is>
      </c>
      <c r="E128" t="inlineStr">
        <is>
          <t>2023-12-11 10:22:40</t>
        </is>
      </c>
      <c r="F128" t="inlineStr">
        <is>
          <t>666</t>
        </is>
      </c>
    </row>
    <row r="129">
      <c r="A129" t="inlineStr">
        <is>
          <t>022 MANAJO SABOYA, TEDDY.pdf</t>
        </is>
      </c>
      <c r="B129">
        <f>HYPERLINK("C:\Users\lmonroy\Tema\ALTAS\ALTAS 11-12-2023\022 MANAJO SABOYA, TEDDY.pdf", "Link")</f>
        <v/>
      </c>
      <c r="C129" t="n">
        <v>35443</v>
      </c>
      <c r="D129" t="inlineStr">
        <is>
          <t>2023-12-11 09:59:00</t>
        </is>
      </c>
      <c r="E129" t="inlineStr">
        <is>
          <t>2023-12-11 09:58:59</t>
        </is>
      </c>
      <c r="F129" t="inlineStr">
        <is>
          <t>666</t>
        </is>
      </c>
    </row>
    <row r="130">
      <c r="A130" t="inlineStr">
        <is>
          <t>023 MAYANCHI ARANDA, OSCAR GENARO.pdf</t>
        </is>
      </c>
      <c r="B130">
        <f>HYPERLINK("C:\Users\lmonroy\Tema\ALTAS\ALTAS 11-12-2023\023 MAYANCHI ARANDA, OSCAR GENARO.pdf", "Link")</f>
        <v/>
      </c>
      <c r="C130" t="n">
        <v>35466</v>
      </c>
      <c r="D130" t="inlineStr">
        <is>
          <t>2023-12-11 10:23:45</t>
        </is>
      </c>
      <c r="E130" t="inlineStr">
        <is>
          <t>2023-12-11 10:23:44</t>
        </is>
      </c>
      <c r="F130" t="inlineStr">
        <is>
          <t>666</t>
        </is>
      </c>
    </row>
    <row r="131">
      <c r="A131" t="inlineStr">
        <is>
          <t>024 MELENDEZ FLORES, ADAN.pdf</t>
        </is>
      </c>
      <c r="B131">
        <f>HYPERLINK("C:\Users\lmonroy\Tema\ALTAS\ALTAS 11-12-2023\024 MELENDEZ FLORES, ADAN.pdf", "Link")</f>
        <v/>
      </c>
      <c r="C131" t="n">
        <v>35465</v>
      </c>
      <c r="D131" t="inlineStr">
        <is>
          <t>2023-12-11 09:59:05</t>
        </is>
      </c>
      <c r="E131" t="inlineStr">
        <is>
          <t>2023-12-11 09:59:05</t>
        </is>
      </c>
      <c r="F131" t="inlineStr">
        <is>
          <t>666</t>
        </is>
      </c>
    </row>
    <row r="132">
      <c r="A132" t="inlineStr">
        <is>
          <t>025 MURAYARI MANIHUARI, SEGUNDO.pdf</t>
        </is>
      </c>
      <c r="B132">
        <f>HYPERLINK("C:\Users\lmonroy\Tema\ALTAS\ALTAS 11-12-2023\025 MURAYARI MANIHUARI, SEGUNDO.pdf", "Link")</f>
        <v/>
      </c>
      <c r="C132" t="n">
        <v>35468</v>
      </c>
      <c r="D132" t="inlineStr">
        <is>
          <t>2023-12-11 09:59:07</t>
        </is>
      </c>
      <c r="E132" t="inlineStr">
        <is>
          <t>2023-12-11 09:59:07</t>
        </is>
      </c>
      <c r="F132" t="inlineStr">
        <is>
          <t>666</t>
        </is>
      </c>
    </row>
    <row r="133">
      <c r="A133" t="inlineStr">
        <is>
          <t>026 MURAYARI MURAYARI, GILSER.pdf</t>
        </is>
      </c>
      <c r="B133">
        <f>HYPERLINK("C:\Users\lmonroy\Tema\ALTAS\ALTAS 11-12-2023\026 MURAYARI MURAYARI, GILSER.pdf", "Link")</f>
        <v/>
      </c>
      <c r="C133" t="n">
        <v>35453</v>
      </c>
      <c r="D133" t="inlineStr">
        <is>
          <t>2023-12-11 09:59:09</t>
        </is>
      </c>
      <c r="E133" t="inlineStr">
        <is>
          <t>2023-12-11 09:59:08</t>
        </is>
      </c>
      <c r="F133" t="inlineStr">
        <is>
          <t>666</t>
        </is>
      </c>
    </row>
    <row r="134">
      <c r="A134" t="inlineStr">
        <is>
          <t>027 MURAYARI SORIA, ELIAS RAFAEL.pdf</t>
        </is>
      </c>
      <c r="B134">
        <f>HYPERLINK("C:\Users\lmonroy\Tema\ALTAS\ALTAS 11-12-2023\027 MURAYARI SORIA, ELIAS RAFAEL.pdf", "Link")</f>
        <v/>
      </c>
      <c r="C134" t="n">
        <v>34966</v>
      </c>
      <c r="D134" t="inlineStr">
        <is>
          <t>2023-12-11 09:59:12</t>
        </is>
      </c>
      <c r="E134" t="inlineStr">
        <is>
          <t>2023-12-11 09:59:11</t>
        </is>
      </c>
      <c r="F134" t="inlineStr">
        <is>
          <t>666</t>
        </is>
      </c>
    </row>
    <row r="135">
      <c r="A135" t="inlineStr">
        <is>
          <t>028 OCUMBE OJANAMA, ANTHONI.pdf</t>
        </is>
      </c>
      <c r="B135">
        <f>HYPERLINK("C:\Users\lmonroy\Tema\ALTAS\ALTAS 11-12-2023\028 OCUMBE OJANAMA, ANTHONI.pdf", "Link")</f>
        <v/>
      </c>
      <c r="C135" t="n">
        <v>34984</v>
      </c>
      <c r="D135" t="inlineStr">
        <is>
          <t>2023-12-11 10:24:54</t>
        </is>
      </c>
      <c r="E135" t="inlineStr">
        <is>
          <t>2023-12-11 10:24:53</t>
        </is>
      </c>
      <c r="F135" t="inlineStr">
        <is>
          <t>666</t>
        </is>
      </c>
    </row>
    <row r="136">
      <c r="A136" t="inlineStr">
        <is>
          <t>029 PIZANGO PACAYA, KELVIN.pdf</t>
        </is>
      </c>
      <c r="B136">
        <f>HYPERLINK("C:\Users\lmonroy\Tema\ALTAS\ALTAS 11-12-2023\029 PIZANGO PACAYA, KELVIN.pdf", "Link")</f>
        <v/>
      </c>
      <c r="C136" t="n">
        <v>35017</v>
      </c>
      <c r="D136" t="inlineStr">
        <is>
          <t>2023-12-11 10:27:11</t>
        </is>
      </c>
      <c r="E136" t="inlineStr">
        <is>
          <t>2023-12-11 10:27:09</t>
        </is>
      </c>
      <c r="F136" t="inlineStr">
        <is>
          <t>666</t>
        </is>
      </c>
    </row>
    <row r="137">
      <c r="A137" t="inlineStr">
        <is>
          <t>030 RAMIREZ PANDURO, MANUEL.pdf</t>
        </is>
      </c>
      <c r="B137">
        <f>HYPERLINK("C:\Users\lmonroy\Tema\ALTAS\ALTAS 11-12-2023\030 RAMIREZ PANDURO, MANUEL.pdf", "Link")</f>
        <v/>
      </c>
      <c r="C137" t="n">
        <v>35458</v>
      </c>
      <c r="D137" t="inlineStr">
        <is>
          <t>2023-12-11 09:59:18</t>
        </is>
      </c>
      <c r="E137" t="inlineStr">
        <is>
          <t>2023-12-11 09:59:18</t>
        </is>
      </c>
      <c r="F137" t="inlineStr">
        <is>
          <t>666</t>
        </is>
      </c>
    </row>
    <row r="138">
      <c r="A138" t="inlineStr">
        <is>
          <t>031 SANCHEZ MACA, GIN AXEL.pdf</t>
        </is>
      </c>
      <c r="B138">
        <f>HYPERLINK("C:\Users\lmonroy\Tema\ALTAS\ALTAS 11-12-2023\031 SANCHEZ MACA, GIN AXEL.pdf", "Link")</f>
        <v/>
      </c>
      <c r="C138" t="n">
        <v>35015</v>
      </c>
      <c r="D138" t="inlineStr">
        <is>
          <t>2023-12-11 10:27:55</t>
        </is>
      </c>
      <c r="E138" t="inlineStr">
        <is>
          <t>2023-12-11 10:27:54</t>
        </is>
      </c>
      <c r="F138" t="inlineStr">
        <is>
          <t>666</t>
        </is>
      </c>
    </row>
    <row r="139">
      <c r="A139" t="inlineStr">
        <is>
          <t>032 SANDI CARIAJANO, PEDRO.pdf</t>
        </is>
      </c>
      <c r="B139">
        <f>HYPERLINK("C:\Users\lmonroy\Tema\ALTAS\ALTAS 11-12-2023\032 SANDI CARIAJANO, PEDRO.pdf", "Link")</f>
        <v/>
      </c>
      <c r="C139" t="n">
        <v>34953</v>
      </c>
      <c r="D139" t="inlineStr">
        <is>
          <t>2023-12-11 10:28:41</t>
        </is>
      </c>
      <c r="E139" t="inlineStr">
        <is>
          <t>2023-12-11 10:28:41</t>
        </is>
      </c>
      <c r="F139" t="inlineStr">
        <is>
          <t>666</t>
        </is>
      </c>
    </row>
    <row r="140">
      <c r="A140" t="inlineStr">
        <is>
          <t>033 SORIA RODRIGUEZ, LEYSER AGUSTIN.pdf</t>
        </is>
      </c>
      <c r="B140">
        <f>HYPERLINK("C:\Users\lmonroy\Tema\ALTAS\ALTAS 11-12-2023\033 SORIA RODRIGUEZ, LEYSER AGUSTIN.pdf", "Link")</f>
        <v/>
      </c>
      <c r="C140" t="n">
        <v>35032</v>
      </c>
      <c r="D140" t="inlineStr">
        <is>
          <t>2023-12-11 09:59:25</t>
        </is>
      </c>
      <c r="E140" t="inlineStr">
        <is>
          <t>2023-12-11 09:59:25</t>
        </is>
      </c>
      <c r="F140" t="inlineStr">
        <is>
          <t>666</t>
        </is>
      </c>
    </row>
    <row r="141">
      <c r="A141" t="inlineStr">
        <is>
          <t>034 TAPAYURI PEREYRA, SEGUNDO SAMUEL.pdf</t>
        </is>
      </c>
      <c r="B141">
        <f>HYPERLINK("C:\Users\lmonroy\Tema\ALTAS\ALTAS 11-12-2023\034 TAPAYURI PEREYRA, SEGUNDO SAMUEL.pdf", "Link")</f>
        <v/>
      </c>
      <c r="C141" t="n">
        <v>35543</v>
      </c>
      <c r="D141" t="inlineStr">
        <is>
          <t>2023-12-11 09:59:26</t>
        </is>
      </c>
      <c r="E141" t="inlineStr">
        <is>
          <t>2023-12-11 09:59:26</t>
        </is>
      </c>
      <c r="F141" t="inlineStr">
        <is>
          <t>666</t>
        </is>
      </c>
    </row>
    <row r="142">
      <c r="A142" t="inlineStr">
        <is>
          <t>035 VELA CUNAYA, EMERSON.pdf</t>
        </is>
      </c>
      <c r="B142">
        <f>HYPERLINK("C:\Users\lmonroy\Tema\ALTAS\ALTAS 11-12-2023\035 VELA CUNAYA, EMERSON.pdf", "Link")</f>
        <v/>
      </c>
      <c r="C142" t="n">
        <v>35469</v>
      </c>
      <c r="D142" t="inlineStr">
        <is>
          <t>2023-12-11 09:59:27</t>
        </is>
      </c>
      <c r="E142" t="inlineStr">
        <is>
          <t>2023-12-11 09:59:27</t>
        </is>
      </c>
      <c r="F142" t="inlineStr">
        <is>
          <t>666</t>
        </is>
      </c>
    </row>
    <row r="143">
      <c r="A143" t="inlineStr">
        <is>
          <t>036 VELA INUMA, EDINSON.pdf</t>
        </is>
      </c>
      <c r="B143">
        <f>HYPERLINK("C:\Users\lmonroy\Tema\ALTAS\ALTAS 11-12-2023\036 VELA INUMA, EDINSON.pdf", "Link")</f>
        <v/>
      </c>
      <c r="C143" t="n">
        <v>35018</v>
      </c>
      <c r="D143" t="inlineStr">
        <is>
          <t>2023-12-11 09:59:29</t>
        </is>
      </c>
      <c r="E143" t="inlineStr">
        <is>
          <t>2023-12-11 09:59:29</t>
        </is>
      </c>
      <c r="F143" t="inlineStr">
        <is>
          <t>666</t>
        </is>
      </c>
    </row>
    <row r="144">
      <c r="A144" t="inlineStr">
        <is>
          <t>037 VELASQUEZ RODRIGUEZ, ROMEL.pdf</t>
        </is>
      </c>
      <c r="B144">
        <f>HYPERLINK("C:\Users\lmonroy\Tema\ALTAS\ALTAS 11-12-2023\037 VELASQUEZ RODRIGUEZ, ROMEL.pdf", "Link")</f>
        <v/>
      </c>
      <c r="C144" t="n">
        <v>35449</v>
      </c>
      <c r="D144" t="inlineStr">
        <is>
          <t>2023-12-11 10:30:11</t>
        </is>
      </c>
      <c r="E144" t="inlineStr">
        <is>
          <t>2023-12-11 10:30:11</t>
        </is>
      </c>
      <c r="F144" t="inlineStr">
        <is>
          <t>666</t>
        </is>
      </c>
    </row>
    <row r="145">
      <c r="A145" t="inlineStr">
        <is>
          <t>038 VELASQUEZ TAPULLIMA, ELDER.pdf</t>
        </is>
      </c>
      <c r="B145">
        <f>HYPERLINK("C:\Users\lmonroy\Tema\ALTAS\ALTAS 11-12-2023\038 VELASQUEZ TAPULLIMA, ELDER.pdf", "Link")</f>
        <v/>
      </c>
      <c r="C145" t="n">
        <v>34966</v>
      </c>
      <c r="D145" t="inlineStr">
        <is>
          <t>2023-12-11 10:31:02</t>
        </is>
      </c>
      <c r="E145" t="inlineStr">
        <is>
          <t>2023-12-11 10:31:02</t>
        </is>
      </c>
      <c r="F145" t="inlineStr">
        <is>
          <t>666</t>
        </is>
      </c>
    </row>
    <row r="146">
      <c r="A146" t="inlineStr">
        <is>
          <t>039 DURAN CURITIMA, HILTER.pdf</t>
        </is>
      </c>
      <c r="B146">
        <f>HYPERLINK("C:\Users\lmonroy\Tema\ALTAS\ALTAS 11-12-2023\039 DURAN CURITIMA, HILTER.pdf", "Link")</f>
        <v/>
      </c>
      <c r="C146" t="n">
        <v>34960</v>
      </c>
      <c r="D146" t="inlineStr">
        <is>
          <t>2023-12-11 10:31:43</t>
        </is>
      </c>
      <c r="E146" t="inlineStr">
        <is>
          <t>2023-12-11 10:31:42</t>
        </is>
      </c>
      <c r="F146" t="inlineStr">
        <is>
          <t>666</t>
        </is>
      </c>
    </row>
    <row r="147">
      <c r="A147" t="inlineStr">
        <is>
          <t>040 DEL AGUILA VASQUEZ, VICTOR ALEJANDRO.pdf</t>
        </is>
      </c>
      <c r="B147">
        <f>HYPERLINK("C:\Users\lmonroy\Tema\ALTAS\ALTAS 11-12-2023\040 DEL AGUILA VASQUEZ, VICTOR ALEJANDRO.pdf", "Link")</f>
        <v/>
      </c>
      <c r="C147" t="n">
        <v>34992</v>
      </c>
      <c r="D147" t="inlineStr">
        <is>
          <t>2023-12-11 10:32:48</t>
        </is>
      </c>
      <c r="E147" t="inlineStr">
        <is>
          <t>2023-12-11 10:32:48</t>
        </is>
      </c>
      <c r="F147" t="inlineStr">
        <is>
          <t>666</t>
        </is>
      </c>
    </row>
    <row r="148">
      <c r="A148" t="inlineStr">
        <is>
          <t>041 ROJAS SHUÑA, JHONATAN.pdf</t>
        </is>
      </c>
      <c r="B148">
        <f>HYPERLINK("C:\Users\lmonroy\Tema\ALTAS\ALTAS 11-12-2023\041 ROJAS SHUÑA, JHONATAN.pdf", "Link")</f>
        <v/>
      </c>
      <c r="C148" t="n">
        <v>34965</v>
      </c>
      <c r="D148" t="inlineStr">
        <is>
          <t>2023-12-11 09:59:35</t>
        </is>
      </c>
      <c r="E148" t="inlineStr">
        <is>
          <t>2023-12-11 09:59:34</t>
        </is>
      </c>
      <c r="F148" t="inlineStr">
        <is>
          <t>666</t>
        </is>
      </c>
    </row>
    <row r="149">
      <c r="A149" t="inlineStr">
        <is>
          <t>ALTAS MASIVAS.xlsx</t>
        </is>
      </c>
      <c r="B149">
        <f>HYPERLINK("C:\Users\lmonroy\Tema\ALTAS\ALTAS 2024\OTRO PROYECTOS\ALTAS MASIVAS.xlsx", "Link")</f>
        <v/>
      </c>
      <c r="C149" t="n">
        <v>95810</v>
      </c>
      <c r="D149" t="inlineStr">
        <is>
          <t>2024-01-02 20:55:44</t>
        </is>
      </c>
      <c r="E149" t="inlineStr">
        <is>
          <t>2024-01-03 11:01:16</t>
        </is>
      </c>
      <c r="F149" t="inlineStr">
        <is>
          <t>666</t>
        </is>
      </c>
    </row>
    <row r="150">
      <c r="A150" t="inlineStr">
        <is>
          <t>FORMATO ING PLANILLA ENERO IV 2024.xlsx</t>
        </is>
      </c>
      <c r="B150">
        <f>HYPERLINK("C:\Users\lmonroy\Tema\ALTAS\ALTAS 2024\OTRO PROYECTOS\FORMATO ING PLANILLA ENERO IV 2024.xlsx", "Link")</f>
        <v/>
      </c>
      <c r="C150" t="n">
        <v>1344675</v>
      </c>
      <c r="D150" t="inlineStr">
        <is>
          <t>2023-12-29 21:24:26</t>
        </is>
      </c>
      <c r="E150" t="inlineStr">
        <is>
          <t>2024-01-03 11:01:02</t>
        </is>
      </c>
      <c r="F150" t="inlineStr">
        <is>
          <t>666</t>
        </is>
      </c>
    </row>
    <row r="151">
      <c r="A151" t="inlineStr">
        <is>
          <t>FORMATO ING PLANILLA II ENERO 2024.xlsx</t>
        </is>
      </c>
      <c r="B151">
        <f>HYPERLINK("C:\Users\lmonroy\Tema\ALTAS\ALTAS 2024\OTRO PROYECTOS\FORMATO ING PLANILLA II ENERO 2024.xlsx", "Link")</f>
        <v/>
      </c>
      <c r="C151" t="n">
        <v>1340561</v>
      </c>
      <c r="D151" t="inlineStr">
        <is>
          <t>2023-12-29 07:45:13</t>
        </is>
      </c>
      <c r="E151" t="inlineStr">
        <is>
          <t>2024-01-03 11:01:01</t>
        </is>
      </c>
      <c r="F151" t="inlineStr">
        <is>
          <t>666</t>
        </is>
      </c>
    </row>
    <row r="152">
      <c r="A152" t="inlineStr">
        <is>
          <t>Grupo I.rar</t>
        </is>
      </c>
      <c r="B152">
        <f>HYPERLINK("C:\Users\lmonroy\Tema\ALTAS\ALTAS 2024\OTRO PROYECTOS\Grupo I.rar", "Link")</f>
        <v/>
      </c>
      <c r="C152" t="n">
        <v>84848</v>
      </c>
      <c r="D152" t="inlineStr">
        <is>
          <t>2024-01-02 14:57:19</t>
        </is>
      </c>
      <c r="E152" t="inlineStr">
        <is>
          <t>2024-01-02 12:46:29</t>
        </is>
      </c>
      <c r="F152" t="inlineStr">
        <is>
          <t>666</t>
        </is>
      </c>
    </row>
    <row r="153">
      <c r="A153" t="inlineStr">
        <is>
          <t>Grupo II.rar</t>
        </is>
      </c>
      <c r="B153">
        <f>HYPERLINK("C:\Users\lmonroy\Tema\ALTAS\ALTAS 2024\OTRO PROYECTOS\Grupo II.rar", "Link")</f>
        <v/>
      </c>
      <c r="C153" t="n">
        <v>47073</v>
      </c>
      <c r="D153" t="inlineStr">
        <is>
          <t>2024-01-03 17:01:19</t>
        </is>
      </c>
      <c r="E153" t="inlineStr">
        <is>
          <t>2024-01-03 17:01:19</t>
        </is>
      </c>
      <c r="F153" t="inlineStr">
        <is>
          <t>666</t>
        </is>
      </c>
    </row>
    <row r="154">
      <c r="A154" t="inlineStr">
        <is>
          <t>Grupo III.rar</t>
        </is>
      </c>
      <c r="B154">
        <f>HYPERLINK("C:\Users\lmonroy\Tema\ALTAS\ALTAS 2024\OTRO PROYECTOS\Grupo III.rar", "Link")</f>
        <v/>
      </c>
      <c r="C154" t="n">
        <v>145718</v>
      </c>
      <c r="D154" t="inlineStr">
        <is>
          <t>2024-01-02 16:47:30</t>
        </is>
      </c>
      <c r="E154" t="inlineStr">
        <is>
          <t>2024-01-02 16:47:30</t>
        </is>
      </c>
      <c r="F154" t="inlineStr">
        <is>
          <t>666</t>
        </is>
      </c>
    </row>
    <row r="155">
      <c r="A155" t="inlineStr">
        <is>
          <t>Grupo IV.rar</t>
        </is>
      </c>
      <c r="B155">
        <f>HYPERLINK("C:\Users\lmonroy\Tema\ALTAS\ALTAS 2024\OTRO PROYECTOS\Grupo IV.rar", "Link")</f>
        <v/>
      </c>
      <c r="C155" t="n">
        <v>81671</v>
      </c>
      <c r="D155" t="inlineStr">
        <is>
          <t>2024-01-02 14:51:02</t>
        </is>
      </c>
      <c r="E155" t="inlineStr">
        <is>
          <t>2024-01-02 14:51:02</t>
        </is>
      </c>
      <c r="F155" t="inlineStr">
        <is>
          <t>666</t>
        </is>
      </c>
    </row>
    <row r="156">
      <c r="A156" t="inlineStr">
        <is>
          <t>Grupo V.rar</t>
        </is>
      </c>
      <c r="B156">
        <f>HYPERLINK("C:\Users\lmonroy\Tema\ALTAS\ALTAS 2024\OTRO PROYECTOS\Grupo V.rar", "Link")</f>
        <v/>
      </c>
      <c r="C156" t="n">
        <v>88802</v>
      </c>
      <c r="D156" t="inlineStr">
        <is>
          <t>2024-01-02 13:39:35</t>
        </is>
      </c>
      <c r="E156" t="inlineStr">
        <is>
          <t>2024-01-02 13:39:35</t>
        </is>
      </c>
      <c r="F156" t="inlineStr">
        <is>
          <t>666</t>
        </is>
      </c>
    </row>
    <row r="157">
      <c r="A157" t="inlineStr">
        <is>
          <t>Grupo VI.rar</t>
        </is>
      </c>
      <c r="B157">
        <f>HYPERLINK("C:\Users\lmonroy\Tema\ALTAS\ALTAS 2024\OTRO PROYECTOS\Grupo VI.rar", "Link")</f>
        <v/>
      </c>
      <c r="C157" t="n">
        <v>207535</v>
      </c>
      <c r="D157" t="inlineStr">
        <is>
          <t>2024-01-02 18:36:49</t>
        </is>
      </c>
      <c r="E157" t="inlineStr">
        <is>
          <t>2024-01-02 18:36:49</t>
        </is>
      </c>
      <c r="F157" t="inlineStr">
        <is>
          <t>666</t>
        </is>
      </c>
    </row>
    <row r="158">
      <c r="A158" t="inlineStr">
        <is>
          <t>Grupo VII.rar</t>
        </is>
      </c>
      <c r="B158">
        <f>HYPERLINK("C:\Users\lmonroy\Tema\ALTAS\ALTAS 2024\OTRO PROYECTOS\Grupo VII.rar", "Link")</f>
        <v/>
      </c>
      <c r="C158" t="n">
        <v>194484</v>
      </c>
      <c r="D158" t="inlineStr">
        <is>
          <t>2024-01-03 17:00:47</t>
        </is>
      </c>
      <c r="E158" t="inlineStr">
        <is>
          <t>2024-01-03 17:00:46</t>
        </is>
      </c>
      <c r="F158" t="inlineStr">
        <is>
          <t>666</t>
        </is>
      </c>
    </row>
    <row r="159">
      <c r="A159" t="inlineStr">
        <is>
          <t>Grupo VIII.rar</t>
        </is>
      </c>
      <c r="B159">
        <f>HYPERLINK("C:\Users\lmonroy\Tema\ALTAS\ALTAS 2024\OTRO PROYECTOS\Grupo VIII.rar", "Link")</f>
        <v/>
      </c>
      <c r="C159" t="n">
        <v>101500</v>
      </c>
      <c r="D159" t="inlineStr">
        <is>
          <t>2024-01-03 17:07:32</t>
        </is>
      </c>
      <c r="E159" t="inlineStr">
        <is>
          <t>2024-01-03 17:07:31</t>
        </is>
      </c>
      <c r="F159" t="inlineStr">
        <is>
          <t>666</t>
        </is>
      </c>
    </row>
    <row r="160">
      <c r="A160" t="inlineStr">
        <is>
          <t>ASIPALI IRARICA, EVIL MIGUEL.pdf</t>
        </is>
      </c>
      <c r="B160">
        <f>HYPERLINK("C:\Users\lmonroy\Tema\ALTAS\ALTAS 2024\PROYECTO 62531\ASIPALI IRARICA, EVIL MIGUEL.pdf", "Link")</f>
        <v/>
      </c>
      <c r="C160" t="n">
        <v>35455</v>
      </c>
      <c r="D160" t="inlineStr">
        <is>
          <t>2024-01-02 20:50:37</t>
        </is>
      </c>
      <c r="E160" t="inlineStr">
        <is>
          <t>2024-01-02 20:50:37</t>
        </is>
      </c>
      <c r="F160" t="inlineStr">
        <is>
          <t>666</t>
        </is>
      </c>
    </row>
    <row r="161">
      <c r="A161" t="inlineStr">
        <is>
          <t>ASIPALI IRARICA, PERSEO SALOMON.pdf</t>
        </is>
      </c>
      <c r="B161">
        <f>HYPERLINK("C:\Users\lmonroy\Tema\ALTAS\ALTAS 2024\PROYECTO 62531\ASIPALI IRARICA, PERSEO SALOMON.pdf", "Link")</f>
        <v/>
      </c>
      <c r="C161" t="n">
        <v>35022</v>
      </c>
      <c r="D161" t="inlineStr">
        <is>
          <t>2024-01-02 20:50:37</t>
        </is>
      </c>
      <c r="E161" t="inlineStr">
        <is>
          <t>2024-01-02 20:50:36</t>
        </is>
      </c>
      <c r="F161" t="inlineStr">
        <is>
          <t>666</t>
        </is>
      </c>
    </row>
    <row r="162">
      <c r="A162" t="inlineStr">
        <is>
          <t>ASIPALI IRARICA, PETER ISRAEL.pdf</t>
        </is>
      </c>
      <c r="B162">
        <f>HYPERLINK("C:\Users\lmonroy\Tema\ALTAS\ALTAS 2024\PROYECTO 62531\ASIPALI IRARICA, PETER ISRAEL.pdf", "Link")</f>
        <v/>
      </c>
      <c r="C162" t="n">
        <v>35019</v>
      </c>
      <c r="D162" t="inlineStr">
        <is>
          <t>2024-01-02 20:50:39</t>
        </is>
      </c>
      <c r="E162" t="inlineStr">
        <is>
          <t>2024-01-02 20:50:38</t>
        </is>
      </c>
      <c r="F162" t="inlineStr">
        <is>
          <t>666</t>
        </is>
      </c>
    </row>
    <row r="163">
      <c r="A163" t="inlineStr">
        <is>
          <t>ASIPALI ZAMBRANO, JUAN MIGUEL.pdf</t>
        </is>
      </c>
      <c r="B163">
        <f>HYPERLINK("C:\Users\lmonroy\Tema\ALTAS\ALTAS 2024\PROYECTO 62531\ASIPALI ZAMBRANO, JUAN MIGUEL.pdf", "Link")</f>
        <v/>
      </c>
      <c r="C163" t="n">
        <v>35446</v>
      </c>
      <c r="D163" t="inlineStr">
        <is>
          <t>2024-01-02 20:50:40</t>
        </is>
      </c>
      <c r="E163" t="inlineStr">
        <is>
          <t>2024-01-02 20:50:39</t>
        </is>
      </c>
      <c r="F163" t="inlineStr">
        <is>
          <t>666</t>
        </is>
      </c>
    </row>
    <row r="164">
      <c r="A164" t="inlineStr">
        <is>
          <t>CASERIO OLLANTA LORETO-LORETO-URARINAS.pdf</t>
        </is>
      </c>
      <c r="B164">
        <f>HYPERLINK("C:\Users\lmonroy\Tema\ALTAS\ALTAS 2024\PROYECTO 62531\CASERIO OLLANTA LORETO-LORETO-URARINAS.pdf", "Link")</f>
        <v/>
      </c>
      <c r="C164" t="n">
        <v>34958</v>
      </c>
      <c r="D164" t="inlineStr">
        <is>
          <t>2024-01-02 20:50:51</t>
        </is>
      </c>
      <c r="E164" t="inlineStr">
        <is>
          <t>2024-01-02 20:50:50</t>
        </is>
      </c>
      <c r="F164" t="inlineStr">
        <is>
          <t>666</t>
        </is>
      </c>
    </row>
    <row r="165">
      <c r="A165" t="inlineStr">
        <is>
          <t>CHISTAMA GARCIA, CECILIO.pdf</t>
        </is>
      </c>
      <c r="B165">
        <f>HYPERLINK("C:\Users\lmonroy\Tema\ALTAS\ALTAS 2024\PROYECTO 62531\CHISTAMA GARCIA, CECILIO.pdf", "Link")</f>
        <v/>
      </c>
      <c r="C165" t="n">
        <v>35393</v>
      </c>
      <c r="D165" t="inlineStr">
        <is>
          <t>2024-01-02 20:50:41</t>
        </is>
      </c>
      <c r="E165" t="inlineStr">
        <is>
          <t>2024-01-02 20:50:40</t>
        </is>
      </c>
      <c r="F165" t="inlineStr">
        <is>
          <t>666</t>
        </is>
      </c>
    </row>
    <row r="166">
      <c r="A166" t="inlineStr">
        <is>
          <t>CUNAYA MACUSI, JORGE.pdf</t>
        </is>
      </c>
      <c r="B166">
        <f>HYPERLINK("C:\Users\lmonroy\Tema\ALTAS\ALTAS 2024\PROYECTO 62531\CUNAYA MACUSI, JORGE.pdf", "Link")</f>
        <v/>
      </c>
      <c r="C166" t="n">
        <v>35016</v>
      </c>
      <c r="D166" t="inlineStr">
        <is>
          <t>2024-01-02 20:50:42</t>
        </is>
      </c>
      <c r="E166" t="inlineStr">
        <is>
          <t>2024-01-02 20:50:41</t>
        </is>
      </c>
      <c r="F166" t="inlineStr">
        <is>
          <t>666</t>
        </is>
      </c>
    </row>
    <row r="167">
      <c r="A167" t="inlineStr">
        <is>
          <t>DEL AGUILA APAGUEÑO, CRISTIAN JESUS.pdf</t>
        </is>
      </c>
      <c r="B167">
        <f>HYPERLINK("C:\Users\lmonroy\Tema\ALTAS\ALTAS 2024\PROYECTO 62531\DEL AGUILA APAGUEÑO, CRISTIAN JESUS.pdf", "Link")</f>
        <v/>
      </c>
      <c r="C167" t="n">
        <v>34962</v>
      </c>
      <c r="D167" t="inlineStr">
        <is>
          <t>2024-01-02 20:50:43</t>
        </is>
      </c>
      <c r="E167" t="inlineStr">
        <is>
          <t>2024-01-02 20:50:42</t>
        </is>
      </c>
      <c r="F167" t="inlineStr">
        <is>
          <t>666</t>
        </is>
      </c>
    </row>
    <row r="168">
      <c r="A168" t="inlineStr">
        <is>
          <t>DONAYRE LOPEZ, EDSON PAOLO.pdf</t>
        </is>
      </c>
      <c r="B168">
        <f>HYPERLINK("C:\Users\lmonroy\Tema\ALTAS\ALTAS 2024\PROYECTO 62531\DONAYRE LOPEZ, EDSON PAOLO.pdf", "Link")</f>
        <v/>
      </c>
      <c r="C168" t="n">
        <v>34971</v>
      </c>
      <c r="D168" t="inlineStr">
        <is>
          <t>2024-01-02 21:18:27</t>
        </is>
      </c>
      <c r="E168" t="inlineStr">
        <is>
          <t>2024-01-02 21:18:26</t>
        </is>
      </c>
      <c r="F168" t="inlineStr">
        <is>
          <t>666</t>
        </is>
      </c>
    </row>
    <row r="169">
      <c r="A169" t="inlineStr">
        <is>
          <t>FASANANDO TUESTA, ARQUIMIDES.pdf</t>
        </is>
      </c>
      <c r="B169">
        <f>HYPERLINK("C:\Users\lmonroy\Tema\ALTAS\ALTAS 2024\PROYECTO 62531\FASANANDO TUESTA, ARQUIMIDES.pdf", "Link")</f>
        <v/>
      </c>
      <c r="C169" t="n">
        <v>35460</v>
      </c>
      <c r="D169" t="inlineStr">
        <is>
          <t>2024-01-02 20:50:44</t>
        </is>
      </c>
      <c r="E169" t="inlineStr">
        <is>
          <t>2024-01-02 20:50:43</t>
        </is>
      </c>
      <c r="F169" t="inlineStr">
        <is>
          <t>666</t>
        </is>
      </c>
    </row>
    <row r="170">
      <c r="A170" t="inlineStr">
        <is>
          <t>GALAN ROJAS, EDWIN PETER.pdf</t>
        </is>
      </c>
      <c r="B170">
        <f>HYPERLINK("C:\Users\lmonroy\Tema\ALTAS\ALTAS 2024\PROYECTO 62531\GALAN ROJAS, EDWIN PETER.pdf", "Link")</f>
        <v/>
      </c>
      <c r="C170" t="n">
        <v>35011</v>
      </c>
      <c r="D170" t="inlineStr">
        <is>
          <t>2024-01-02 20:50:45</t>
        </is>
      </c>
      <c r="E170" t="inlineStr">
        <is>
          <t>2024-01-02 20:50:44</t>
        </is>
      </c>
      <c r="F170" t="inlineStr">
        <is>
          <t>666</t>
        </is>
      </c>
    </row>
    <row r="171">
      <c r="A171" t="inlineStr">
        <is>
          <t>HUIÑAPI DEL CASTILLO, HILTER.pdf</t>
        </is>
      </c>
      <c r="B171">
        <f>HYPERLINK("C:\Users\lmonroy\Tema\ALTAS\ALTAS 2024\PROYECTO 62531\HUIÑAPI DEL CASTILLO, HILTER.pdf", "Link")</f>
        <v/>
      </c>
      <c r="C171" t="n">
        <v>35458</v>
      </c>
      <c r="D171" t="inlineStr">
        <is>
          <t>2024-01-02 20:50:46</t>
        </is>
      </c>
      <c r="E171" t="inlineStr">
        <is>
          <t>2024-01-02 20:50:46</t>
        </is>
      </c>
      <c r="F171" t="inlineStr">
        <is>
          <t>666</t>
        </is>
      </c>
    </row>
    <row r="172">
      <c r="A172" t="inlineStr">
        <is>
          <t>JIMENEZ VASQUEZ, RICHAR.pdf</t>
        </is>
      </c>
      <c r="B172">
        <f>HYPERLINK("C:\Users\lmonroy\Tema\ALTAS\ALTAS 2024\PROYECTO 62531\JIMENEZ VASQUEZ, RICHAR.pdf", "Link")</f>
        <v/>
      </c>
      <c r="C172" t="n">
        <v>35455</v>
      </c>
      <c r="D172" t="inlineStr">
        <is>
          <t>2024-01-02 20:50:47</t>
        </is>
      </c>
      <c r="E172" t="inlineStr">
        <is>
          <t>2024-01-02 20:50:45</t>
        </is>
      </c>
      <c r="F172" t="inlineStr">
        <is>
          <t>666</t>
        </is>
      </c>
    </row>
    <row r="173">
      <c r="A173" t="inlineStr">
        <is>
          <t>MOZOMBITE RODRIGUEZ, SEGUNDO SERAPIO.pdf</t>
        </is>
      </c>
      <c r="B173">
        <f>HYPERLINK("C:\Users\lmonroy\Tema\ALTAS\ALTAS 2024\PROYECTO 62531\MOZOMBITE RODRIGUEZ, SEGUNDO SERAPIO.pdf", "Link")</f>
        <v/>
      </c>
      <c r="C173" t="n">
        <v>34962</v>
      </c>
      <c r="D173" t="inlineStr">
        <is>
          <t>2024-01-02 20:50:48</t>
        </is>
      </c>
      <c r="E173" t="inlineStr">
        <is>
          <t>2024-01-02 20:50:47</t>
        </is>
      </c>
      <c r="F173" t="inlineStr">
        <is>
          <t>666</t>
        </is>
      </c>
    </row>
    <row r="174">
      <c r="A174" t="inlineStr">
        <is>
          <t>NUÑEZ IRARICA, ALDER JHONI.pdf</t>
        </is>
      </c>
      <c r="B174">
        <f>HYPERLINK("C:\Users\lmonroy\Tema\ALTAS\ALTAS 2024\PROYECTO 62531\NUÑEZ IRARICA, ALDER JHONI.pdf", "Link")</f>
        <v/>
      </c>
      <c r="C174" t="n">
        <v>35456</v>
      </c>
      <c r="D174" t="inlineStr">
        <is>
          <t>2024-01-02 20:50:49</t>
        </is>
      </c>
      <c r="E174" t="inlineStr">
        <is>
          <t>2024-01-02 20:50:48</t>
        </is>
      </c>
      <c r="F174" t="inlineStr">
        <is>
          <t>666</t>
        </is>
      </c>
    </row>
    <row r="175">
      <c r="A175" t="inlineStr">
        <is>
          <t>PAREDES PARANA, JOSE LUIS.pdf</t>
        </is>
      </c>
      <c r="B175">
        <f>HYPERLINK("C:\Users\lmonroy\Tema\ALTAS\ALTAS 2024\PROYECTO 62531\PAREDES PARANA, JOSE LUIS.pdf", "Link")</f>
        <v/>
      </c>
      <c r="C175" t="n">
        <v>35472</v>
      </c>
      <c r="D175" t="inlineStr">
        <is>
          <t>2024-01-02 20:50:50</t>
        </is>
      </c>
      <c r="E175" t="inlineStr">
        <is>
          <t>2024-01-02 20:50:49</t>
        </is>
      </c>
      <c r="F175" t="inlineStr">
        <is>
          <t>666</t>
        </is>
      </c>
    </row>
    <row r="176">
      <c r="A176" t="inlineStr">
        <is>
          <t>SILVANO MURAYARI, WILER.pdf</t>
        </is>
      </c>
      <c r="B176">
        <f>HYPERLINK("C:\Users\lmonroy\Tema\ALTAS\ALTAS 2024\PROYECTO 62531\SILVANO MURAYARI, WILER.pdf", "Link")</f>
        <v/>
      </c>
      <c r="C176" t="n">
        <v>35462</v>
      </c>
      <c r="D176" t="inlineStr">
        <is>
          <t>2024-01-02 20:50:52</t>
        </is>
      </c>
      <c r="E176" t="inlineStr">
        <is>
          <t>2024-01-02 20:50:51</t>
        </is>
      </c>
      <c r="F176" t="inlineStr">
        <is>
          <t>666</t>
        </is>
      </c>
    </row>
    <row r="177">
      <c r="A177" t="inlineStr">
        <is>
          <t>TUESTA GONZALES, LENIN.pdf</t>
        </is>
      </c>
      <c r="B177">
        <f>HYPERLINK("C:\Users\lmonroy\Tema\ALTAS\ALTAS 2024\PROYECTO 62531\TUESTA GONZALES, LENIN.pdf", "Link")</f>
        <v/>
      </c>
      <c r="C177" t="n">
        <v>35468</v>
      </c>
      <c r="D177" t="inlineStr">
        <is>
          <t>2024-01-02 20:50:53</t>
        </is>
      </c>
      <c r="E177" t="inlineStr">
        <is>
          <t>2024-01-02 20:50:52</t>
        </is>
      </c>
      <c r="F177" t="inlineStr">
        <is>
          <t>666</t>
        </is>
      </c>
    </row>
    <row r="178">
      <c r="A178" t="inlineStr">
        <is>
          <t>TUESTA GONZALES, WINSTON.pdf</t>
        </is>
      </c>
      <c r="B178">
        <f>HYPERLINK("C:\Users\lmonroy\Tema\ALTAS\ALTAS 2024\PROYECTO 62531\TUESTA GONZALES, WINSTON.pdf", "Link")</f>
        <v/>
      </c>
      <c r="C178" t="n">
        <v>35008</v>
      </c>
      <c r="D178" t="inlineStr">
        <is>
          <t>2024-01-02 20:50:53</t>
        </is>
      </c>
      <c r="E178" t="inlineStr">
        <is>
          <t>2024-01-02 20:50:53</t>
        </is>
      </c>
      <c r="F178" t="inlineStr">
        <is>
          <t>666</t>
        </is>
      </c>
    </row>
    <row r="179">
      <c r="A179" t="inlineStr">
        <is>
          <t>01 RIVERA VITONERA, DEEMELZA FRANCESCA.pdf</t>
        </is>
      </c>
      <c r="B179">
        <f>HYPERLINK("C:\Users\lmonroy\Tema\ALTAS\ALTAS 26-12-2023\01 RIVERA VITONERA, DEEMELZA FRANCESCA.pdf", "Link")</f>
        <v/>
      </c>
      <c r="C179" t="n">
        <v>34950</v>
      </c>
      <c r="D179" t="inlineStr">
        <is>
          <t>2023-12-26 15:48:04</t>
        </is>
      </c>
      <c r="E179" t="inlineStr">
        <is>
          <t>2023-12-26 15:48:04</t>
        </is>
      </c>
      <c r="F179" t="inlineStr">
        <is>
          <t>666</t>
        </is>
      </c>
    </row>
    <row r="180">
      <c r="A180" t="inlineStr">
        <is>
          <t>02 PASMIÑO DEL AGUILA, ALEJANDRO.pdf</t>
        </is>
      </c>
      <c r="B180">
        <f>HYPERLINK("C:\Users\lmonroy\Tema\ALTAS\ALTAS 26-12-2023\02 PASMIÑO DEL AGUILA, ALEJANDRO.pdf", "Link")</f>
        <v/>
      </c>
      <c r="C180" t="n">
        <v>35014</v>
      </c>
      <c r="D180" t="inlineStr">
        <is>
          <t>2023-12-26 15:48:05</t>
        </is>
      </c>
      <c r="E180" t="inlineStr">
        <is>
          <t>2023-12-26 15:48:05</t>
        </is>
      </c>
      <c r="F180" t="inlineStr">
        <is>
          <t>666</t>
        </is>
      </c>
    </row>
    <row r="181">
      <c r="A181" t="inlineStr">
        <is>
          <t>03 JUMACHI PIZANGO, ERMENEGILDO.pdf</t>
        </is>
      </c>
      <c r="B181">
        <f>HYPERLINK("C:\Users\lmonroy\Tema\ALTAS\ALTAS 26-12-2023\03 JUMACHI PIZANGO, ERMENEGILDO.pdf", "Link")</f>
        <v/>
      </c>
      <c r="C181" t="n">
        <v>34978</v>
      </c>
      <c r="D181" t="inlineStr">
        <is>
          <t>2023-12-26 15:48:06</t>
        </is>
      </c>
      <c r="E181" t="inlineStr">
        <is>
          <t>2023-12-26 15:48:05</t>
        </is>
      </c>
      <c r="F181" t="inlineStr">
        <is>
          <t>666</t>
        </is>
      </c>
    </row>
    <row r="182">
      <c r="A182" t="inlineStr">
        <is>
          <t>04 NURIBE ARAHUATE, HUMBERTO.pdf</t>
        </is>
      </c>
      <c r="B182">
        <f>HYPERLINK("C:\Users\lmonroy\Tema\ALTAS\ALTAS 26-12-2023\04 NURIBE ARAHUATE, HUMBERTO.pdf", "Link")</f>
        <v/>
      </c>
      <c r="C182" t="n">
        <v>34971</v>
      </c>
      <c r="D182" t="inlineStr">
        <is>
          <t>2023-12-26 15:48:06</t>
        </is>
      </c>
      <c r="E182" t="inlineStr">
        <is>
          <t>2023-12-26 15:48:06</t>
        </is>
      </c>
      <c r="F182" t="inlineStr">
        <is>
          <t>666</t>
        </is>
      </c>
    </row>
    <row r="183">
      <c r="A183" t="inlineStr">
        <is>
          <t>05 HAUXWELL TORRES, MACK BRUNO.pdf</t>
        </is>
      </c>
      <c r="B183">
        <f>HYPERLINK("C:\Users\lmonroy\Tema\ALTAS\ALTAS 26-12-2023\05 HAUXWELL TORRES, MACK BRUNO.pdf", "Link")</f>
        <v/>
      </c>
      <c r="C183" t="n">
        <v>35019</v>
      </c>
      <c r="D183" t="inlineStr">
        <is>
          <t>2023-12-26 15:48:07</t>
        </is>
      </c>
      <c r="E183" t="inlineStr">
        <is>
          <t>2023-12-26 15:48:07</t>
        </is>
      </c>
      <c r="F183" t="inlineStr">
        <is>
          <t>666</t>
        </is>
      </c>
    </row>
    <row r="184">
      <c r="A184" t="inlineStr">
        <is>
          <t>06 YUYARIMA CANAQUIRI, GINER.pdf</t>
        </is>
      </c>
      <c r="B184">
        <f>HYPERLINK("C:\Users\lmonroy\Tema\ALTAS\ALTAS 26-12-2023\06 YUYARIMA CANAQUIRI, GINER.pdf", "Link")</f>
        <v/>
      </c>
      <c r="C184" t="n">
        <v>35463</v>
      </c>
      <c r="D184" t="inlineStr">
        <is>
          <t>2023-12-26 15:48:08</t>
        </is>
      </c>
      <c r="E184" t="inlineStr">
        <is>
          <t>2023-12-26 15:48:07</t>
        </is>
      </c>
      <c r="F184" t="inlineStr">
        <is>
          <t>666</t>
        </is>
      </c>
    </row>
    <row r="185">
      <c r="A185" t="inlineStr">
        <is>
          <t>07 ARIMUYA MURAYARI, RIDER.pdf</t>
        </is>
      </c>
      <c r="B185">
        <f>HYPERLINK("C:\Users\lmonroy\Tema\ALTAS\ALTAS 26-12-2023\07 ARIMUYA MURAYARI, RIDER.pdf", "Link")</f>
        <v/>
      </c>
      <c r="C185" t="n">
        <v>34964</v>
      </c>
      <c r="D185" t="inlineStr">
        <is>
          <t>2023-12-26 15:48:09</t>
        </is>
      </c>
      <c r="E185" t="inlineStr">
        <is>
          <t>2023-12-26 15:48:08</t>
        </is>
      </c>
      <c r="F185" t="inlineStr">
        <is>
          <t>666</t>
        </is>
      </c>
    </row>
    <row r="186">
      <c r="A186" t="inlineStr">
        <is>
          <t>08 PAREDES USHIÑAHUA, REITER.pdf</t>
        </is>
      </c>
      <c r="B186">
        <f>HYPERLINK("C:\Users\lmonroy\Tema\ALTAS\ALTAS 26-12-2023\08 PAREDES USHIÑAHUA, REITER.pdf", "Link")</f>
        <v/>
      </c>
      <c r="C186" t="n">
        <v>35020</v>
      </c>
      <c r="D186" t="inlineStr">
        <is>
          <t>2023-12-26 15:48:09</t>
        </is>
      </c>
      <c r="E186" t="inlineStr">
        <is>
          <t>2023-12-26 15:48:09</t>
        </is>
      </c>
      <c r="F186" t="inlineStr">
        <is>
          <t>666</t>
        </is>
      </c>
    </row>
    <row r="187">
      <c r="A187" t="inlineStr">
        <is>
          <t>09 TUANAMA IRARICA, SANDRO RENAN.pdf</t>
        </is>
      </c>
      <c r="B187">
        <f>HYPERLINK("C:\Users\lmonroy\Tema\ALTAS\ALTAS 26-12-2023\09 TUANAMA IRARICA, SANDRO RENAN.pdf", "Link")</f>
        <v/>
      </c>
      <c r="C187" t="n">
        <v>35021</v>
      </c>
      <c r="D187" t="inlineStr">
        <is>
          <t>2023-12-26 15:48:10</t>
        </is>
      </c>
      <c r="E187" t="inlineStr">
        <is>
          <t>2023-12-26 15:48:09</t>
        </is>
      </c>
      <c r="F187" t="inlineStr">
        <is>
          <t>666</t>
        </is>
      </c>
    </row>
    <row r="188">
      <c r="A188" t="inlineStr">
        <is>
          <t>10 FASANANDO VASQUEZ, LEANDRO.pdf</t>
        </is>
      </c>
      <c r="B188">
        <f>HYPERLINK("C:\Users\lmonroy\Tema\ALTAS\ALTAS 26-12-2023\10 FASANANDO VASQUEZ, LEANDRO.pdf", "Link")</f>
        <v/>
      </c>
      <c r="C188" t="n">
        <v>35030</v>
      </c>
      <c r="D188" t="inlineStr">
        <is>
          <t>2023-12-26 15:48:10</t>
        </is>
      </c>
      <c r="E188" t="inlineStr">
        <is>
          <t>2023-12-26 15:48:10</t>
        </is>
      </c>
      <c r="F188" t="inlineStr">
        <is>
          <t>666</t>
        </is>
      </c>
    </row>
    <row r="189">
      <c r="A189" t="inlineStr">
        <is>
          <t>11 APAGÜEÑO OJANAMA, MELVIN.pdf</t>
        </is>
      </c>
      <c r="B189">
        <f>HYPERLINK("C:\Users\lmonroy\Tema\ALTAS\ALTAS 26-12-2023\11 APAGÜEÑO OJANAMA, MELVIN.pdf", "Link")</f>
        <v/>
      </c>
      <c r="C189" t="n">
        <v>34974</v>
      </c>
      <c r="D189" t="inlineStr">
        <is>
          <t>2023-12-26 15:48:11</t>
        </is>
      </c>
      <c r="E189" t="inlineStr">
        <is>
          <t>2023-12-26 15:48:11</t>
        </is>
      </c>
      <c r="F189" t="inlineStr">
        <is>
          <t>666</t>
        </is>
      </c>
    </row>
    <row r="190">
      <c r="A190" t="inlineStr">
        <is>
          <t>12 IRARICA IRARICA, FELIX JORDAN.pdf</t>
        </is>
      </c>
      <c r="B190">
        <f>HYPERLINK("C:\Users\lmonroy\Tema\ALTAS\ALTAS 26-12-2023\12 IRARICA IRARICA, FELIX JORDAN.pdf", "Link")</f>
        <v/>
      </c>
      <c r="C190" t="n">
        <v>35458</v>
      </c>
      <c r="D190" t="inlineStr">
        <is>
          <t>2023-12-26 15:48:12</t>
        </is>
      </c>
      <c r="E190" t="inlineStr">
        <is>
          <t>2023-12-26 15:48:11</t>
        </is>
      </c>
      <c r="F190" t="inlineStr">
        <is>
          <t>666</t>
        </is>
      </c>
    </row>
    <row r="191">
      <c r="A191" t="inlineStr">
        <is>
          <t>13 PISCO TORRES, ROBLES.pdf</t>
        </is>
      </c>
      <c r="B191">
        <f>HYPERLINK("C:\Users\lmonroy\Tema\ALTAS\ALTAS 26-12-2023\13 PISCO TORRES, ROBLES.pdf", "Link")</f>
        <v/>
      </c>
      <c r="C191" t="n">
        <v>35021</v>
      </c>
      <c r="D191" t="inlineStr">
        <is>
          <t>2023-12-26 15:48:13</t>
        </is>
      </c>
      <c r="E191" t="inlineStr">
        <is>
          <t>2023-12-26 15:48:12</t>
        </is>
      </c>
      <c r="F191" t="inlineStr">
        <is>
          <t>666</t>
        </is>
      </c>
    </row>
    <row r="192">
      <c r="A192" t="inlineStr">
        <is>
          <t>14 RIOS RIOS, JHACSON.pdf</t>
        </is>
      </c>
      <c r="B192">
        <f>HYPERLINK("C:\Users\lmonroy\Tema\ALTAS\ALTAS 26-12-2023\14 RIOS RIOS, JHACSON.pdf", "Link")</f>
        <v/>
      </c>
      <c r="C192" t="n">
        <v>35350</v>
      </c>
      <c r="D192" t="inlineStr">
        <is>
          <t>2023-12-26 15:48:15</t>
        </is>
      </c>
      <c r="E192" t="inlineStr">
        <is>
          <t>2023-12-26 15:48:14</t>
        </is>
      </c>
      <c r="F192" t="inlineStr">
        <is>
          <t>666</t>
        </is>
      </c>
    </row>
    <row r="193">
      <c r="A193" t="inlineStr">
        <is>
          <t>15 RUIZ LA TORRE, JOSE.pdf</t>
        </is>
      </c>
      <c r="B193">
        <f>HYPERLINK("C:\Users\lmonroy\Tema\ALTAS\ALTAS 26-12-2023\15 RUIZ LA TORRE, JOSE.pdf", "Link")</f>
        <v/>
      </c>
      <c r="C193" t="n">
        <v>35390</v>
      </c>
      <c r="D193" t="inlineStr">
        <is>
          <t>2023-12-26 15:48:16</t>
        </is>
      </c>
      <c r="E193" t="inlineStr">
        <is>
          <t>2023-12-26 15:48:16</t>
        </is>
      </c>
      <c r="F193" t="inlineStr">
        <is>
          <t>666</t>
        </is>
      </c>
    </row>
    <row r="194">
      <c r="A194" t="inlineStr">
        <is>
          <t>16 ASIPALI IRARICA, TULIO LUIS.pdf</t>
        </is>
      </c>
      <c r="B194">
        <f>HYPERLINK("C:\Users\lmonroy\Tema\ALTAS\ALTAS 26-12-2023\16 ASIPALI IRARICA, TULIO LUIS.pdf", "Link")</f>
        <v/>
      </c>
      <c r="C194" t="n">
        <v>35030</v>
      </c>
      <c r="D194" t="inlineStr">
        <is>
          <t>2023-12-26 15:48:17</t>
        </is>
      </c>
      <c r="E194" t="inlineStr">
        <is>
          <t>2023-12-26 15:48:17</t>
        </is>
      </c>
      <c r="F194" t="inlineStr">
        <is>
          <t>666</t>
        </is>
      </c>
    </row>
    <row r="195">
      <c r="A195" t="inlineStr">
        <is>
          <t>17 RUIZ LA TORRE, ELVIS CHARLES.pdf</t>
        </is>
      </c>
      <c r="B195">
        <f>HYPERLINK("C:\Users\lmonroy\Tema\ALTAS\ALTAS 26-12-2023\17 RUIZ LA TORRE, ELVIS CHARLES.pdf", "Link")</f>
        <v/>
      </c>
      <c r="C195" t="n">
        <v>34961</v>
      </c>
      <c r="D195" t="inlineStr">
        <is>
          <t>2023-12-26 15:48:18</t>
        </is>
      </c>
      <c r="E195" t="inlineStr">
        <is>
          <t>2023-12-26 15:48:18</t>
        </is>
      </c>
      <c r="F195" t="inlineStr">
        <is>
          <t>666</t>
        </is>
      </c>
    </row>
    <row r="196">
      <c r="A196" t="inlineStr">
        <is>
          <t>18 TUESTA GONZALES, SAULO SEGUNDO.pdf</t>
        </is>
      </c>
      <c r="B196">
        <f>HYPERLINK("C:\Users\lmonroy\Tema\ALTAS\ALTAS 26-12-2023\18 TUESTA GONZALES, SAULO SEGUNDO.pdf", "Link")</f>
        <v/>
      </c>
      <c r="C196" t="n">
        <v>34968</v>
      </c>
      <c r="D196" t="inlineStr">
        <is>
          <t>2023-12-26 15:48:19</t>
        </is>
      </c>
      <c r="E196" t="inlineStr">
        <is>
          <t>2023-12-26 15:48:19</t>
        </is>
      </c>
      <c r="F196" t="inlineStr">
        <is>
          <t>666</t>
        </is>
      </c>
    </row>
    <row r="197">
      <c r="A197" t="inlineStr">
        <is>
          <t>19 AHUITE CACHIRICO, ARTEMIO.pdf</t>
        </is>
      </c>
      <c r="B197">
        <f>HYPERLINK("C:\Users\lmonroy\Tema\ALTAS\ALTAS 26-12-2023\19 AHUITE CACHIRICO, ARTEMIO.pdf", "Link")</f>
        <v/>
      </c>
      <c r="C197" t="n">
        <v>35013</v>
      </c>
      <c r="D197" t="inlineStr">
        <is>
          <t>2023-12-26 15:48:29</t>
        </is>
      </c>
      <c r="E197" t="inlineStr">
        <is>
          <t>2023-12-26 15:48:28</t>
        </is>
      </c>
      <c r="F197" t="inlineStr">
        <is>
          <t>666</t>
        </is>
      </c>
    </row>
    <row r="198">
      <c r="A198" t="inlineStr">
        <is>
          <t>20 AHUITE MANIZARI, JUAN.pdf</t>
        </is>
      </c>
      <c r="B198">
        <f>HYPERLINK("C:\Users\lmonroy\Tema\ALTAS\ALTAS 26-12-2023\20 AHUITE MANIZARI, JUAN.pdf", "Link")</f>
        <v/>
      </c>
      <c r="C198" t="n">
        <v>34964</v>
      </c>
      <c r="D198" t="inlineStr">
        <is>
          <t>2023-12-26 15:48:29</t>
        </is>
      </c>
      <c r="E198" t="inlineStr">
        <is>
          <t>2023-12-26 15:48:29</t>
        </is>
      </c>
      <c r="F198" t="inlineStr">
        <is>
          <t>666</t>
        </is>
      </c>
    </row>
    <row r="199">
      <c r="A199" t="inlineStr">
        <is>
          <t>21 ARAHUATA AHUITE, ESTEBAN.pdf</t>
        </is>
      </c>
      <c r="B199">
        <f>HYPERLINK("C:\Users\lmonroy\Tema\ALTAS\ALTAS 26-12-2023\21 ARAHUATA AHUITE, ESTEBAN.pdf", "Link")</f>
        <v/>
      </c>
      <c r="C199" t="n">
        <v>35028</v>
      </c>
      <c r="D199" t="inlineStr">
        <is>
          <t>2023-12-26 15:48:30</t>
        </is>
      </c>
      <c r="E199" t="inlineStr">
        <is>
          <t>2023-12-26 15:48:30</t>
        </is>
      </c>
      <c r="F199" t="inlineStr">
        <is>
          <t>666</t>
        </is>
      </c>
    </row>
    <row r="200">
      <c r="A200" t="inlineStr">
        <is>
          <t>22 ARAHUATA MANIZARI, VICENTE.pdf</t>
        </is>
      </c>
      <c r="B200">
        <f>HYPERLINK("C:\Users\lmonroy\Tema\ALTAS\ALTAS 26-12-2023\22 ARAHUATA MANIZARI, VICENTE.pdf", "Link")</f>
        <v/>
      </c>
      <c r="C200" t="n">
        <v>35026</v>
      </c>
      <c r="D200" t="inlineStr">
        <is>
          <t>2023-12-26 15:48:31</t>
        </is>
      </c>
      <c r="E200" t="inlineStr">
        <is>
          <t>2023-12-26 15:48:31</t>
        </is>
      </c>
      <c r="F200" t="inlineStr">
        <is>
          <t>666</t>
        </is>
      </c>
    </row>
    <row r="201">
      <c r="A201" t="inlineStr">
        <is>
          <t>23 CASTAÑON RODRIGUEZ, ALEX.pdf</t>
        </is>
      </c>
      <c r="B201">
        <f>HYPERLINK("C:\Users\lmonroy\Tema\ALTAS\ALTAS 26-12-2023\23 CASTAÑON RODRIGUEZ, ALEX.pdf", "Link")</f>
        <v/>
      </c>
      <c r="C201" t="n">
        <v>35021</v>
      </c>
      <c r="D201" t="inlineStr">
        <is>
          <t>2023-12-26 15:48:32</t>
        </is>
      </c>
      <c r="E201" t="inlineStr">
        <is>
          <t>2023-12-26 15:48:32</t>
        </is>
      </c>
      <c r="F201" t="inlineStr">
        <is>
          <t>666</t>
        </is>
      </c>
    </row>
    <row r="202">
      <c r="A202" t="inlineStr">
        <is>
          <t>24 CUNAYA VELA, AROLDO.pdf</t>
        </is>
      </c>
      <c r="B202">
        <f>HYPERLINK("C:\Users\lmonroy\Tema\ALTAS\ALTAS 26-12-2023\24 CUNAYA VELA, AROLDO.pdf", "Link")</f>
        <v/>
      </c>
      <c r="C202" t="n">
        <v>35439</v>
      </c>
      <c r="D202" t="inlineStr">
        <is>
          <t>2023-12-26 15:48:33</t>
        </is>
      </c>
      <c r="E202" t="inlineStr">
        <is>
          <t>2023-12-26 15:48:32</t>
        </is>
      </c>
      <c r="F202" t="inlineStr">
        <is>
          <t>666</t>
        </is>
      </c>
    </row>
    <row r="203">
      <c r="A203" t="inlineStr">
        <is>
          <t>25 CUNAYA VELA, JEINER.pdf</t>
        </is>
      </c>
      <c r="B203">
        <f>HYPERLINK("C:\Users\lmonroy\Tema\ALTAS\ALTAS 26-12-2023\25 CUNAYA VELA, JEINER.pdf", "Link")</f>
        <v/>
      </c>
      <c r="C203" t="n">
        <v>35447</v>
      </c>
      <c r="D203" t="inlineStr">
        <is>
          <t>2023-12-26 15:48:33</t>
        </is>
      </c>
      <c r="E203" t="inlineStr">
        <is>
          <t>2023-12-26 15:48:33</t>
        </is>
      </c>
      <c r="F203" t="inlineStr">
        <is>
          <t>666</t>
        </is>
      </c>
    </row>
    <row r="204">
      <c r="A204" t="inlineStr">
        <is>
          <t>26 INUMA AHUITE, DANIEL.pdf</t>
        </is>
      </c>
      <c r="B204">
        <f>HYPERLINK("C:\Users\lmonroy\Tema\ALTAS\ALTAS 26-12-2023\26 INUMA AHUITE, DANIEL.pdf", "Link")</f>
        <v/>
      </c>
      <c r="C204" t="n">
        <v>35452</v>
      </c>
      <c r="D204" t="inlineStr">
        <is>
          <t>2023-12-26 15:48:34</t>
        </is>
      </c>
      <c r="E204" t="inlineStr">
        <is>
          <t>2023-12-26 15:48:33</t>
        </is>
      </c>
      <c r="F204" t="inlineStr">
        <is>
          <t>666</t>
        </is>
      </c>
    </row>
    <row r="205">
      <c r="A205" t="inlineStr">
        <is>
          <t>27 INUMA ARAHUATA, CUSTODIO.pdf</t>
        </is>
      </c>
      <c r="B205">
        <f>HYPERLINK("C:\Users\lmonroy\Tema\ALTAS\ALTAS 26-12-2023\27 INUMA ARAHUATA, CUSTODIO.pdf", "Link")</f>
        <v/>
      </c>
      <c r="C205" t="n">
        <v>35019</v>
      </c>
      <c r="D205" t="inlineStr">
        <is>
          <t>2023-12-26 15:48:35</t>
        </is>
      </c>
      <c r="E205" t="inlineStr">
        <is>
          <t>2023-12-26 15:48:34</t>
        </is>
      </c>
      <c r="F205" t="inlineStr">
        <is>
          <t>666</t>
        </is>
      </c>
    </row>
    <row r="206">
      <c r="A206" t="inlineStr">
        <is>
          <t>28 INUMA ARAHUATE, ANTONIO.pdf</t>
        </is>
      </c>
      <c r="B206">
        <f>HYPERLINK("C:\Users\lmonroy\Tema\ALTAS\ALTAS 26-12-2023\28 INUMA ARAHUATE, ANTONIO.pdf", "Link")</f>
        <v/>
      </c>
      <c r="C206" t="n">
        <v>34969</v>
      </c>
      <c r="D206" t="inlineStr">
        <is>
          <t>2023-12-26 15:48:43</t>
        </is>
      </c>
      <c r="E206" t="inlineStr">
        <is>
          <t>2023-12-26 15:48:43</t>
        </is>
      </c>
      <c r="F206" t="inlineStr">
        <is>
          <t>666</t>
        </is>
      </c>
    </row>
    <row r="207">
      <c r="A207" t="inlineStr">
        <is>
          <t>29 INUMA CACHIRICO, ARMANDO.pdf</t>
        </is>
      </c>
      <c r="B207">
        <f>HYPERLINK("C:\Users\lmonroy\Tema\ALTAS\ALTAS 26-12-2023\29 INUMA CACHIRICO, ARMANDO.pdf", "Link")</f>
        <v/>
      </c>
      <c r="C207" t="n">
        <v>34962</v>
      </c>
      <c r="D207" t="inlineStr">
        <is>
          <t>2023-12-26 15:48:44</t>
        </is>
      </c>
      <c r="E207" t="inlineStr">
        <is>
          <t>2023-12-26 15:48:43</t>
        </is>
      </c>
      <c r="F207" t="inlineStr">
        <is>
          <t>666</t>
        </is>
      </c>
    </row>
    <row r="208">
      <c r="A208" t="inlineStr">
        <is>
          <t>30 INUMA CACHIRICO, JUAN.pdf</t>
        </is>
      </c>
      <c r="B208">
        <f>HYPERLINK("C:\Users\lmonroy\Tema\ALTAS\ALTAS 26-12-2023\30 INUMA CACHIRICO, JUAN.pdf", "Link")</f>
        <v/>
      </c>
      <c r="C208" t="n">
        <v>35021</v>
      </c>
      <c r="D208" t="inlineStr">
        <is>
          <t>2023-12-26 15:48:45</t>
        </is>
      </c>
      <c r="E208" t="inlineStr">
        <is>
          <t>2023-12-26 15:48:44</t>
        </is>
      </c>
      <c r="F208" t="inlineStr">
        <is>
          <t>666</t>
        </is>
      </c>
    </row>
    <row r="209">
      <c r="A209" t="inlineStr">
        <is>
          <t>31 INUMA MACUSI, CRUZ.pdf</t>
        </is>
      </c>
      <c r="B209">
        <f>HYPERLINK("C:\Users\lmonroy\Tema\ALTAS\ALTAS 26-12-2023\31 INUMA MACUSI, CRUZ.pdf", "Link")</f>
        <v/>
      </c>
      <c r="C209" t="n">
        <v>35455</v>
      </c>
      <c r="D209" t="inlineStr">
        <is>
          <t>2023-12-26 15:48:45</t>
        </is>
      </c>
      <c r="E209" t="inlineStr">
        <is>
          <t>2023-12-26 15:48:45</t>
        </is>
      </c>
      <c r="F209" t="inlineStr">
        <is>
          <t>666</t>
        </is>
      </c>
    </row>
    <row r="210">
      <c r="A210" t="inlineStr">
        <is>
          <t>32 INUMA OJEYCATE, ESAU.pdf</t>
        </is>
      </c>
      <c r="B210">
        <f>HYPERLINK("C:\Users\lmonroy\Tema\ALTAS\ALTAS 26-12-2023\32 INUMA OJEYCATE, ESAU.pdf", "Link")</f>
        <v/>
      </c>
      <c r="C210" t="n">
        <v>35024</v>
      </c>
      <c r="D210" t="inlineStr">
        <is>
          <t>2023-12-26 15:48:46</t>
        </is>
      </c>
      <c r="E210" t="inlineStr">
        <is>
          <t>2023-12-26 15:48:46</t>
        </is>
      </c>
      <c r="F210" t="inlineStr">
        <is>
          <t>666</t>
        </is>
      </c>
    </row>
    <row r="211">
      <c r="A211" t="inlineStr">
        <is>
          <t>33 LOPEZ CUNAYA, ROBERTO.pdf</t>
        </is>
      </c>
      <c r="B211">
        <f>HYPERLINK("C:\Users\lmonroy\Tema\ALTAS\ALTAS 26-12-2023\33 LOPEZ CUNAYA, ROBERTO.pdf", "Link")</f>
        <v/>
      </c>
      <c r="C211" t="n">
        <v>35021</v>
      </c>
      <c r="D211" t="inlineStr">
        <is>
          <t>2023-12-26 15:48:47</t>
        </is>
      </c>
      <c r="E211" t="inlineStr">
        <is>
          <t>2023-12-26 15:48:47</t>
        </is>
      </c>
      <c r="F211" t="inlineStr">
        <is>
          <t>666</t>
        </is>
      </c>
    </row>
    <row r="212">
      <c r="A212" t="inlineStr">
        <is>
          <t>34 MACUSI ARAHUATE, MIMBER.pdf</t>
        </is>
      </c>
      <c r="B212">
        <f>HYPERLINK("C:\Users\lmonroy\Tema\ALTAS\ALTAS 26-12-2023\34 MACUSI ARAHUATE, MIMBER.pdf", "Link")</f>
        <v/>
      </c>
      <c r="C212" t="n">
        <v>35466</v>
      </c>
      <c r="D212" t="inlineStr">
        <is>
          <t>2023-12-26 15:48:48</t>
        </is>
      </c>
      <c r="E212" t="inlineStr">
        <is>
          <t>2023-12-26 15:48:48</t>
        </is>
      </c>
      <c r="F212" t="inlineStr">
        <is>
          <t>666</t>
        </is>
      </c>
    </row>
    <row r="213">
      <c r="A213" t="inlineStr">
        <is>
          <t>35 MACUSI INUMA, ISAC.pdf</t>
        </is>
      </c>
      <c r="B213">
        <f>HYPERLINK("C:\Users\lmonroy\Tema\ALTAS\ALTAS 26-12-2023\35 MACUSI INUMA, ISAC.pdf", "Link")</f>
        <v/>
      </c>
      <c r="C213" t="n">
        <v>35007</v>
      </c>
      <c r="D213" t="inlineStr">
        <is>
          <t>2023-12-26 15:48:49</t>
        </is>
      </c>
      <c r="E213" t="inlineStr">
        <is>
          <t>2023-12-26 15:48:49</t>
        </is>
      </c>
      <c r="F213" t="inlineStr">
        <is>
          <t>666</t>
        </is>
      </c>
    </row>
    <row r="214">
      <c r="A214" t="inlineStr">
        <is>
          <t>36 MACUSI LOPEZ, JOSE.pdf</t>
        </is>
      </c>
      <c r="B214">
        <f>HYPERLINK("C:\Users\lmonroy\Tema\ALTAS\ALTAS 26-12-2023\36 MACUSI LOPEZ, JOSE.pdf", "Link")</f>
        <v/>
      </c>
      <c r="C214" t="n">
        <v>34948</v>
      </c>
      <c r="D214" t="inlineStr">
        <is>
          <t>2023-12-26 16:13:05</t>
        </is>
      </c>
      <c r="E214" t="inlineStr">
        <is>
          <t>2023-12-26 16:13:04</t>
        </is>
      </c>
      <c r="F214" t="inlineStr">
        <is>
          <t>666</t>
        </is>
      </c>
    </row>
    <row r="215">
      <c r="A215" t="inlineStr">
        <is>
          <t>37 NURIBE ARAHUATA, JORGE.pdf</t>
        </is>
      </c>
      <c r="B215">
        <f>HYPERLINK("C:\Users\lmonroy\Tema\ALTAS\ALTAS 26-12-2023\37 NURIBE ARAHUATA, JORGE.pdf", "Link")</f>
        <v/>
      </c>
      <c r="C215" t="n">
        <v>34972</v>
      </c>
      <c r="D215" t="inlineStr">
        <is>
          <t>2023-12-26 15:48:50</t>
        </is>
      </c>
      <c r="E215" t="inlineStr">
        <is>
          <t>2023-12-26 15:48:50</t>
        </is>
      </c>
      <c r="F215" t="inlineStr">
        <is>
          <t>666</t>
        </is>
      </c>
    </row>
    <row r="216">
      <c r="A216" t="inlineStr">
        <is>
          <t>38 NURIBE ARAHUATA, ROBERTO.pdf</t>
        </is>
      </c>
      <c r="B216">
        <f>HYPERLINK("C:\Users\lmonroy\Tema\ALTAS\ALTAS 26-12-2023\38 NURIBE ARAHUATA, ROBERTO.pdf", "Link")</f>
        <v/>
      </c>
      <c r="C216" t="n">
        <v>34974</v>
      </c>
      <c r="D216" t="inlineStr">
        <is>
          <t>2023-12-26 15:48:51</t>
        </is>
      </c>
      <c r="E216" t="inlineStr">
        <is>
          <t>2023-12-26 15:48:50</t>
        </is>
      </c>
      <c r="F216" t="inlineStr">
        <is>
          <t>666</t>
        </is>
      </c>
    </row>
    <row r="217">
      <c r="A217" t="inlineStr">
        <is>
          <t>39 NURIBE ARAHUATA, SALOMON.pdf</t>
        </is>
      </c>
      <c r="B217">
        <f>HYPERLINK("C:\Users\lmonroy\Tema\ALTAS\ALTAS 26-12-2023\39 NURIBE ARAHUATA, SALOMON.pdf", "Link")</f>
        <v/>
      </c>
      <c r="C217" t="n">
        <v>34966</v>
      </c>
      <c r="D217" t="inlineStr">
        <is>
          <t>2023-12-26 15:48:52</t>
        </is>
      </c>
      <c r="E217" t="inlineStr">
        <is>
          <t>2023-12-26 15:48:51</t>
        </is>
      </c>
      <c r="F217" t="inlineStr">
        <is>
          <t>666</t>
        </is>
      </c>
    </row>
    <row r="218">
      <c r="A218" t="inlineStr">
        <is>
          <t>40 NURIBE MACUSI, ABEL.pdf</t>
        </is>
      </c>
      <c r="B218">
        <f>HYPERLINK("C:\Users\lmonroy\Tema\ALTAS\ALTAS 26-12-2023\40 NURIBE MACUSI, ABEL.pdf", "Link")</f>
        <v/>
      </c>
      <c r="C218" t="n">
        <v>34963</v>
      </c>
      <c r="D218" t="inlineStr">
        <is>
          <t>2023-12-26 15:48:53</t>
        </is>
      </c>
      <c r="E218" t="inlineStr">
        <is>
          <t>2023-12-26 15:48:52</t>
        </is>
      </c>
      <c r="F218" t="inlineStr">
        <is>
          <t>666</t>
        </is>
      </c>
    </row>
    <row r="219">
      <c r="A219" t="inlineStr">
        <is>
          <t>41 OJAICATE VELA, GILBERTO.pdf</t>
        </is>
      </c>
      <c r="B219">
        <f>HYPERLINK("C:\Users\lmonroy\Tema\ALTAS\ALTAS 26-12-2023\41 OJAICATE VELA, GILBERTO.pdf", "Link")</f>
        <v/>
      </c>
      <c r="C219" t="n">
        <v>35462</v>
      </c>
      <c r="D219" t="inlineStr">
        <is>
          <t>2023-12-26 15:48:53</t>
        </is>
      </c>
      <c r="E219" t="inlineStr">
        <is>
          <t>2023-12-26 15:48:53</t>
        </is>
      </c>
      <c r="F219" t="inlineStr">
        <is>
          <t>666</t>
        </is>
      </c>
    </row>
    <row r="220">
      <c r="A220" t="inlineStr">
        <is>
          <t>42 OJAICATE ARAHUATA, JONAS.pdf</t>
        </is>
      </c>
      <c r="B220">
        <f>HYPERLINK("C:\Users\lmonroy\Tema\ALTAS\ALTAS 26-12-2023\42 OJAICATE ARAHUATA, JONAS.pdf", "Link")</f>
        <v/>
      </c>
      <c r="C220" t="n">
        <v>34975</v>
      </c>
      <c r="D220" t="inlineStr">
        <is>
          <t>2023-12-26 15:48:54</t>
        </is>
      </c>
      <c r="E220" t="inlineStr">
        <is>
          <t>2023-12-26 15:48:54</t>
        </is>
      </c>
      <c r="F220" t="inlineStr">
        <is>
          <t>666</t>
        </is>
      </c>
    </row>
    <row r="221">
      <c r="A221" t="inlineStr">
        <is>
          <t>43 QUISTO CLEMENTE, ANTONIO.pdf</t>
        </is>
      </c>
      <c r="B221">
        <f>HYPERLINK("C:\Users\lmonroy\Tema\ALTAS\ALTAS 26-12-2023\43 QUISTO CLEMENTE, ANTONIO.pdf", "Link")</f>
        <v/>
      </c>
      <c r="C221" t="n">
        <v>35460</v>
      </c>
      <c r="D221" t="inlineStr">
        <is>
          <t>2023-12-26 15:48:55</t>
        </is>
      </c>
      <c r="E221" t="inlineStr">
        <is>
          <t>2023-12-26 15:48:54</t>
        </is>
      </c>
      <c r="F221" t="inlineStr">
        <is>
          <t>666</t>
        </is>
      </c>
    </row>
    <row r="222">
      <c r="A222" t="inlineStr">
        <is>
          <t>44 RAMON ARAHUATE, ISAAC.pdf</t>
        </is>
      </c>
      <c r="B222">
        <f>HYPERLINK("C:\Users\lmonroy\Tema\ALTAS\ALTAS 26-12-2023\44 RAMON ARAHUATE, ISAAC.pdf", "Link")</f>
        <v/>
      </c>
      <c r="C222" t="n">
        <v>35452</v>
      </c>
      <c r="D222" t="inlineStr">
        <is>
          <t>2023-12-26 15:48:55</t>
        </is>
      </c>
      <c r="E222" t="inlineStr">
        <is>
          <t>2023-12-26 15:48:55</t>
        </is>
      </c>
      <c r="F222" t="inlineStr">
        <is>
          <t>666</t>
        </is>
      </c>
    </row>
    <row r="223">
      <c r="A223" t="inlineStr">
        <is>
          <t>45 RAMON ARAHUATE, JACOB.pdf</t>
        </is>
      </c>
      <c r="B223">
        <f>HYPERLINK("C:\Users\lmonroy\Tema\ALTAS\ALTAS 26-12-2023\45 RAMON ARAHUATE, JACOB.pdf", "Link")</f>
        <v/>
      </c>
      <c r="C223" t="n">
        <v>35456</v>
      </c>
      <c r="D223" t="inlineStr">
        <is>
          <t>2023-12-26 15:48:56</t>
        </is>
      </c>
      <c r="E223" t="inlineStr">
        <is>
          <t>2023-12-26 15:48:56</t>
        </is>
      </c>
      <c r="F223" t="inlineStr">
        <is>
          <t>666</t>
        </is>
      </c>
    </row>
    <row r="224">
      <c r="A224" t="inlineStr">
        <is>
          <t>46 VELA CACHIRICO, PERCY.pdf</t>
        </is>
      </c>
      <c r="B224">
        <f>HYPERLINK("C:\Users\lmonroy\Tema\ALTAS\ALTAS 26-12-2023\46 VELA CACHIRICO, PERCY.pdf", "Link")</f>
        <v/>
      </c>
      <c r="C224" t="n">
        <v>35445</v>
      </c>
      <c r="D224" t="inlineStr">
        <is>
          <t>2023-12-26 15:48:57</t>
        </is>
      </c>
      <c r="E224" t="inlineStr">
        <is>
          <t>2023-12-26 15:48:57</t>
        </is>
      </c>
      <c r="F224" t="inlineStr">
        <is>
          <t>666</t>
        </is>
      </c>
    </row>
    <row r="225">
      <c r="A225" t="inlineStr">
        <is>
          <t>47 ZARATE MOZOMBITE, JIMMY DEYNER.pdf</t>
        </is>
      </c>
      <c r="B225">
        <f>HYPERLINK("C:\Users\lmonroy\Tema\ALTAS\ALTAS 26-12-2023\47 ZARATE MOZOMBITE, JIMMY DEYNER.pdf", "Link")</f>
        <v/>
      </c>
      <c r="C225" t="n">
        <v>34958</v>
      </c>
      <c r="D225" t="inlineStr">
        <is>
          <t>2023-12-26 16:26:39</t>
        </is>
      </c>
      <c r="E225" t="inlineStr">
        <is>
          <t>2023-12-26 16:26:38</t>
        </is>
      </c>
      <c r="F225" t="inlineStr">
        <is>
          <t>666</t>
        </is>
      </c>
    </row>
    <row r="226">
      <c r="A226" t="inlineStr">
        <is>
          <t>48 PANDURO DACOSTA, PERCY.pdf</t>
        </is>
      </c>
      <c r="B226">
        <f>HYPERLINK("C:\Users\lmonroy\Tema\ALTAS\ALTAS 26-12-2023\48 PANDURO DACOSTA, PERCY.pdf", "Link")</f>
        <v/>
      </c>
      <c r="C226" t="n">
        <v>34968</v>
      </c>
      <c r="D226" t="inlineStr">
        <is>
          <t>2023-12-26 15:49:00</t>
        </is>
      </c>
      <c r="E226" t="inlineStr">
        <is>
          <t>2023-12-26 15:48:59</t>
        </is>
      </c>
      <c r="F226" t="inlineStr">
        <is>
          <t>666</t>
        </is>
      </c>
    </row>
    <row r="227">
      <c r="A227" t="inlineStr">
        <is>
          <t>49 INGA VERGARA, GERSON ROY.pdf</t>
        </is>
      </c>
      <c r="B227">
        <f>HYPERLINK("C:\Users\lmonroy\Tema\ALTAS\ALTAS 26-12-2023\49 INGA VERGARA, GERSON ROY.pdf", "Link")</f>
        <v/>
      </c>
      <c r="C227" t="n">
        <v>34958</v>
      </c>
      <c r="D227" t="inlineStr">
        <is>
          <t>2023-12-26 16:18:47</t>
        </is>
      </c>
      <c r="E227" t="inlineStr">
        <is>
          <t>2023-12-26 16:18:46</t>
        </is>
      </c>
      <c r="F227" t="inlineStr">
        <is>
          <t>666</t>
        </is>
      </c>
    </row>
    <row r="228">
      <c r="A228" t="inlineStr">
        <is>
          <t>50 LOPEZ DIAZ, GIORGIO JOAO.pdf</t>
        </is>
      </c>
      <c r="B228">
        <f>HYPERLINK("C:\Users\lmonroy\Tema\ALTAS\ALTAS 26-12-2023\50 LOPEZ DIAZ, GIORGIO JOAO.pdf", "Link")</f>
        <v/>
      </c>
      <c r="C228" t="n">
        <v>34931</v>
      </c>
      <c r="D228" t="inlineStr">
        <is>
          <t>2023-12-26 15:49:01</t>
        </is>
      </c>
      <c r="E228" t="inlineStr">
        <is>
          <t>2023-12-26 15:49:01</t>
        </is>
      </c>
      <c r="F228" t="inlineStr">
        <is>
          <t>666</t>
        </is>
      </c>
    </row>
    <row r="229">
      <c r="A229" t="inlineStr">
        <is>
          <t>51 TENAZOA MARAVI, WAGNER OSWALDO.pdf</t>
        </is>
      </c>
      <c r="B229">
        <f>HYPERLINK("C:\Users\lmonroy\Tema\ALTAS\ALTAS 26-12-2023\51 TENAZOA MARAVI, WAGNER OSWALDO.pdf", "Link")</f>
        <v/>
      </c>
      <c r="C229" t="n">
        <v>34946</v>
      </c>
      <c r="D229" t="inlineStr">
        <is>
          <t>2023-12-26 15:49:02</t>
        </is>
      </c>
      <c r="E229" t="inlineStr">
        <is>
          <t>2023-12-26 15:49:01</t>
        </is>
      </c>
      <c r="F229" t="inlineStr">
        <is>
          <t>666</t>
        </is>
      </c>
    </row>
    <row r="230">
      <c r="A230" t="inlineStr">
        <is>
          <t>52 MACUSI VELA, MILTON.pdf</t>
        </is>
      </c>
      <c r="B230">
        <f>HYPERLINK("C:\Users\lmonroy\Tema\ALTAS\ALTAS 26-12-2023\52 MACUSI VELA, MILTON.pdf", "Link")</f>
        <v/>
      </c>
      <c r="C230" t="n">
        <v>35021</v>
      </c>
      <c r="D230" t="inlineStr">
        <is>
          <t>2023-12-26 15:49:02</t>
        </is>
      </c>
      <c r="E230" t="inlineStr">
        <is>
          <t>2023-12-26 15:49:02</t>
        </is>
      </c>
      <c r="F230" t="inlineStr">
        <is>
          <t>666</t>
        </is>
      </c>
    </row>
    <row r="231">
      <c r="A231" t="inlineStr">
        <is>
          <t>53 VELA MACUSI, ARTURO.pdf</t>
        </is>
      </c>
      <c r="B231">
        <f>HYPERLINK("C:\Users\lmonroy\Tema\ALTAS\ALTAS 26-12-2023\53 VELA MACUSI, ARTURO.pdf", "Link")</f>
        <v/>
      </c>
      <c r="C231" t="n">
        <v>35011</v>
      </c>
      <c r="D231" t="inlineStr">
        <is>
          <t>2023-12-26 15:49:03</t>
        </is>
      </c>
      <c r="E231" t="inlineStr">
        <is>
          <t>2023-12-26 15:49:03</t>
        </is>
      </c>
      <c r="F231" t="inlineStr">
        <is>
          <t>666</t>
        </is>
      </c>
    </row>
    <row r="232">
      <c r="A232" t="inlineStr">
        <is>
          <t>54 NURIBE MACUSI, ABRAHAM.pdf</t>
        </is>
      </c>
      <c r="B232">
        <f>HYPERLINK("C:\Users\lmonroy\Tema\ALTAS\ALTAS 26-12-2023\54 NURIBE MACUSI, ABRAHAM.pdf", "Link")</f>
        <v/>
      </c>
      <c r="C232" t="n">
        <v>34969</v>
      </c>
      <c r="D232" t="inlineStr">
        <is>
          <t>2023-12-26 15:49:04</t>
        </is>
      </c>
      <c r="E232" t="inlineStr">
        <is>
          <t>2023-12-26 15:49:03</t>
        </is>
      </c>
      <c r="F232" t="inlineStr">
        <is>
          <t>666</t>
        </is>
      </c>
    </row>
    <row r="233">
      <c r="A233" t="inlineStr">
        <is>
          <t>55 DAHUA AHUANARI, DENNIS.pdf</t>
        </is>
      </c>
      <c r="B233">
        <f>HYPERLINK("C:\Users\lmonroy\Tema\ALTAS\ALTAS 26-12-2023\55 DAHUA AHUANARI, DENNIS.pdf", "Link")</f>
        <v/>
      </c>
      <c r="C233" t="n">
        <v>34971</v>
      </c>
      <c r="D233" t="inlineStr">
        <is>
          <t>2023-12-26 15:49:05</t>
        </is>
      </c>
      <c r="E233" t="inlineStr">
        <is>
          <t>2023-12-26 15:49:04</t>
        </is>
      </c>
      <c r="F233" t="inlineStr">
        <is>
          <t>666</t>
        </is>
      </c>
    </row>
    <row r="234">
      <c r="A234" t="inlineStr">
        <is>
          <t>ALTAS 26-12-2023.rar</t>
        </is>
      </c>
      <c r="B234">
        <f>HYPERLINK("C:\Users\lmonroy\Tema\ALTAS\ALTAS 26-12-2023\ALTAS 26-12-2023.rar", "Link")</f>
        <v/>
      </c>
      <c r="C234" t="n">
        <v>815293</v>
      </c>
      <c r="D234" t="inlineStr">
        <is>
          <t>2023-12-26 16:28:02</t>
        </is>
      </c>
      <c r="E234" t="inlineStr">
        <is>
          <t>2023-12-26 16:28:02</t>
        </is>
      </c>
      <c r="F234" t="inlineStr">
        <is>
          <t>666</t>
        </is>
      </c>
    </row>
    <row r="235">
      <c r="A235" t="inlineStr">
        <is>
          <t>ALTAS 26-12-2023.rar</t>
        </is>
      </c>
      <c r="B235">
        <f>HYPERLINK("C:\Users\lmonroy\Tema\ALTAS\BAJAS - 26 - 12 - 2023\ALTAS 26-12-2023.rar", "Link")</f>
        <v/>
      </c>
      <c r="C235" t="n">
        <v>72692</v>
      </c>
      <c r="D235" t="inlineStr">
        <is>
          <t>2023-12-26 22:57:41</t>
        </is>
      </c>
      <c r="E235" t="inlineStr">
        <is>
          <t>2023-12-26 22:57:41</t>
        </is>
      </c>
      <c r="F235" t="inlineStr">
        <is>
          <t>666</t>
        </is>
      </c>
    </row>
    <row r="236">
      <c r="A236" t="inlineStr">
        <is>
          <t>BAJAS 26-12-2023.rar</t>
        </is>
      </c>
      <c r="B236">
        <f>HYPERLINK("C:\Users\lmonroy\Tema\ALTAS\BAJAS - 26 - 12 - 2023\BAJAS 26-12-2023.rar", "Link")</f>
        <v/>
      </c>
      <c r="C236" t="n">
        <v>65156</v>
      </c>
      <c r="D236" t="inlineStr">
        <is>
          <t>2023-12-26 22:58:23</t>
        </is>
      </c>
      <c r="E236" t="inlineStr">
        <is>
          <t>2023-12-26 22:58:23</t>
        </is>
      </c>
      <c r="F236" t="inlineStr">
        <is>
          <t>666</t>
        </is>
      </c>
    </row>
    <row r="237">
      <c r="A237" t="inlineStr">
        <is>
          <t>BAZAN ESCALANTE OSWALDO.pdf</t>
        </is>
      </c>
      <c r="B237">
        <f>HYPERLINK("C:\Users\lmonroy\Tema\ALTAS\BAJAS - 26 - 12 - 2023\BAZAN ESCALANTE OSWALDO.pdf", "Link")</f>
        <v/>
      </c>
      <c r="C237" t="n">
        <v>6330</v>
      </c>
      <c r="D237" t="inlineStr">
        <is>
          <t>2023-12-26 22:47:43</t>
        </is>
      </c>
      <c r="E237" t="inlineStr">
        <is>
          <t>2023-12-26 22:47:42</t>
        </is>
      </c>
      <c r="F237" t="inlineStr">
        <is>
          <t>666</t>
        </is>
      </c>
    </row>
    <row r="238">
      <c r="A238" t="inlineStr">
        <is>
          <t>BERMUDEZ NAPAN JUAN LUIS.pdf</t>
        </is>
      </c>
      <c r="B238">
        <f>HYPERLINK("C:\Users\lmonroy\Tema\ALTAS\BAJAS - 26 - 12 - 2023\BERMUDEZ NAPAN JUAN LUIS.pdf", "Link")</f>
        <v/>
      </c>
      <c r="C238" t="n">
        <v>6336</v>
      </c>
      <c r="D238" t="inlineStr">
        <is>
          <t>2023-12-26 22:42:15</t>
        </is>
      </c>
      <c r="E238" t="inlineStr">
        <is>
          <t>2023-12-26 22:42:14</t>
        </is>
      </c>
      <c r="F238" t="inlineStr">
        <is>
          <t>666</t>
        </is>
      </c>
    </row>
    <row r="239">
      <c r="A239" t="inlineStr">
        <is>
          <t>ESPINOZA RODRIGUEZ ALONSO GABRIEL.pdf</t>
        </is>
      </c>
      <c r="B239">
        <f>HYPERLINK("C:\Users\lmonroy\Tema\ALTAS\BAJAS - 26 - 12 - 2023\ESPINOZA RODRIGUEZ ALONSO GABRIEL.pdf", "Link")</f>
        <v/>
      </c>
      <c r="C239" t="n">
        <v>6345</v>
      </c>
      <c r="D239" t="inlineStr">
        <is>
          <t>2023-12-26 22:44:32</t>
        </is>
      </c>
      <c r="E239" t="inlineStr">
        <is>
          <t>2023-12-26 22:44:31</t>
        </is>
      </c>
      <c r="F239" t="inlineStr">
        <is>
          <t>666</t>
        </is>
      </c>
    </row>
    <row r="240">
      <c r="A240" t="inlineStr">
        <is>
          <t>GUEVARA MOGROVEJO ALEJANDRO.pdf</t>
        </is>
      </c>
      <c r="B240">
        <f>HYPERLINK("C:\Users\lmonroy\Tema\ALTAS\BAJAS - 26 - 12 - 2023\GUEVARA MOGROVEJO ALEJANDRO.pdf", "Link")</f>
        <v/>
      </c>
      <c r="C240" t="n">
        <v>6338</v>
      </c>
      <c r="D240" t="inlineStr">
        <is>
          <t>2023-12-26 22:43:11</t>
        </is>
      </c>
      <c r="E240" t="inlineStr">
        <is>
          <t>2023-12-26 22:43:10</t>
        </is>
      </c>
      <c r="F240" t="inlineStr">
        <is>
          <t>666</t>
        </is>
      </c>
    </row>
    <row r="241">
      <c r="A241" t="inlineStr">
        <is>
          <t>LINGAN ASTOQUILCA LUIS ALBERTO.pdf</t>
        </is>
      </c>
      <c r="B241">
        <f>HYPERLINK("C:\Users\lmonroy\Tema\ALTAS\BAJAS - 26 - 12 - 2023\LINGAN ASTOQUILCA LUIS ALBERTO.pdf", "Link")</f>
        <v/>
      </c>
      <c r="C241" t="n">
        <v>6342</v>
      </c>
      <c r="D241" t="inlineStr">
        <is>
          <t>2023-12-26 22:47:03</t>
        </is>
      </c>
      <c r="E241" t="inlineStr">
        <is>
          <t>2023-12-26 22:47:02</t>
        </is>
      </c>
      <c r="F241" t="inlineStr">
        <is>
          <t>666</t>
        </is>
      </c>
    </row>
    <row r="242">
      <c r="A242" t="inlineStr">
        <is>
          <t>MORAN VALVERDE JENYFFER JOHANNA.pdf</t>
        </is>
      </c>
      <c r="B242">
        <f>HYPERLINK("C:\Users\lmonroy\Tema\ALTAS\BAJAS - 26 - 12 - 2023\MORAN VALVERDE JENYFFER JOHANNA.pdf", "Link")</f>
        <v/>
      </c>
      <c r="C242" t="n">
        <v>6342</v>
      </c>
      <c r="D242" t="inlineStr">
        <is>
          <t>2023-12-26 22:43:58</t>
        </is>
      </c>
      <c r="E242" t="inlineStr">
        <is>
          <t>2023-12-26 22:43:57</t>
        </is>
      </c>
      <c r="F242" t="inlineStr">
        <is>
          <t>666</t>
        </is>
      </c>
    </row>
    <row r="243">
      <c r="A243" t="inlineStr">
        <is>
          <t>OCAMPO MACEDA ANA TERESA.pdf</t>
        </is>
      </c>
      <c r="B243">
        <f>HYPERLINK("C:\Users\lmonroy\Tema\ALTAS\BAJAS - 26 - 12 - 2023\OCAMPO MACEDA ANA TERESA.pdf", "Link")</f>
        <v/>
      </c>
      <c r="C243" t="n">
        <v>6333</v>
      </c>
      <c r="D243" t="inlineStr">
        <is>
          <t>2023-12-26 22:41:12</t>
        </is>
      </c>
      <c r="E243" t="inlineStr">
        <is>
          <t>2023-12-26 22:41:10</t>
        </is>
      </c>
      <c r="F243" t="inlineStr">
        <is>
          <t>666</t>
        </is>
      </c>
    </row>
    <row r="244">
      <c r="A244" t="inlineStr">
        <is>
          <t>QUIROZ CHICOMA CESAR DANIEL.pdf</t>
        </is>
      </c>
      <c r="B244">
        <f>HYPERLINK("C:\Users\lmonroy\Tema\ALTAS\BAJAS - 26 - 12 - 2023\QUIROZ CHICOMA CESAR DANIEL.pdf", "Link")</f>
        <v/>
      </c>
      <c r="C244" t="n">
        <v>6331</v>
      </c>
      <c r="D244" t="inlineStr">
        <is>
          <t>2023-12-26 22:48:17</t>
        </is>
      </c>
      <c r="E244" t="inlineStr">
        <is>
          <t>2023-12-26 22:48:16</t>
        </is>
      </c>
      <c r="F244" t="inlineStr">
        <is>
          <t>666</t>
        </is>
      </c>
    </row>
    <row r="245">
      <c r="A245" t="inlineStr">
        <is>
          <t>REAÑO SOPLIN LUIS MIGUEL.pdf</t>
        </is>
      </c>
      <c r="B245">
        <f>HYPERLINK("C:\Users\lmonroy\Tema\ALTAS\BAJAS - 26 - 12 - 2023\REAÑO SOPLIN LUIS MIGUEL.pdf", "Link")</f>
        <v/>
      </c>
      <c r="C245" t="n">
        <v>6277</v>
      </c>
      <c r="D245" t="inlineStr">
        <is>
          <t>2023-12-26 22:48:57</t>
        </is>
      </c>
      <c r="E245" t="inlineStr">
        <is>
          <t>2023-12-26 22:48:56</t>
        </is>
      </c>
      <c r="F245" t="inlineStr">
        <is>
          <t>666</t>
        </is>
      </c>
    </row>
    <row r="246">
      <c r="A246" t="inlineStr">
        <is>
          <t>SERNA FERNANDEZ DARWIN.pdf</t>
        </is>
      </c>
      <c r="B246">
        <f>HYPERLINK("C:\Users\lmonroy\Tema\ALTAS\BAJAS - 26 - 12 - 2023\SERNA FERNANDEZ DARWIN.pdf", "Link")</f>
        <v/>
      </c>
      <c r="C246" t="n">
        <v>6334</v>
      </c>
      <c r="D246" t="inlineStr">
        <is>
          <t>2023-12-26 22:45:13</t>
        </is>
      </c>
      <c r="E246" t="inlineStr">
        <is>
          <t>2023-12-26 22:45:12</t>
        </is>
      </c>
      <c r="F246" t="inlineStr">
        <is>
          <t>666</t>
        </is>
      </c>
    </row>
    <row r="247">
      <c r="A247" t="inlineStr">
        <is>
          <t>VALDIVIEZO ALVARADO DAVID.pdf</t>
        </is>
      </c>
      <c r="B247">
        <f>HYPERLINK("C:\Users\lmonroy\Tema\ALTAS\BAJAS - 26 - 12 - 2023\VALDIVIEZO ALVARADO DAVID.pdf", "Link")</f>
        <v/>
      </c>
      <c r="C247" t="n">
        <v>6338</v>
      </c>
      <c r="D247" t="inlineStr">
        <is>
          <t>2023-12-26 22:46:29</t>
        </is>
      </c>
      <c r="E247" t="inlineStr">
        <is>
          <t>2023-12-26 22:46:28</t>
        </is>
      </c>
      <c r="F247" t="inlineStr">
        <is>
          <t>666</t>
        </is>
      </c>
    </row>
    <row r="248">
      <c r="A248" t="inlineStr">
        <is>
          <t>VALENTIN DELGADO DAVID ALONZO.pdf</t>
        </is>
      </c>
      <c r="B248">
        <f>HYPERLINK("C:\Users\lmonroy\Tema\ALTAS\BAJAS - 26 - 12 - 2023\VALENTIN DELGADO DAVID ALONZO.pdf", "Link")</f>
        <v/>
      </c>
      <c r="C248" t="n">
        <v>6340</v>
      </c>
      <c r="D248" t="inlineStr">
        <is>
          <t>2023-12-26 22:45:50</t>
        </is>
      </c>
      <c r="E248" t="inlineStr">
        <is>
          <t>2023-12-26 22:45:49</t>
        </is>
      </c>
      <c r="F248" t="inlineStr">
        <is>
          <t>666</t>
        </is>
      </c>
    </row>
    <row r="249">
      <c r="A249" t="inlineStr">
        <is>
          <t>BAJAS 26-01-2024 CON ERROR.rar</t>
        </is>
      </c>
      <c r="B249">
        <f>HYPERLINK("C:\Users\lmonroy\Tema\ALTAS\bajas 26-01-2024\BAJAS 26-01-2024 CON ERROR.rar", "Link")</f>
        <v/>
      </c>
      <c r="C249" t="n">
        <v>32546</v>
      </c>
      <c r="D249" t="inlineStr">
        <is>
          <t>2024-01-26 17:23:17</t>
        </is>
      </c>
      <c r="E249" t="inlineStr">
        <is>
          <t>2024-01-26 17:23:17</t>
        </is>
      </c>
      <c r="F249" t="inlineStr">
        <is>
          <t>666</t>
        </is>
      </c>
    </row>
    <row r="250">
      <c r="A250" t="inlineStr">
        <is>
          <t>ESTRELLA LOPEZ EDGAR EDWIN.pdf</t>
        </is>
      </c>
      <c r="B250">
        <f>HYPERLINK("C:\Users\lmonroy\Tema\ALTAS\bajas 26-01-2024\ESTRELLA LOPEZ EDGAR EDWIN.pdf", "Link")</f>
        <v/>
      </c>
      <c r="C250" t="n">
        <v>6337</v>
      </c>
      <c r="D250" t="inlineStr">
        <is>
          <t>2024-01-26 17:18:47</t>
        </is>
      </c>
      <c r="E250" t="inlineStr">
        <is>
          <t>2024-01-26 17:18:46</t>
        </is>
      </c>
      <c r="F250" t="inlineStr">
        <is>
          <t>666</t>
        </is>
      </c>
    </row>
    <row r="251">
      <c r="A251" t="inlineStr">
        <is>
          <t>FARINAS CARRERA JOSE JESUS.pdf</t>
        </is>
      </c>
      <c r="B251">
        <f>HYPERLINK("C:\Users\lmonroy\Tema\ALTAS\bajas 26-01-2024\FARINAS CARRERA JOSE JESUS.pdf", "Link")</f>
        <v/>
      </c>
      <c r="C251" t="n">
        <v>6333</v>
      </c>
      <c r="D251" t="inlineStr">
        <is>
          <t>2024-01-26 17:20:03</t>
        </is>
      </c>
      <c r="E251" t="inlineStr">
        <is>
          <t>2024-01-26 17:20:02</t>
        </is>
      </c>
      <c r="F251" t="inlineStr">
        <is>
          <t>666</t>
        </is>
      </c>
    </row>
    <row r="252">
      <c r="A252" t="inlineStr">
        <is>
          <t>GALARZA BALDEON JOSE ENRIQUE.pdf</t>
        </is>
      </c>
      <c r="B252">
        <f>HYPERLINK("C:\Users\lmonroy\Tema\ALTAS\bajas 26-01-2024\GALARZA BALDEON JOSE ENRIQUE.pdf", "Link")</f>
        <v/>
      </c>
      <c r="C252" t="n">
        <v>6335</v>
      </c>
      <c r="D252" t="inlineStr">
        <is>
          <t>2024-01-26 17:15:43</t>
        </is>
      </c>
      <c r="E252" t="inlineStr">
        <is>
          <t>2024-01-26 17:15:41</t>
        </is>
      </c>
      <c r="F252" t="inlineStr">
        <is>
          <t>666</t>
        </is>
      </c>
    </row>
    <row r="253">
      <c r="A253" t="inlineStr">
        <is>
          <t>GOITIA NORBERTO LUIS.pdf</t>
        </is>
      </c>
      <c r="B253">
        <f>HYPERLINK("C:\Users\lmonroy\Tema\ALTAS\bajas 26-01-2024\GOITIA NORBERTO LUIS.pdf", "Link")</f>
        <v/>
      </c>
      <c r="C253" t="n">
        <v>6330</v>
      </c>
      <c r="D253" t="inlineStr">
        <is>
          <t>2024-01-26 17:20:32</t>
        </is>
      </c>
      <c r="E253" t="inlineStr">
        <is>
          <t>2024-01-26 17:20:31</t>
        </is>
      </c>
      <c r="F253" t="inlineStr">
        <is>
          <t>666</t>
        </is>
      </c>
    </row>
    <row r="254">
      <c r="A254" t="inlineStr">
        <is>
          <t>LARA DE COSSIO FABIO DAVID.pdf</t>
        </is>
      </c>
      <c r="B254">
        <f>HYPERLINK("C:\Users\lmonroy\Tema\ALTAS\bajas 26-01-2024\LARA DE COSSIO FABIO DAVID.pdf", "Link")</f>
        <v/>
      </c>
      <c r="C254" t="n">
        <v>6327</v>
      </c>
      <c r="D254" t="inlineStr">
        <is>
          <t>2024-01-26 17:17:36</t>
        </is>
      </c>
      <c r="E254" t="inlineStr">
        <is>
          <t>2024-01-26 17:17:35</t>
        </is>
      </c>
      <c r="F254" t="inlineStr">
        <is>
          <t>666</t>
        </is>
      </c>
    </row>
    <row r="255">
      <c r="A255" t="inlineStr">
        <is>
          <t>ROSAS ROJAS JACOB.pdf</t>
        </is>
      </c>
      <c r="B255">
        <f>HYPERLINK("C:\Users\lmonroy\Tema\ALTAS\bajas 26-01-2024\ROSAS ROJAS JACOB.pdf", "Link")</f>
        <v/>
      </c>
      <c r="C255" t="n">
        <v>6329</v>
      </c>
      <c r="D255" t="inlineStr">
        <is>
          <t>2024-01-26 17:19:21</t>
        </is>
      </c>
      <c r="E255" t="inlineStr">
        <is>
          <t>2024-01-26 17:19:20</t>
        </is>
      </c>
      <c r="F255" t="inlineStr">
        <is>
          <t>666</t>
        </is>
      </c>
    </row>
    <row r="256">
      <c r="A256" t="inlineStr">
        <is>
          <t>AHUITE Y ARIRAMA.pdf</t>
        </is>
      </c>
      <c r="B256">
        <f>HYPERLINK("C:\Users\lmonroy\Tema\ALTAS\BAJAS-05-12-2023\AHUITE Y ARIRAMA.pdf", "Link")</f>
        <v/>
      </c>
      <c r="C256" t="n">
        <v>164983</v>
      </c>
      <c r="D256" t="inlineStr">
        <is>
          <t>2023-12-10 06:55:38</t>
        </is>
      </c>
      <c r="E256" t="inlineStr">
        <is>
          <t>2023-12-10 06:55:36</t>
        </is>
      </c>
      <c r="F256" t="inlineStr">
        <is>
          <t>666</t>
        </is>
      </c>
    </row>
    <row r="257">
      <c r="A257" t="inlineStr">
        <is>
          <t>CHOTA NURIVE.pdf</t>
        </is>
      </c>
      <c r="B257">
        <f>HYPERLINK("C:\Users\lmonroy\Tema\ALTAS\BAJAS-05-12-2023\CHOTA NURIVE.pdf", "Link")</f>
        <v/>
      </c>
      <c r="C257" t="n">
        <v>93762</v>
      </c>
      <c r="D257" t="inlineStr">
        <is>
          <t>2023-12-10 06:55:55</t>
        </is>
      </c>
      <c r="E257" t="inlineStr">
        <is>
          <t>2023-12-10 06:55:54</t>
        </is>
      </c>
      <c r="F257" t="inlineStr">
        <is>
          <t>666</t>
        </is>
      </c>
    </row>
    <row r="258">
      <c r="A258" t="inlineStr">
        <is>
          <t>JIMENEZ VASAQUEZ.pdf</t>
        </is>
      </c>
      <c r="B258">
        <f>HYPERLINK("C:\Users\lmonroy\Tema\ALTAS\BAJAS-05-12-2023\JIMENEZ VASAQUEZ.pdf", "Link")</f>
        <v/>
      </c>
      <c r="C258" t="n">
        <v>92920</v>
      </c>
      <c r="D258" t="inlineStr">
        <is>
          <t>2023-12-10 06:56:18</t>
        </is>
      </c>
      <c r="E258" t="inlineStr">
        <is>
          <t>2023-12-10 06:56:16</t>
        </is>
      </c>
      <c r="F258" t="inlineStr">
        <is>
          <t>666</t>
        </is>
      </c>
    </row>
    <row r="259">
      <c r="A259" t="inlineStr">
        <is>
          <t>MACUSI, MANAJOS, MAYANCHIS Y MURAYARI.pdf</t>
        </is>
      </c>
      <c r="B259">
        <f>HYPERLINK("C:\Users\lmonroy\Tema\ALTAS\BAJAS-05-12-2023\MACUSI, MANAJOS, MAYANCHIS Y MURAYARI.pdf", "Link")</f>
        <v/>
      </c>
      <c r="C259" t="n">
        <v>627121</v>
      </c>
      <c r="D259" t="inlineStr">
        <is>
          <t>2023-12-10 06:57:19</t>
        </is>
      </c>
      <c r="E259" t="inlineStr">
        <is>
          <t>2023-12-10 06:57:15</t>
        </is>
      </c>
      <c r="F259" t="inlineStr">
        <is>
          <t>666</t>
        </is>
      </c>
    </row>
    <row r="260">
      <c r="A260" t="inlineStr">
        <is>
          <t>YAICATE CUNAYAPA MARTHER.pdf</t>
        </is>
      </c>
      <c r="B260">
        <f>HYPERLINK("C:\Users\lmonroy\Tema\ALTAS\BAJAS-05-12-2023\YAICATE CUNAYAPA MARTHER.pdf", "Link")</f>
        <v/>
      </c>
      <c r="C260" t="n">
        <v>91458</v>
      </c>
      <c r="D260" t="inlineStr">
        <is>
          <t>2023-12-10 06:55:02</t>
        </is>
      </c>
      <c r="E260" t="inlineStr">
        <is>
          <t>2023-12-10 06:55:00</t>
        </is>
      </c>
      <c r="F260" t="inlineStr">
        <is>
          <t>666</t>
        </is>
      </c>
    </row>
    <row r="261">
      <c r="A261" t="inlineStr">
        <is>
          <t>Archivos_y_rutas.xlsx</t>
        </is>
      </c>
      <c r="B261">
        <f>HYPERLINK("C:\Users\lmonroy\Tema\Archivos\Archivos_y_rutas.xlsx", "Link")</f>
        <v/>
      </c>
      <c r="C261" t="n">
        <v>4895</v>
      </c>
      <c r="D261" t="inlineStr">
        <is>
          <t>2024-05-16 11:05:06</t>
        </is>
      </c>
      <c r="E261" t="inlineStr">
        <is>
          <t>2024-04-19 09:03:08</t>
        </is>
      </c>
      <c r="F261" t="inlineStr">
        <is>
          <t>666</t>
        </is>
      </c>
    </row>
    <row r="262">
      <c r="A262" t="inlineStr">
        <is>
          <t>CarpetasHSE.py</t>
        </is>
      </c>
      <c r="B262">
        <f>HYPERLINK("C:\Users\lmonroy\Tema\Archivos\CarpetasHSE.py", "Link")</f>
        <v/>
      </c>
      <c r="C262" t="n">
        <v>2325</v>
      </c>
      <c r="D262" t="inlineStr">
        <is>
          <t>2024-04-25 11:40:57</t>
        </is>
      </c>
      <c r="E262" t="inlineStr">
        <is>
          <t>2024-04-25 11:36:57</t>
        </is>
      </c>
      <c r="F262" t="inlineStr">
        <is>
          <t>666</t>
        </is>
      </c>
    </row>
    <row r="263">
      <c r="A263" t="inlineStr">
        <is>
          <t>cat_ocupa.sql</t>
        </is>
      </c>
      <c r="B263">
        <f>HYPERLINK("C:\Users\lmonroy\Tema\Archivos\cat_ocupa.sql", "Link")</f>
        <v/>
      </c>
      <c r="C263" t="n">
        <v>1523</v>
      </c>
      <c r="D263" t="inlineStr">
        <is>
          <t>2024-05-06 13:13:40</t>
        </is>
      </c>
      <c r="E263" t="inlineStr">
        <is>
          <t>2024-05-06 12:15:16</t>
        </is>
      </c>
      <c r="F263" t="inlineStr">
        <is>
          <t>666</t>
        </is>
      </c>
    </row>
    <row r="264">
      <c r="A264" t="inlineStr">
        <is>
          <t>dashboard.py</t>
        </is>
      </c>
      <c r="B264">
        <f>HYPERLINK("C:\Users\lmonroy\Tema\Archivos\dashboard.py", "Link")</f>
        <v/>
      </c>
      <c r="C264" t="n">
        <v>848</v>
      </c>
      <c r="D264" t="inlineStr">
        <is>
          <t>2024-04-26 15:16:08</t>
        </is>
      </c>
      <c r="E264" t="inlineStr">
        <is>
          <t>2024-04-26 15:16:05</t>
        </is>
      </c>
      <c r="F264" t="inlineStr">
        <is>
          <t>666</t>
        </is>
      </c>
    </row>
    <row r="265">
      <c r="A265" t="inlineStr">
        <is>
          <t>FileRecordCounter.py</t>
        </is>
      </c>
      <c r="B265">
        <f>HYPERLINK("C:\Users\lmonroy\Tema\Archivos\FileRecordCounter.py", "Link")</f>
        <v/>
      </c>
      <c r="C265" t="n">
        <v>1219</v>
      </c>
      <c r="D265" t="inlineStr">
        <is>
          <t>2024-04-29 18:32:31</t>
        </is>
      </c>
      <c r="E265" t="inlineStr">
        <is>
          <t>2024-04-29 17:53:44</t>
        </is>
      </c>
      <c r="F265" t="inlineStr">
        <is>
          <t>666</t>
        </is>
      </c>
    </row>
    <row r="266">
      <c r="A266" t="inlineStr">
        <is>
          <t>Filtrar_informacion.py</t>
        </is>
      </c>
      <c r="B266">
        <f>HYPERLINK("C:\Users\lmonroy\Tema\Archivos\Filtrar_informacion.py", "Link")</f>
        <v/>
      </c>
      <c r="C266" t="n">
        <v>1012</v>
      </c>
      <c r="D266" t="inlineStr">
        <is>
          <t>2024-04-26 15:15:24</t>
        </is>
      </c>
      <c r="E266" t="inlineStr">
        <is>
          <t>2024-04-26 14:32:00</t>
        </is>
      </c>
      <c r="F266" t="inlineStr">
        <is>
          <t>666</t>
        </is>
      </c>
    </row>
    <row r="267">
      <c r="A267" t="inlineStr">
        <is>
          <t>listar_archivos.py</t>
        </is>
      </c>
      <c r="B267">
        <f>HYPERLINK("C:\Users\lmonroy\Tema\Archivos\listar_archivos.py", "Link")</f>
        <v/>
      </c>
      <c r="C267" t="n">
        <v>2491</v>
      </c>
      <c r="D267" t="inlineStr">
        <is>
          <t>2024-05-16 11:14:41</t>
        </is>
      </c>
      <c r="E267" t="inlineStr">
        <is>
          <t>2024-04-19 08:59:09</t>
        </is>
      </c>
      <c r="F267" t="inlineStr">
        <is>
          <t>666</t>
        </is>
      </c>
    </row>
    <row r="268">
      <c r="A268" t="inlineStr">
        <is>
          <t>masterDB.py</t>
        </is>
      </c>
      <c r="B268">
        <f>HYPERLINK("C:\Users\lmonroy\Tema\Archivos\masterDB.py", "Link")</f>
        <v/>
      </c>
      <c r="C268" t="n">
        <v>1830</v>
      </c>
      <c r="D268" t="inlineStr">
        <is>
          <t>2024-05-14 16:00:18</t>
        </is>
      </c>
      <c r="E268" t="inlineStr">
        <is>
          <t>2024-05-14 15:56:49</t>
        </is>
      </c>
      <c r="F268" t="inlineStr">
        <is>
          <t>666</t>
        </is>
      </c>
    </row>
    <row r="269">
      <c r="A269" t="inlineStr">
        <is>
          <t>masterDBFecha.py</t>
        </is>
      </c>
      <c r="B269">
        <f>HYPERLINK("C:\Users\lmonroy\Tema\Archivos\masterDBFecha.py", "Link")</f>
        <v/>
      </c>
      <c r="C269" t="n">
        <v>2014</v>
      </c>
      <c r="D269" t="inlineStr">
        <is>
          <t>2024-05-15 14:49:11</t>
        </is>
      </c>
      <c r="E269" t="inlineStr">
        <is>
          <t>2024-05-15 14:49:06</t>
        </is>
      </c>
      <c r="F269" t="inlineStr">
        <is>
          <t>666</t>
        </is>
      </c>
    </row>
    <row r="270">
      <c r="A270" t="inlineStr">
        <is>
          <t>read_excel_files.py</t>
        </is>
      </c>
      <c r="B270">
        <f>HYPERLINK("C:\Users\lmonroy\Tema\Archivos\read_excel_files.py", "Link")</f>
        <v/>
      </c>
      <c r="C270" t="n">
        <v>1864</v>
      </c>
      <c r="D270" t="inlineStr">
        <is>
          <t>2024-04-26 08:50:55</t>
        </is>
      </c>
      <c r="E270" t="inlineStr">
        <is>
          <t>2024-04-26 08:36:26</t>
        </is>
      </c>
      <c r="F270" t="inlineStr">
        <is>
          <t>666</t>
        </is>
      </c>
    </row>
    <row r="271">
      <c r="A271" t="inlineStr">
        <is>
          <t>RESULTADOS.xlsx</t>
        </is>
      </c>
      <c r="B271">
        <f>HYPERLINK("C:\Users\lmonroy\Tema\Archivos\RESULTADOS.xlsx", "Link")</f>
        <v/>
      </c>
      <c r="C271" t="n">
        <v>7394</v>
      </c>
      <c r="D271" t="inlineStr">
        <is>
          <t>2024-04-26 10:53:13</t>
        </is>
      </c>
      <c r="E271" t="inlineStr">
        <is>
          <t>2024-04-26 08:49:13</t>
        </is>
      </c>
      <c r="F271" t="inlineStr">
        <is>
          <t>666</t>
        </is>
      </c>
    </row>
    <row r="272">
      <c r="A272" t="inlineStr">
        <is>
          <t>Resumen.py</t>
        </is>
      </c>
      <c r="B272">
        <f>HYPERLINK("C:\Users\lmonroy\Tema\Archivos\Resumen.py", "Link")</f>
        <v/>
      </c>
      <c r="C272" t="n">
        <v>2061</v>
      </c>
      <c r="D272" t="inlineStr">
        <is>
          <t>2024-04-26 10:07:11</t>
        </is>
      </c>
      <c r="E272" t="inlineStr">
        <is>
          <t>2024-04-25 19:10:26</t>
        </is>
      </c>
      <c r="F272" t="inlineStr">
        <is>
          <t>666</t>
        </is>
      </c>
    </row>
    <row r="273">
      <c r="A273" t="inlineStr">
        <is>
          <t>Resumen_Doc.py</t>
        </is>
      </c>
      <c r="B273">
        <f>HYPERLINK("C:\Users\lmonroy\Tema\Archivos\Resumen_Doc.py", "Link")</f>
        <v/>
      </c>
      <c r="C273" t="n">
        <v>2285</v>
      </c>
      <c r="D273" t="inlineStr">
        <is>
          <t>2024-04-26 10:49:12</t>
        </is>
      </c>
      <c r="E273" t="inlineStr">
        <is>
          <t>2024-04-26 10:28:20</t>
        </is>
      </c>
      <c r="F273" t="inlineStr">
        <is>
          <t>666</t>
        </is>
      </c>
    </row>
    <row r="274">
      <c r="A274" t="inlineStr">
        <is>
          <t>SearchTextInFiles.py</t>
        </is>
      </c>
      <c r="B274">
        <f>HYPERLINK("C:\Users\lmonroy\Tema\Archivos\SearchTextInFiles.py", "Link")</f>
        <v/>
      </c>
      <c r="C274" t="n">
        <v>2069</v>
      </c>
      <c r="D274" t="inlineStr">
        <is>
          <t>2024-05-02 11:21:33</t>
        </is>
      </c>
      <c r="E274" t="inlineStr">
        <is>
          <t>2024-05-02 11:21:33</t>
        </is>
      </c>
      <c r="F274" t="inlineStr">
        <is>
          <t>666</t>
        </is>
      </c>
    </row>
    <row r="275">
      <c r="A275" t="inlineStr">
        <is>
          <t>Seleccion.py</t>
        </is>
      </c>
      <c r="B275">
        <f>HYPERLINK("C:\Users\lmonroy\Tema\Archivos\Seleccion.py", "Link")</f>
        <v/>
      </c>
      <c r="C275" t="n">
        <v>2352</v>
      </c>
      <c r="D275" t="inlineStr">
        <is>
          <t>2024-04-26 09:37:53</t>
        </is>
      </c>
      <c r="E275" t="inlineStr">
        <is>
          <t>2024-04-25 18:31:42</t>
        </is>
      </c>
      <c r="F275" t="inlineStr">
        <is>
          <t>666</t>
        </is>
      </c>
    </row>
    <row r="276">
      <c r="A276" t="inlineStr">
        <is>
          <t>tipo_contrato.sql</t>
        </is>
      </c>
      <c r="B276">
        <f>HYPERLINK("C:\Users\lmonroy\Tema\Archivos\tipo_contrato.sql", "Link")</f>
        <v/>
      </c>
      <c r="C276" t="n">
        <v>4726</v>
      </c>
      <c r="D276" t="inlineStr">
        <is>
          <t>2024-05-06 12:15:05</t>
        </is>
      </c>
      <c r="E276" t="inlineStr">
        <is>
          <t>2024-05-06 11:55:24</t>
        </is>
      </c>
      <c r="F276" t="inlineStr">
        <is>
          <t>666</t>
        </is>
      </c>
    </row>
    <row r="277">
      <c r="A277" t="inlineStr">
        <is>
          <t>Archivos_y_rutas.xlsx</t>
        </is>
      </c>
      <c r="B277">
        <f>HYPERLINK("C:\Users\lmonroy\Tema\archivos_red\Archivos_y_rutas.xlsx", "Link")</f>
        <v/>
      </c>
      <c r="C277" t="n">
        <v>108908</v>
      </c>
      <c r="D277" t="inlineStr">
        <is>
          <t>2024-05-16 11:10:50</t>
        </is>
      </c>
      <c r="E277" t="inlineStr">
        <is>
          <t>2024-05-16 11:06:43</t>
        </is>
      </c>
      <c r="F277" t="inlineStr">
        <is>
          <t>666</t>
        </is>
      </c>
    </row>
    <row r="278">
      <c r="A278" t="inlineStr">
        <is>
          <t>~$Archivos_y_rutas.xlsx</t>
        </is>
      </c>
      <c r="B278">
        <f>HYPERLINK("C:\Users\lmonroy\Tema\archivos_red\~$Archivos_y_rutas.xlsx", "Link")</f>
        <v/>
      </c>
      <c r="C278" t="n">
        <v>165</v>
      </c>
      <c r="D278" t="inlineStr">
        <is>
          <t>2024-05-16 11:10:59</t>
        </is>
      </c>
      <c r="E278" t="inlineStr">
        <is>
          <t>2024-05-16 11:10:59</t>
        </is>
      </c>
      <c r="F278" t="inlineStr">
        <is>
          <t>666</t>
        </is>
      </c>
    </row>
    <row r="279">
      <c r="A279" t="inlineStr">
        <is>
          <t>LD PROYECTOS TEMA GENERAL.xlsm</t>
        </is>
      </c>
      <c r="B279">
        <f>HYPERLINK("C:\Users\lmonroy\Tema\archivos_red\Origen\FILTRADOS_PROYECTOS\LD PROYECTOS TEMA GENERAL.xlsm", "Link")</f>
        <v/>
      </c>
      <c r="C279" t="n">
        <v>16540359</v>
      </c>
      <c r="D279" t="inlineStr">
        <is>
          <t>2024-04-30 18:12:55</t>
        </is>
      </c>
      <c r="E279" t="inlineStr">
        <is>
          <t>2024-04-26 17:02:08</t>
        </is>
      </c>
      <c r="F279" t="inlineStr">
        <is>
          <t>666</t>
        </is>
      </c>
    </row>
    <row r="280">
      <c r="A280" t="inlineStr">
        <is>
          <t>LD PROYECTOS TEMA GENERAL.xlsx</t>
        </is>
      </c>
      <c r="B280">
        <f>HYPERLINK("C:\Users\lmonroy\Tema\archivos_red\Origen\FILTRADOS_PROYECTOS\LD PROYECTOS TEMA GENERAL.xlsx", "Link")</f>
        <v/>
      </c>
      <c r="C280" t="n">
        <v>14624126</v>
      </c>
      <c r="D280" t="inlineStr">
        <is>
          <t>2024-04-26 17:38:50</t>
        </is>
      </c>
      <c r="E280" t="inlineStr">
        <is>
          <t>2024-04-26 17:38:21</t>
        </is>
      </c>
      <c r="F280" t="inlineStr">
        <is>
          <t>666</t>
        </is>
      </c>
    </row>
    <row r="281">
      <c r="A281" t="inlineStr">
        <is>
          <t>LD PROYECTOS TEMA MEDIO AMBIENTE.xlsx</t>
        </is>
      </c>
      <c r="B281">
        <f>HYPERLINK("C:\Users\lmonroy\Tema\archivos_red\Origen\FILTRADOS_PROYECTOS\LD PROYECTOS TEMA MEDIO AMBIENTE.xlsx", "Link")</f>
        <v/>
      </c>
      <c r="C281" t="n">
        <v>7115838</v>
      </c>
      <c r="D281" t="inlineStr">
        <is>
          <t>2024-04-26 11:27:51</t>
        </is>
      </c>
      <c r="E281" t="inlineStr">
        <is>
          <t>2024-04-26 09:38:21</t>
        </is>
      </c>
      <c r="F281" t="inlineStr">
        <is>
          <t>666</t>
        </is>
      </c>
    </row>
    <row r="282">
      <c r="A282" t="inlineStr">
        <is>
          <t>LD PROYECTOS TEMA SEGURIDAD.xlsx</t>
        </is>
      </c>
      <c r="B282">
        <f>HYPERLINK("C:\Users\lmonroy\Tema\archivos_red\Origen\FILTRADOS_PROYECTOS\LD PROYECTOS TEMA SEGURIDAD.xlsx", "Link")</f>
        <v/>
      </c>
      <c r="C282" t="n">
        <v>9722715</v>
      </c>
      <c r="D282" t="inlineStr">
        <is>
          <t>2024-04-26 11:30:16</t>
        </is>
      </c>
      <c r="E282" t="inlineStr">
        <is>
          <t>2024-04-26 11:02:52</t>
        </is>
      </c>
      <c r="F282" t="inlineStr">
        <is>
          <t>666</t>
        </is>
      </c>
    </row>
    <row r="283">
      <c r="A283" t="inlineStr">
        <is>
          <t>LD PROYECTOS TEMA SUELOS 2022.xlsx</t>
        </is>
      </c>
      <c r="B283">
        <f>HYPERLINK("C:\Users\lmonroy\Tema\archivos_red\Origen\FILTRADOS_PROYECTOS\LD PROYECTOS TEMA SUELOS 2022.xlsx", "Link")</f>
        <v/>
      </c>
      <c r="C283" t="n">
        <v>16956668</v>
      </c>
      <c r="D283" t="inlineStr">
        <is>
          <t>2024-04-26 11:31:44</t>
        </is>
      </c>
      <c r="E283" t="inlineStr">
        <is>
          <t>2024-04-26 11:03:29</t>
        </is>
      </c>
      <c r="F283" t="inlineStr">
        <is>
          <t>666</t>
        </is>
      </c>
    </row>
    <row r="284">
      <c r="A284" t="inlineStr">
        <is>
          <t>LD PROYECTOS TEMA SUELOS 2023.xlsx</t>
        </is>
      </c>
      <c r="B284">
        <f>HYPERLINK("C:\Users\lmonroy\Tema\archivos_red\Origen\FILTRADOS_PROYECTOS\LD PROYECTOS TEMA SUELOS 2023.xlsx", "Link")</f>
        <v/>
      </c>
      <c r="C284" t="n">
        <v>22360304</v>
      </c>
      <c r="D284" t="inlineStr">
        <is>
          <t>2024-04-26 11:36:45</t>
        </is>
      </c>
      <c r="E284" t="inlineStr">
        <is>
          <t>2024-04-26 11:04:24</t>
        </is>
      </c>
      <c r="F284" t="inlineStr">
        <is>
          <t>666</t>
        </is>
      </c>
    </row>
    <row r="285">
      <c r="A285" t="inlineStr">
        <is>
          <t>LD PROYECTOS TEMA SUELOS 2024.xlsx</t>
        </is>
      </c>
      <c r="B285">
        <f>HYPERLINK("C:\Users\lmonroy\Tema\archivos_red\Origen\FILTRADOS_PROYECTOS\LD PROYECTOS TEMA SUELOS 2024.xlsx", "Link")</f>
        <v/>
      </c>
      <c r="C285" t="n">
        <v>8910497</v>
      </c>
      <c r="D285" t="inlineStr">
        <is>
          <t>2024-04-26 11:37:35</t>
        </is>
      </c>
      <c r="E285" t="inlineStr">
        <is>
          <t>2024-04-26 11:04:54</t>
        </is>
      </c>
      <c r="F285" t="inlineStr">
        <is>
          <t>666</t>
        </is>
      </c>
    </row>
    <row r="286">
      <c r="A286" t="inlineStr">
        <is>
          <t>RESUMEN CHARLAS - ATS.xlsm</t>
        </is>
      </c>
      <c r="B286">
        <f>HYPERLINK("C:\Users\lmonroy\Tema\archivos_red\Origen\FILTRADOS_PROYECTOS\RESUMEN CHARLAS - ATS.xlsm", "Link")</f>
        <v/>
      </c>
      <c r="C286" t="n">
        <v>14698175</v>
      </c>
      <c r="D286" t="inlineStr">
        <is>
          <t>2024-04-30 09:25:57</t>
        </is>
      </c>
      <c r="E286" t="inlineStr">
        <is>
          <t>2024-04-30 09:18:52</t>
        </is>
      </c>
      <c r="F286" t="inlineStr">
        <is>
          <t>666</t>
        </is>
      </c>
    </row>
    <row r="287">
      <c r="A287" t="inlineStr">
        <is>
          <t>RESUMEN CHARLAS - ATS.xlsx</t>
        </is>
      </c>
      <c r="B287">
        <f>HYPERLINK("C:\Users\lmonroy\Tema\archivos_red\Origen\FILTRADOS_PROYECTOS\RESUMEN CHARLAS - ATS.xlsx", "Link")</f>
        <v/>
      </c>
      <c r="C287" t="n">
        <v>14698136</v>
      </c>
      <c r="D287" t="inlineStr">
        <is>
          <t>2024-04-30 09:18:41</t>
        </is>
      </c>
      <c r="E287" t="inlineStr">
        <is>
          <t>2024-04-29 18:35:34</t>
        </is>
      </c>
      <c r="F287" t="inlineStr">
        <is>
          <t>666</t>
        </is>
      </c>
    </row>
    <row r="288">
      <c r="A288" t="inlineStr">
        <is>
          <t>LD PROYECTOS TEMA MEDIO AMBIENTE.xlsm</t>
        </is>
      </c>
      <c r="B288">
        <f>HYPERLINK("C:\Users\lmonroy\Tema\archivos_red\Origen\Origen\LD PROYECTOS TEMA MEDIO AMBIENTE.xlsm", "Link")</f>
        <v/>
      </c>
      <c r="C288" t="n">
        <v>5489839</v>
      </c>
      <c r="D288" t="inlineStr">
        <is>
          <t>2024-04-26 09:24:37</t>
        </is>
      </c>
      <c r="E288" t="inlineStr">
        <is>
          <t>2024-04-26 09:02:46</t>
        </is>
      </c>
      <c r="F288" t="inlineStr">
        <is>
          <t>666</t>
        </is>
      </c>
    </row>
    <row r="289">
      <c r="A289" t="inlineStr">
        <is>
          <t>LD PROYECTOS TEMA SEGURIDAD.xlsm</t>
        </is>
      </c>
      <c r="B289">
        <f>HYPERLINK("C:\Users\lmonroy\Tema\archivos_red\Origen\Origen\LD PROYECTOS TEMA SEGURIDAD.xlsm", "Link")</f>
        <v/>
      </c>
      <c r="C289" t="n">
        <v>9448705</v>
      </c>
      <c r="D289" t="inlineStr">
        <is>
          <t>2024-04-26 09:26:03</t>
        </is>
      </c>
      <c r="E289" t="inlineStr">
        <is>
          <t>2024-04-26 09:02:46</t>
        </is>
      </c>
      <c r="F289" t="inlineStr">
        <is>
          <t>666</t>
        </is>
      </c>
    </row>
    <row r="290">
      <c r="A290" t="inlineStr">
        <is>
          <t>LD PROYECTOS TEMA SUELOS 2022.xlsm</t>
        </is>
      </c>
      <c r="B290">
        <f>HYPERLINK("C:\Users\lmonroy\Tema\archivos_red\Origen\Origen\LD PROYECTOS TEMA SUELOS 2022.xlsm", "Link")</f>
        <v/>
      </c>
      <c r="C290" t="n">
        <v>16269604</v>
      </c>
      <c r="D290" t="inlineStr">
        <is>
          <t>2024-04-26 09:27:09</t>
        </is>
      </c>
      <c r="E290" t="inlineStr">
        <is>
          <t>2024-04-26 09:02:46</t>
        </is>
      </c>
      <c r="F290" t="inlineStr">
        <is>
          <t>666</t>
        </is>
      </c>
    </row>
    <row r="291">
      <c r="A291" t="inlineStr">
        <is>
          <t>LD PROYECTOS TEMA SUELOS 2023.xlsm</t>
        </is>
      </c>
      <c r="B291">
        <f>HYPERLINK("C:\Users\lmonroy\Tema\archivos_red\Origen\Origen\LD PROYECTOS TEMA SUELOS 2023.xlsm", "Link")</f>
        <v/>
      </c>
      <c r="C291" t="n">
        <v>16157401</v>
      </c>
      <c r="D291" t="inlineStr">
        <is>
          <t>2024-04-26 10:59:26</t>
        </is>
      </c>
      <c r="E291" t="inlineStr">
        <is>
          <t>2024-04-26 09:02:46</t>
        </is>
      </c>
      <c r="F291" t="inlineStr">
        <is>
          <t>666</t>
        </is>
      </c>
    </row>
    <row r="292">
      <c r="A292" t="inlineStr">
        <is>
          <t>LD PROYECTOS TEMA SUELOS 2024.xlsm</t>
        </is>
      </c>
      <c r="B292">
        <f>HYPERLINK("C:\Users\lmonroy\Tema\archivos_red\Origen\Origen\LD PROYECTOS TEMA SUELOS 2024.xlsm", "Link")</f>
        <v/>
      </c>
      <c r="C292" t="n">
        <v>315211</v>
      </c>
      <c r="D292" t="inlineStr">
        <is>
          <t>2024-04-26 09:28:25</t>
        </is>
      </c>
      <c r="E292" t="inlineStr">
        <is>
          <t>2024-04-26 09:02:46</t>
        </is>
      </c>
      <c r="F292" t="inlineStr">
        <is>
          <t>666</t>
        </is>
      </c>
    </row>
    <row r="293">
      <c r="A293" t="inlineStr">
        <is>
          <t>LD PROYECTOS TEMA MEDIO AMBIENTE_1.xlsx</t>
        </is>
      </c>
      <c r="B293">
        <f>HYPERLINK("C:\Users\lmonroy\Tema\archivos_red\resultantes\LD PROYECTOS TEMA MEDIO AMBIENTE_1.xlsx", "Link")</f>
        <v/>
      </c>
      <c r="C293" t="n">
        <v>2312712</v>
      </c>
      <c r="D293" t="inlineStr">
        <is>
          <t>2024-04-25 19:14:47</t>
        </is>
      </c>
      <c r="E293" t="inlineStr">
        <is>
          <t>2024-04-25 18:43:10</t>
        </is>
      </c>
      <c r="F293" t="inlineStr">
        <is>
          <t>666</t>
        </is>
      </c>
    </row>
    <row r="294">
      <c r="A294" t="inlineStr">
        <is>
          <t>LD PROYECTOS TEMA SEGURIDAD_1.xlsx</t>
        </is>
      </c>
      <c r="B294">
        <f>HYPERLINK("C:\Users\lmonroy\Tema\archivos_red\resultantes\LD PROYECTOS TEMA SEGURIDAD_1.xlsx", "Link")</f>
        <v/>
      </c>
      <c r="C294" t="n">
        <v>869485</v>
      </c>
      <c r="D294" t="inlineStr">
        <is>
          <t>2024-04-26 08:13:05</t>
        </is>
      </c>
      <c r="E294" t="inlineStr">
        <is>
          <t>2024-04-25 18:43:28</t>
        </is>
      </c>
      <c r="F294" t="inlineStr">
        <is>
          <t>666</t>
        </is>
      </c>
    </row>
    <row r="295">
      <c r="A295" t="inlineStr">
        <is>
          <t>LD PROYECTOS TEMA SUELOS 2022_1.xlsx</t>
        </is>
      </c>
      <c r="B295">
        <f>HYPERLINK("C:\Users\lmonroy\Tema\archivos_red\resultantes\LD PROYECTOS TEMA SUELOS 2022_1.xlsx", "Link")</f>
        <v/>
      </c>
      <c r="C295" t="n">
        <v>259372</v>
      </c>
      <c r="D295" t="inlineStr">
        <is>
          <t>2024-04-26 08:13:34</t>
        </is>
      </c>
      <c r="E295" t="inlineStr">
        <is>
          <t>2024-04-25 18:45:36</t>
        </is>
      </c>
      <c r="F295" t="inlineStr">
        <is>
          <t>666</t>
        </is>
      </c>
    </row>
    <row r="296">
      <c r="A296" t="inlineStr">
        <is>
          <t>LD PROYECTOS TEMA SUELOS 2023_1.xlsx</t>
        </is>
      </c>
      <c r="B296">
        <f>HYPERLINK("C:\Users\lmonroy\Tema\archivos_red\resultantes\LD PROYECTOS TEMA SUELOS 2023_1.xlsx", "Link")</f>
        <v/>
      </c>
      <c r="C296" t="n">
        <v>5928384</v>
      </c>
      <c r="D296" t="inlineStr">
        <is>
          <t>2024-04-26 08:47:36</t>
        </is>
      </c>
      <c r="E296" t="inlineStr">
        <is>
          <t>2024-04-25 18:53:26</t>
        </is>
      </c>
      <c r="F296" t="inlineStr">
        <is>
          <t>666</t>
        </is>
      </c>
    </row>
    <row r="297">
      <c r="A297" t="inlineStr">
        <is>
          <t>LD PROYECTOS TEMA SUELOS 2024_1.xlsx</t>
        </is>
      </c>
      <c r="B297">
        <f>HYPERLINK("C:\Users\lmonroy\Tema\archivos_red\resultantes\LD PROYECTOS TEMA SUELOS 2024_1.xlsx", "Link")</f>
        <v/>
      </c>
      <c r="C297" t="n">
        <v>193564</v>
      </c>
      <c r="D297" t="inlineStr">
        <is>
          <t>2024-04-25 19:23:15</t>
        </is>
      </c>
      <c r="E297" t="inlineStr">
        <is>
          <t>2024-04-25 18:57:33</t>
        </is>
      </c>
      <c r="F297" t="inlineStr">
        <is>
          <t>666</t>
        </is>
      </c>
    </row>
    <row r="298">
      <c r="A298" t="inlineStr">
        <is>
          <t>240401_Rep_Asist_Chambira.xlsx</t>
        </is>
      </c>
      <c r="B298">
        <f>HYPERLINK("C:\Users\lmonroy\Tema\Asistencia\240401_Rep_Asist_Chambira.xlsx", "Link")</f>
        <v/>
      </c>
      <c r="C298" t="n">
        <v>432467</v>
      </c>
      <c r="D298" t="inlineStr">
        <is>
          <t>2024-04-07 17:16:50</t>
        </is>
      </c>
      <c r="E298" t="inlineStr">
        <is>
          <t>2024-04-17 09:18:10</t>
        </is>
      </c>
      <c r="F298" t="inlineStr">
        <is>
          <t>666</t>
        </is>
      </c>
    </row>
    <row r="299">
      <c r="A299" t="inlineStr">
        <is>
          <t>Macros Planilla.xlsm</t>
        </is>
      </c>
      <c r="B299">
        <f>HYPERLINK("C:\Users\lmonroy\Tema\Asistencia\Macros Planilla.xlsm", "Link")</f>
        <v/>
      </c>
      <c r="C299" t="n">
        <v>133477</v>
      </c>
      <c r="D299" t="inlineStr">
        <is>
          <t>2024-04-17 09:10:21</t>
        </is>
      </c>
      <c r="E299" t="inlineStr">
        <is>
          <t>2024-04-17 09:10:20</t>
        </is>
      </c>
      <c r="F299" t="inlineStr">
        <is>
          <t>666</t>
        </is>
      </c>
    </row>
    <row r="300">
      <c r="A300" t="inlineStr">
        <is>
          <t>240401_Cha_Asist_Km 71+940.pdf</t>
        </is>
      </c>
      <c r="B300">
        <f>HYPERLINK("C:\Users\lmonroy\Tema\Asistencia\240401_Rep_Asist_Chambira\240401_Cha_Asist_Km 71+940.pdf", "Link")</f>
        <v/>
      </c>
      <c r="C300" t="n">
        <v>1076357</v>
      </c>
      <c r="D300" t="inlineStr">
        <is>
          <t>2024-04-04 02:30:34</t>
        </is>
      </c>
      <c r="E300" t="inlineStr">
        <is>
          <t>2024-04-17 09:18:11</t>
        </is>
      </c>
      <c r="F300" t="inlineStr">
        <is>
          <t>666</t>
        </is>
      </c>
    </row>
    <row r="301">
      <c r="A301" t="inlineStr">
        <is>
          <t>240401_Cha_Asist_Km 71+940.xlsx</t>
        </is>
      </c>
      <c r="B301">
        <f>HYPERLINK("C:\Users\lmonroy\Tema\Asistencia\240401_Rep_Asist_Chambira\240401_Cha_Asist_Km 71+940.xlsx", "Link")</f>
        <v/>
      </c>
      <c r="C301" t="n">
        <v>86788</v>
      </c>
      <c r="D301" t="inlineStr">
        <is>
          <t>2024-04-17 09:39:50</t>
        </is>
      </c>
      <c r="E301" t="inlineStr">
        <is>
          <t>2024-04-17 09:39:49</t>
        </is>
      </c>
      <c r="F301" t="inlineStr">
        <is>
          <t>666</t>
        </is>
      </c>
    </row>
    <row r="302">
      <c r="A302" t="inlineStr">
        <is>
          <t>240401_Cha_Asist_Km 86+700.pdf</t>
        </is>
      </c>
      <c r="B302">
        <f>HYPERLINK("C:\Users\lmonroy\Tema\Asistencia\240401_Rep_Asist_Chambira\240401_Cha_Asist_Km 86+700.pdf", "Link")</f>
        <v/>
      </c>
      <c r="C302" t="n">
        <v>556169</v>
      </c>
      <c r="D302" t="inlineStr">
        <is>
          <t>2024-04-04 02:30:34</t>
        </is>
      </c>
      <c r="E302" t="inlineStr">
        <is>
          <t>2024-04-17 09:18:11</t>
        </is>
      </c>
      <c r="F302" t="inlineStr">
        <is>
          <t>666</t>
        </is>
      </c>
    </row>
    <row r="303">
      <c r="A303" t="inlineStr">
        <is>
          <t>240401_Cha_Asist_Km 86+700.xlsx</t>
        </is>
      </c>
      <c r="B303">
        <f>HYPERLINK("C:\Users\lmonroy\Tema\Asistencia\240401_Rep_Asist_Chambira\240401_Cha_Asist_Km 86+700.xlsx", "Link")</f>
        <v/>
      </c>
      <c r="C303" t="n">
        <v>86795</v>
      </c>
      <c r="D303" t="inlineStr">
        <is>
          <t>2024-04-17 09:39:50</t>
        </is>
      </c>
      <c r="E303" t="inlineStr">
        <is>
          <t>2024-04-17 09:39:50</t>
        </is>
      </c>
      <c r="F303" t="inlineStr">
        <is>
          <t>666</t>
        </is>
      </c>
    </row>
    <row r="304">
      <c r="A304" t="inlineStr">
        <is>
          <t>240401_Cha_Asist_Km 93+500.pdf</t>
        </is>
      </c>
      <c r="B304">
        <f>HYPERLINK("C:\Users\lmonroy\Tema\Asistencia\240401_Rep_Asist_Chambira\240401_Cha_Asist_Km 93+500.pdf", "Link")</f>
        <v/>
      </c>
      <c r="C304" t="n">
        <v>946278</v>
      </c>
      <c r="D304" t="inlineStr">
        <is>
          <t>2024-04-04 02:30:34</t>
        </is>
      </c>
      <c r="E304" t="inlineStr">
        <is>
          <t>2024-04-17 09:18:11</t>
        </is>
      </c>
      <c r="F304" t="inlineStr">
        <is>
          <t>666</t>
        </is>
      </c>
    </row>
    <row r="305">
      <c r="A305" t="inlineStr">
        <is>
          <t>240401_Cha_Asist_Km 93+500.xlsx</t>
        </is>
      </c>
      <c r="B305">
        <f>HYPERLINK("C:\Users\lmonroy\Tema\Asistencia\240401_Rep_Asist_Chambira\240401_Cha_Asist_Km 93+500.xlsx", "Link")</f>
        <v/>
      </c>
      <c r="C305" t="n">
        <v>86802</v>
      </c>
      <c r="D305" t="inlineStr">
        <is>
          <t>2024-04-17 09:39:51</t>
        </is>
      </c>
      <c r="E305" t="inlineStr">
        <is>
          <t>2024-04-17 09:39:51</t>
        </is>
      </c>
      <c r="F305" t="inlineStr">
        <is>
          <t>666</t>
        </is>
      </c>
    </row>
    <row r="306">
      <c r="A306" t="inlineStr">
        <is>
          <t>240401_Cha_Asist_Km 94+700.pdf</t>
        </is>
      </c>
      <c r="B306">
        <f>HYPERLINK("C:\Users\lmonroy\Tema\Asistencia\240401_Rep_Asist_Chambira\240401_Cha_Asist_Km 94+700.pdf", "Link")</f>
        <v/>
      </c>
      <c r="C306" t="n">
        <v>504117</v>
      </c>
      <c r="D306" t="inlineStr">
        <is>
          <t>2024-04-04 02:30:34</t>
        </is>
      </c>
      <c r="E306" t="inlineStr">
        <is>
          <t>2024-04-17 09:18:11</t>
        </is>
      </c>
      <c r="F306" t="inlineStr">
        <is>
          <t>666</t>
        </is>
      </c>
    </row>
    <row r="307">
      <c r="A307" t="inlineStr">
        <is>
          <t>240401_Cha_Asist_Km 94+700.xlsx</t>
        </is>
      </c>
      <c r="B307">
        <f>HYPERLINK("C:\Users\lmonroy\Tema\Asistencia\240401_Rep_Asist_Chambira\240401_Cha_Asist_Km 94+700.xlsx", "Link")</f>
        <v/>
      </c>
      <c r="C307" t="n">
        <v>86789</v>
      </c>
      <c r="D307" t="inlineStr">
        <is>
          <t>2024-04-17 09:39:52</t>
        </is>
      </c>
      <c r="E307" t="inlineStr">
        <is>
          <t>2024-04-17 09:39:51</t>
        </is>
      </c>
      <c r="F307" t="inlineStr">
        <is>
          <t>666</t>
        </is>
      </c>
    </row>
    <row r="308">
      <c r="A308" t="inlineStr">
        <is>
          <t>240401_Cha_Asist_Km 97+593.pdf</t>
        </is>
      </c>
      <c r="B308">
        <f>HYPERLINK("C:\Users\lmonroy\Tema\Asistencia\240401_Rep_Asist_Chambira\240401_Cha_Asist_Km 97+593.pdf", "Link")</f>
        <v/>
      </c>
      <c r="C308" t="n">
        <v>786307</v>
      </c>
      <c r="D308" t="inlineStr">
        <is>
          <t>2024-04-04 02:30:34</t>
        </is>
      </c>
      <c r="E308" t="inlineStr">
        <is>
          <t>2024-04-17 09:18:11</t>
        </is>
      </c>
      <c r="F308" t="inlineStr">
        <is>
          <t>666</t>
        </is>
      </c>
    </row>
    <row r="309">
      <c r="A309" t="inlineStr">
        <is>
          <t>240401_Cha_Asist_Km 97+593.xlsx</t>
        </is>
      </c>
      <c r="B309">
        <f>HYPERLINK("C:\Users\lmonroy\Tema\Asistencia\240401_Rep_Asist_Chambira\240401_Cha_Asist_Km 97+593.xlsx", "Link")</f>
        <v/>
      </c>
      <c r="C309" t="n">
        <v>86810</v>
      </c>
      <c r="D309" t="inlineStr">
        <is>
          <t>2024-04-17 09:39:52</t>
        </is>
      </c>
      <c r="E309" t="inlineStr">
        <is>
          <t>2024-04-17 09:39:52</t>
        </is>
      </c>
      <c r="F309" t="inlineStr">
        <is>
          <t>666</t>
        </is>
      </c>
    </row>
    <row r="310">
      <c r="A310" t="inlineStr">
        <is>
          <t>240401_Cha_Asist_Ollanta.pdf</t>
        </is>
      </c>
      <c r="B310">
        <f>HYPERLINK("C:\Users\lmonroy\Tema\Asistencia\240401_Rep_Asist_Chambira\240401_Cha_Asist_Ollanta.pdf", "Link")</f>
        <v/>
      </c>
      <c r="C310" t="n">
        <v>882066</v>
      </c>
      <c r="D310" t="inlineStr">
        <is>
          <t>2024-04-04 02:30:34</t>
        </is>
      </c>
      <c r="E310" t="inlineStr">
        <is>
          <t>2024-04-17 09:18:11</t>
        </is>
      </c>
      <c r="F310" t="inlineStr">
        <is>
          <t>666</t>
        </is>
      </c>
    </row>
    <row r="311">
      <c r="A311" t="inlineStr">
        <is>
          <t>240401_Cha_Asist_Ollanta.xlsx</t>
        </is>
      </c>
      <c r="B311">
        <f>HYPERLINK("C:\Users\lmonroy\Tema\Asistencia\240401_Rep_Asist_Chambira\240401_Cha_Asist_Ollanta.xlsx", "Link")</f>
        <v/>
      </c>
      <c r="C311" t="n">
        <v>86788</v>
      </c>
      <c r="D311" t="inlineStr">
        <is>
          <t>2024-04-17 09:39:53</t>
        </is>
      </c>
      <c r="E311" t="inlineStr">
        <is>
          <t>2024-04-17 09:39:53</t>
        </is>
      </c>
      <c r="F311" t="inlineStr">
        <is>
          <t>666</t>
        </is>
      </c>
    </row>
    <row r="312">
      <c r="A312" t="inlineStr">
        <is>
          <t>240401_Cha_Asist_Km 71+940.xlsx</t>
        </is>
      </c>
      <c r="B312">
        <f>HYPERLINK("C:\Users\lmonroy\Tema\Asistencia\240401_Rep_Asist_Chambira\BUp 240401\240401_Cha_Asist_Km 71+940.xlsx", "Link")</f>
        <v/>
      </c>
      <c r="C312" t="n">
        <v>139207</v>
      </c>
      <c r="D312" t="inlineStr">
        <is>
          <t>2024-04-07 16:22:20</t>
        </is>
      </c>
      <c r="E312" t="inlineStr">
        <is>
          <t>2024-04-17 09:18:11</t>
        </is>
      </c>
      <c r="F312" t="inlineStr">
        <is>
          <t>666</t>
        </is>
      </c>
    </row>
    <row r="313">
      <c r="A313" t="inlineStr">
        <is>
          <t>240401_Cha_Asist_Km 86+700.xlsx</t>
        </is>
      </c>
      <c r="B313">
        <f>HYPERLINK("C:\Users\lmonroy\Tema\Asistencia\240401_Rep_Asist_Chambira\BUp 240401\240401_Cha_Asist_Km 86+700.xlsx", "Link")</f>
        <v/>
      </c>
      <c r="C313" t="n">
        <v>123575</v>
      </c>
      <c r="D313" t="inlineStr">
        <is>
          <t>2024-04-07 16:33:45</t>
        </is>
      </c>
      <c r="E313" t="inlineStr">
        <is>
          <t>2024-04-17 09:18:11</t>
        </is>
      </c>
      <c r="F313" t="inlineStr">
        <is>
          <t>666</t>
        </is>
      </c>
    </row>
    <row r="314">
      <c r="A314" t="inlineStr">
        <is>
          <t>240401_Cha_Asist_Km 93+500.xlsx</t>
        </is>
      </c>
      <c r="B314">
        <f>HYPERLINK("C:\Users\lmonroy\Tema\Asistencia\240401_Rep_Asist_Chambira\BUp 240401\240401_Cha_Asist_Km 93+500.xlsx", "Link")</f>
        <v/>
      </c>
      <c r="C314" t="n">
        <v>122685</v>
      </c>
      <c r="D314" t="inlineStr">
        <is>
          <t>2024-04-07 16:37:29</t>
        </is>
      </c>
      <c r="E314" t="inlineStr">
        <is>
          <t>2024-04-17 09:18:11</t>
        </is>
      </c>
      <c r="F314" t="inlineStr">
        <is>
          <t>666</t>
        </is>
      </c>
    </row>
    <row r="315">
      <c r="A315" t="inlineStr">
        <is>
          <t>240401_Cha_Asist_Km 94+700.xlsx</t>
        </is>
      </c>
      <c r="B315">
        <f>HYPERLINK("C:\Users\lmonroy\Tema\Asistencia\240401_Rep_Asist_Chambira\BUp 240401\240401_Cha_Asist_Km 94+700.xlsx", "Link")</f>
        <v/>
      </c>
      <c r="C315" t="n">
        <v>106038</v>
      </c>
      <c r="D315" t="inlineStr">
        <is>
          <t>2024-04-07 16:38:13</t>
        </is>
      </c>
      <c r="E315" t="inlineStr">
        <is>
          <t>2024-04-17 09:18:11</t>
        </is>
      </c>
      <c r="F315" t="inlineStr">
        <is>
          <t>666</t>
        </is>
      </c>
    </row>
    <row r="316">
      <c r="A316" t="inlineStr">
        <is>
          <t>240401_Cha_Asist_Km 97+593.xlsx</t>
        </is>
      </c>
      <c r="B316">
        <f>HYPERLINK("C:\Users\lmonroy\Tema\Asistencia\240401_Rep_Asist_Chambira\BUp 240401\240401_Cha_Asist_Km 97+593.xlsx", "Link")</f>
        <v/>
      </c>
      <c r="C316" t="n">
        <v>121905</v>
      </c>
      <c r="D316" t="inlineStr">
        <is>
          <t>2024-04-07 16:41:01</t>
        </is>
      </c>
      <c r="E316" t="inlineStr">
        <is>
          <t>2024-04-17 09:18:11</t>
        </is>
      </c>
      <c r="F316" t="inlineStr">
        <is>
          <t>666</t>
        </is>
      </c>
    </row>
    <row r="317">
      <c r="A317" t="inlineStr">
        <is>
          <t>240401_Cha_Asist_Ollanta.xlsx</t>
        </is>
      </c>
      <c r="B317">
        <f>HYPERLINK("C:\Users\lmonroy\Tema\Asistencia\240401_Rep_Asist_Chambira\BUp 240401\240401_Cha_Asist_Ollanta.xlsx", "Link")</f>
        <v/>
      </c>
      <c r="C317" t="n">
        <v>122327</v>
      </c>
      <c r="D317" t="inlineStr">
        <is>
          <t>2024-04-07 16:42:12</t>
        </is>
      </c>
      <c r="E317" t="inlineStr">
        <is>
          <t>2024-04-17 09:18:11</t>
        </is>
      </c>
      <c r="F317" t="inlineStr">
        <is>
          <t>666</t>
        </is>
      </c>
    </row>
    <row r="318">
      <c r="A318" t="inlineStr">
        <is>
          <t>240401_Cha_Asist_Km 71+940.pdf</t>
        </is>
      </c>
      <c r="B318">
        <f>HYPERLINK("C:\Users\lmonroy\Tema\Asistencia\240402_Rep_Asist_Chambira\240401_Cha_Asist_Km 71+940.pdf", "Link")</f>
        <v/>
      </c>
      <c r="C318" t="n">
        <v>1076357</v>
      </c>
      <c r="D318" t="inlineStr">
        <is>
          <t>2024-04-04 02:30:34</t>
        </is>
      </c>
      <c r="E318" t="inlineStr">
        <is>
          <t>2024-04-17 09:17:38</t>
        </is>
      </c>
      <c r="F318" t="inlineStr">
        <is>
          <t>666</t>
        </is>
      </c>
    </row>
    <row r="319">
      <c r="A319" t="inlineStr">
        <is>
          <t>240401_Cha_Asist_Km 86+700.pdf</t>
        </is>
      </c>
      <c r="B319">
        <f>HYPERLINK("C:\Users\lmonroy\Tema\Asistencia\240402_Rep_Asist_Chambira\240401_Cha_Asist_Km 86+700.pdf", "Link")</f>
        <v/>
      </c>
      <c r="C319" t="n">
        <v>556169</v>
      </c>
      <c r="D319" t="inlineStr">
        <is>
          <t>2024-04-04 02:30:34</t>
        </is>
      </c>
      <c r="E319" t="inlineStr">
        <is>
          <t>2024-04-17 09:17:38</t>
        </is>
      </c>
      <c r="F319" t="inlineStr">
        <is>
          <t>666</t>
        </is>
      </c>
    </row>
    <row r="320">
      <c r="A320" t="inlineStr">
        <is>
          <t>240401_Cha_Asist_Km 93+500.pdf</t>
        </is>
      </c>
      <c r="B320">
        <f>HYPERLINK("C:\Users\lmonroy\Tema\Asistencia\240402_Rep_Asist_Chambira\240401_Cha_Asist_Km 93+500.pdf", "Link")</f>
        <v/>
      </c>
      <c r="C320" t="n">
        <v>946278</v>
      </c>
      <c r="D320" t="inlineStr">
        <is>
          <t>2024-04-04 02:30:34</t>
        </is>
      </c>
      <c r="E320" t="inlineStr">
        <is>
          <t>2024-04-17 09:17:38</t>
        </is>
      </c>
      <c r="F320" t="inlineStr">
        <is>
          <t>666</t>
        </is>
      </c>
    </row>
    <row r="321">
      <c r="A321" t="inlineStr">
        <is>
          <t>240401_Cha_Asist_Km 94+700.pdf</t>
        </is>
      </c>
      <c r="B321">
        <f>HYPERLINK("C:\Users\lmonroy\Tema\Asistencia\240402_Rep_Asist_Chambira\240401_Cha_Asist_Km 94+700.pdf", "Link")</f>
        <v/>
      </c>
      <c r="C321" t="n">
        <v>504117</v>
      </c>
      <c r="D321" t="inlineStr">
        <is>
          <t>2024-04-04 02:30:34</t>
        </is>
      </c>
      <c r="E321" t="inlineStr">
        <is>
          <t>2024-04-17 09:17:38</t>
        </is>
      </c>
      <c r="F321" t="inlineStr">
        <is>
          <t>666</t>
        </is>
      </c>
    </row>
    <row r="322">
      <c r="A322" t="inlineStr">
        <is>
          <t>240401_Cha_Asist_Km 97+593.pdf</t>
        </is>
      </c>
      <c r="B322">
        <f>HYPERLINK("C:\Users\lmonroy\Tema\Asistencia\240402_Rep_Asist_Chambira\240401_Cha_Asist_Km 97+593.pdf", "Link")</f>
        <v/>
      </c>
      <c r="C322" t="n">
        <v>786307</v>
      </c>
      <c r="D322" t="inlineStr">
        <is>
          <t>2024-04-04 02:30:34</t>
        </is>
      </c>
      <c r="E322" t="inlineStr">
        <is>
          <t>2024-04-17 09:17:38</t>
        </is>
      </c>
      <c r="F322" t="inlineStr">
        <is>
          <t>666</t>
        </is>
      </c>
    </row>
    <row r="323">
      <c r="A323" t="inlineStr">
        <is>
          <t>240401_Cha_Asist_Ollanta.pdf</t>
        </is>
      </c>
      <c r="B323">
        <f>HYPERLINK("C:\Users\lmonroy\Tema\Asistencia\240402_Rep_Asist_Chambira\240401_Cha_Asist_Ollanta.pdf", "Link")</f>
        <v/>
      </c>
      <c r="C323" t="n">
        <v>882066</v>
      </c>
      <c r="D323" t="inlineStr">
        <is>
          <t>2024-04-04 02:30:34</t>
        </is>
      </c>
      <c r="E323" t="inlineStr">
        <is>
          <t>2024-04-17 09:17:38</t>
        </is>
      </c>
      <c r="F323" t="inlineStr">
        <is>
          <t>666</t>
        </is>
      </c>
    </row>
    <row r="324">
      <c r="A324" t="inlineStr">
        <is>
          <t>240402_Cha_Asist_Km 71+940.xlsx</t>
        </is>
      </c>
      <c r="B324">
        <f>HYPERLINK("C:\Users\lmonroy\Tema\Asistencia\240402_Rep_Asist_Chambira\Bup 240402\240402_Cha_Asist_Km 71+940.xlsx", "Link")</f>
        <v/>
      </c>
      <c r="C324" t="n">
        <v>138087</v>
      </c>
      <c r="D324" t="inlineStr">
        <is>
          <t>2024-04-07 16:49:09</t>
        </is>
      </c>
      <c r="E324" t="inlineStr">
        <is>
          <t>2024-04-17 09:17:38</t>
        </is>
      </c>
      <c r="F324" t="inlineStr">
        <is>
          <t>666</t>
        </is>
      </c>
    </row>
    <row r="325">
      <c r="A325" t="inlineStr">
        <is>
          <t>240402_Cha_Asist_Km 86+700.xlsx</t>
        </is>
      </c>
      <c r="B325">
        <f>HYPERLINK("C:\Users\lmonroy\Tema\Asistencia\240402_Rep_Asist_Chambira\Bup 240402\240402_Cha_Asist_Km 86+700.xlsx", "Link")</f>
        <v/>
      </c>
      <c r="C325" t="n">
        <v>123539</v>
      </c>
      <c r="D325" t="inlineStr">
        <is>
          <t>2024-04-07 16:49:43</t>
        </is>
      </c>
      <c r="E325" t="inlineStr">
        <is>
          <t>2024-04-17 09:17:38</t>
        </is>
      </c>
      <c r="F325" t="inlineStr">
        <is>
          <t>666</t>
        </is>
      </c>
    </row>
    <row r="326">
      <c r="A326" t="inlineStr">
        <is>
          <t>240402_Cha_Asist_Km 93+500.xlsx</t>
        </is>
      </c>
      <c r="B326">
        <f>HYPERLINK("C:\Users\lmonroy\Tema\Asistencia\240402_Rep_Asist_Chambira\Bup 240402\240402_Cha_Asist_Km 93+500.xlsx", "Link")</f>
        <v/>
      </c>
      <c r="C326" t="n">
        <v>122624</v>
      </c>
      <c r="D326" t="inlineStr">
        <is>
          <t>2024-04-07 16:50:06</t>
        </is>
      </c>
      <c r="E326" t="inlineStr">
        <is>
          <t>2024-04-17 09:17:38</t>
        </is>
      </c>
      <c r="F326" t="inlineStr">
        <is>
          <t>666</t>
        </is>
      </c>
    </row>
    <row r="327">
      <c r="A327" t="inlineStr">
        <is>
          <t>240402_Cha_Asist_Km 94+700.xlsx</t>
        </is>
      </c>
      <c r="B327">
        <f>HYPERLINK("C:\Users\lmonroy\Tema\Asistencia\240402_Rep_Asist_Chambira\Bup 240402\240402_Cha_Asist_Km 94+700.xlsx", "Link")</f>
        <v/>
      </c>
      <c r="C327" t="n">
        <v>105968</v>
      </c>
      <c r="D327" t="inlineStr">
        <is>
          <t>2024-04-07 16:50:37</t>
        </is>
      </c>
      <c r="E327" t="inlineStr">
        <is>
          <t>2024-04-17 09:17:38</t>
        </is>
      </c>
      <c r="F327" t="inlineStr">
        <is>
          <t>666</t>
        </is>
      </c>
    </row>
    <row r="328">
      <c r="A328" t="inlineStr">
        <is>
          <t>240402_Cha_Asist_Km 97+593.xlsx</t>
        </is>
      </c>
      <c r="B328">
        <f>HYPERLINK("C:\Users\lmonroy\Tema\Asistencia\240402_Rep_Asist_Chambira\Bup 240402\240402_Cha_Asist_Km 97+593.xlsx", "Link")</f>
        <v/>
      </c>
      <c r="C328" t="n">
        <v>121865</v>
      </c>
      <c r="D328" t="inlineStr">
        <is>
          <t>2024-04-07 16:51:08</t>
        </is>
      </c>
      <c r="E328" t="inlineStr">
        <is>
          <t>2024-04-17 09:17:38</t>
        </is>
      </c>
      <c r="F328" t="inlineStr">
        <is>
          <t>666</t>
        </is>
      </c>
    </row>
    <row r="329">
      <c r="A329" t="inlineStr">
        <is>
          <t>240402_Cha_Asist_Ollanta.xlsx</t>
        </is>
      </c>
      <c r="B329">
        <f>HYPERLINK("C:\Users\lmonroy\Tema\Asistencia\240402_Rep_Asist_Chambira\Bup 240402\240402_Cha_Asist_Ollanta.xlsx", "Link")</f>
        <v/>
      </c>
      <c r="C329" t="n">
        <v>122260</v>
      </c>
      <c r="D329" t="inlineStr">
        <is>
          <t>2024-04-07 16:51:33</t>
        </is>
      </c>
      <c r="E329" t="inlineStr">
        <is>
          <t>2024-04-17 09:17:38</t>
        </is>
      </c>
      <c r="F329" t="inlineStr">
        <is>
          <t>666</t>
        </is>
      </c>
    </row>
    <row r="330">
      <c r="A330" t="inlineStr">
        <is>
          <t>20521268191_IDE_05032024.zip</t>
        </is>
      </c>
      <c r="B330">
        <f>HYPERLINK("C:\Users\lmonroy\Tema\BASE DE DATOS\20521268191_IDE_05032024.zip", "Link")</f>
        <v/>
      </c>
      <c r="C330" t="n">
        <v>22700</v>
      </c>
      <c r="D330" t="inlineStr">
        <is>
          <t>2024-03-05 12:28:27</t>
        </is>
      </c>
      <c r="E330" t="inlineStr">
        <is>
          <t>2024-03-05 14:58:56</t>
        </is>
      </c>
      <c r="F330" t="inlineStr">
        <is>
          <t>666</t>
        </is>
      </c>
    </row>
    <row r="331">
      <c r="A331" t="inlineStr">
        <is>
          <t>20521268191_SSA_05032024.zip</t>
        </is>
      </c>
      <c r="B331">
        <f>HYPERLINK("C:\Users\lmonroy\Tema\BASE DE DATOS\20521268191_SSA_05032024.zip", "Link")</f>
        <v/>
      </c>
      <c r="C331" t="n">
        <v>21839</v>
      </c>
      <c r="D331" t="inlineStr">
        <is>
          <t>2024-03-05 14:07:21</t>
        </is>
      </c>
      <c r="E331" t="inlineStr">
        <is>
          <t>2024-03-05 14:58:56</t>
        </is>
      </c>
      <c r="F331" t="inlineStr">
        <is>
          <t>666</t>
        </is>
      </c>
    </row>
    <row r="332">
      <c r="A332" t="inlineStr">
        <is>
          <t>20521268191_TRA_05032024.zip</t>
        </is>
      </c>
      <c r="B332">
        <f>HYPERLINK("C:\Users\lmonroy\Tema\BASE DE DATOS\20521268191_TRA_05032024.zip", "Link")</f>
        <v/>
      </c>
      <c r="C332" t="n">
        <v>28575</v>
      </c>
      <c r="D332" t="inlineStr">
        <is>
          <t>2024-03-05 12:28:34</t>
        </is>
      </c>
      <c r="E332" t="inlineStr">
        <is>
          <t>2024-03-05 14:58:56</t>
        </is>
      </c>
      <c r="F332" t="inlineStr">
        <is>
          <t>666</t>
        </is>
      </c>
    </row>
    <row r="333">
      <c r="A333" t="inlineStr">
        <is>
          <t>ARCHIVO FINAL FORMULARIO.xlsm</t>
        </is>
      </c>
      <c r="B333">
        <f>HYPERLINK("C:\Users\lmonroy\Tema\BASE DE DATOS\ARCHIVO FINAL FORMULARIO.xlsm", "Link")</f>
        <v/>
      </c>
      <c r="C333" t="n">
        <v>570544</v>
      </c>
      <c r="D333" t="inlineStr">
        <is>
          <t>2024-03-25 16:57:54</t>
        </is>
      </c>
      <c r="E333" t="inlineStr">
        <is>
          <t>2024-03-25 16:53:11</t>
        </is>
      </c>
      <c r="F333" t="inlineStr">
        <is>
          <t>666</t>
        </is>
      </c>
    </row>
    <row r="334">
      <c r="A334" t="inlineStr">
        <is>
          <t>BASE DE DATOS GENERAL.xlsx</t>
        </is>
      </c>
      <c r="B334">
        <f>HYPERLINK("C:\Users\lmonroy\Tema\BASE DE DATOS\BASE DE DATOS GENERAL.xlsx", "Link")</f>
        <v/>
      </c>
      <c r="C334" t="n">
        <v>260411</v>
      </c>
      <c r="D334" t="inlineStr">
        <is>
          <t>2024-03-06 22:27:18</t>
        </is>
      </c>
      <c r="E334" t="inlineStr">
        <is>
          <t>2024-03-06 14:28:23</t>
        </is>
      </c>
      <c r="F334" t="inlineStr">
        <is>
          <t>666</t>
        </is>
      </c>
    </row>
    <row r="335">
      <c r="A335" t="inlineStr">
        <is>
          <t>BASE DE DATOS.xlsm</t>
        </is>
      </c>
      <c r="B335">
        <f>HYPERLINK("C:\Users\lmonroy\Tema\BASE DE DATOS\BASE DE DATOS.xlsm", "Link")</f>
        <v/>
      </c>
      <c r="C335" t="n">
        <v>467630</v>
      </c>
      <c r="D335" t="inlineStr">
        <is>
          <t>2024-03-05 15:37:41</t>
        </is>
      </c>
      <c r="E335" t="inlineStr">
        <is>
          <t>2024-03-05 15:37:40</t>
        </is>
      </c>
      <c r="F335" t="inlineStr">
        <is>
          <t>666</t>
        </is>
      </c>
    </row>
    <row r="336">
      <c r="A336" t="inlineStr">
        <is>
          <t>DATOS DEL TRABAJADOR - 04032024.xls</t>
        </is>
      </c>
      <c r="B336">
        <f>HYPERLINK("C:\Users\lmonroy\Tema\BASE DE DATOS\DATOS DEL TRABAJADOR - 04032024.xls", "Link")</f>
        <v/>
      </c>
      <c r="C336" t="n">
        <v>426496</v>
      </c>
      <c r="D336" t="inlineStr">
        <is>
          <t>2024-03-06 14:36:41</t>
        </is>
      </c>
      <c r="E336" t="inlineStr">
        <is>
          <t>2024-03-04 14:34:11</t>
        </is>
      </c>
      <c r="F336" t="inlineStr">
        <is>
          <t>666</t>
        </is>
      </c>
    </row>
    <row r="337">
      <c r="A337" t="inlineStr">
        <is>
          <t>DATOS DEL TRABAJADOR - BASE DE DATOS.xlsx</t>
        </is>
      </c>
      <c r="B337">
        <f>HYPERLINK("C:\Users\lmonroy\Tema\BASE DE DATOS\DATOS DEL TRABAJADOR - BASE DE DATOS.xlsx", "Link")</f>
        <v/>
      </c>
      <c r="C337" t="n">
        <v>370077</v>
      </c>
      <c r="D337" t="inlineStr">
        <is>
          <t>2024-03-06 22:27:10</t>
        </is>
      </c>
      <c r="E337" t="inlineStr">
        <is>
          <t>2024-03-06 14:54:25</t>
        </is>
      </c>
      <c r="F337" t="inlineStr">
        <is>
          <t>666</t>
        </is>
      </c>
    </row>
    <row r="338">
      <c r="A338" t="inlineStr">
        <is>
          <t>GENERALES.xlsx</t>
        </is>
      </c>
      <c r="B338">
        <f>HYPERLINK("C:\Users\lmonroy\Tema\BASE DE DATOS\GENERALES.xlsx", "Link")</f>
        <v/>
      </c>
      <c r="C338" t="n">
        <v>67235</v>
      </c>
      <c r="D338" t="inlineStr">
        <is>
          <t>2024-03-05 15:01:53</t>
        </is>
      </c>
      <c r="E338" t="inlineStr">
        <is>
          <t>2024-03-05 15:01:22</t>
        </is>
      </c>
      <c r="F338" t="inlineStr">
        <is>
          <t>666</t>
        </is>
      </c>
    </row>
    <row r="339">
      <c r="A339" t="inlineStr">
        <is>
          <t>PENSIONES Y SEGURO.xlsx</t>
        </is>
      </c>
      <c r="B339">
        <f>HYPERLINK("C:\Users\lmonroy\Tema\BASE DE DATOS\PENSIONES Y SEGURO.xlsx", "Link")</f>
        <v/>
      </c>
      <c r="C339" t="n">
        <v>118916</v>
      </c>
      <c r="D339" t="inlineStr">
        <is>
          <t>2024-03-05 15:34:32</t>
        </is>
      </c>
      <c r="E339" t="inlineStr">
        <is>
          <t>2024-03-05 15:34:32</t>
        </is>
      </c>
      <c r="F339" t="inlineStr">
        <is>
          <t>666</t>
        </is>
      </c>
    </row>
    <row r="340">
      <c r="A340" t="inlineStr">
        <is>
          <t>CONTANET.xls</t>
        </is>
      </c>
      <c r="B340">
        <f>HYPERLINK("C:\Users\lmonroy\Tema\BASE DE DATOS\ARCHIVOS\CONTANET.xls", "Link")</f>
        <v/>
      </c>
      <c r="C340" t="n">
        <v>49152</v>
      </c>
      <c r="D340" t="inlineStr">
        <is>
          <t>2024-05-15 09:18:42</t>
        </is>
      </c>
      <c r="E340" t="inlineStr">
        <is>
          <t>2024-03-05 15:38:07</t>
        </is>
      </c>
      <c r="F340" t="inlineStr">
        <is>
          <t>666</t>
        </is>
      </c>
    </row>
    <row r="341">
      <c r="A341" t="inlineStr">
        <is>
          <t>SCTR.xls</t>
        </is>
      </c>
      <c r="B341">
        <f>HYPERLINK("C:\Users\lmonroy\Tema\BASE DE DATOS\ARCHIVOS\SCTR.xls", "Link")</f>
        <v/>
      </c>
      <c r="C341" t="n">
        <v>175616</v>
      </c>
      <c r="D341" t="inlineStr">
        <is>
          <t>2024-05-15 09:19:59</t>
        </is>
      </c>
      <c r="E341" t="inlineStr">
        <is>
          <t>2024-03-05 15:39:06</t>
        </is>
      </c>
      <c r="F341" t="inlineStr">
        <is>
          <t>666</t>
        </is>
      </c>
    </row>
    <row r="342">
      <c r="A342" t="inlineStr">
        <is>
          <t>T REGISTRO.xlsm</t>
        </is>
      </c>
      <c r="B342">
        <f>HYPERLINK("C:\Users\lmonroy\Tema\BASE DE DATOS\ARCHIVOS\T REGISTRO.xlsm", "Link")</f>
        <v/>
      </c>
      <c r="C342" t="n">
        <v>85542</v>
      </c>
      <c r="D342" t="inlineStr">
        <is>
          <t>2024-05-15 09:17:05</t>
        </is>
      </c>
      <c r="E342" t="inlineStr">
        <is>
          <t>2024-03-05 15:39:35</t>
        </is>
      </c>
      <c r="F342" t="inlineStr">
        <is>
          <t>666</t>
        </is>
      </c>
    </row>
    <row r="343">
      <c r="A343" t="inlineStr">
        <is>
          <t>VIDA LEY.xlsx</t>
        </is>
      </c>
      <c r="B343">
        <f>HYPERLINK("C:\Users\lmonroy\Tema\BASE DE DATOS\ARCHIVOS\VIDA LEY.xlsx", "Link")</f>
        <v/>
      </c>
      <c r="C343" t="n">
        <v>15267</v>
      </c>
      <c r="D343" t="inlineStr">
        <is>
          <t>2024-05-15 09:17:14</t>
        </is>
      </c>
      <c r="E343" t="inlineStr">
        <is>
          <t>2024-03-05 15:39:58</t>
        </is>
      </c>
      <c r="F343" t="inlineStr">
        <is>
          <t>666</t>
        </is>
      </c>
    </row>
    <row r="344">
      <c r="A344" t="inlineStr">
        <is>
          <t>RP_20521268191.est</t>
        </is>
      </c>
      <c r="B344">
        <f>HYPERLINK("C:\Users\lmonroy\Tema\BASE DE DATOS\ARCHIVOS\T-REGISTRO\RP_20521268191.est", "Link")</f>
        <v/>
      </c>
      <c r="C344" t="n">
        <v>36</v>
      </c>
      <c r="D344" t="inlineStr">
        <is>
          <t>2024-05-15 08:11:30</t>
        </is>
      </c>
      <c r="E344" t="inlineStr">
        <is>
          <t>2024-05-15 07:57:23</t>
        </is>
      </c>
      <c r="F344" t="inlineStr">
        <is>
          <t>666</t>
        </is>
      </c>
    </row>
    <row r="345">
      <c r="A345" t="inlineStr">
        <is>
          <t>RP_20521268191.ide</t>
        </is>
      </c>
      <c r="B345">
        <f>HYPERLINK("C:\Users\lmonroy\Tema\BASE DE DATOS\ARCHIVOS\T-REGISTRO\RP_20521268191.ide", "Link")</f>
        <v/>
      </c>
      <c r="C345" t="n">
        <v>130</v>
      </c>
      <c r="D345" t="inlineStr">
        <is>
          <t>2024-05-15 08:11:23</t>
        </is>
      </c>
      <c r="E345" t="inlineStr">
        <is>
          <t>2024-05-15 07:57:18</t>
        </is>
      </c>
      <c r="F345" t="inlineStr">
        <is>
          <t>666</t>
        </is>
      </c>
    </row>
    <row r="346">
      <c r="A346" t="inlineStr">
        <is>
          <t>RP_20521268191.per</t>
        </is>
      </c>
      <c r="B346">
        <f>HYPERLINK("C:\Users\lmonroy\Tema\BASE DE DATOS\ARCHIVOS\T-REGISTRO\RP_20521268191.per", "Link")</f>
        <v/>
      </c>
      <c r="C346" t="n">
        <v>182</v>
      </c>
      <c r="D346" t="inlineStr">
        <is>
          <t>2024-05-15 08:11:27</t>
        </is>
      </c>
      <c r="E346" t="inlineStr">
        <is>
          <t>2024-05-15 07:57:21</t>
        </is>
      </c>
      <c r="F346" t="inlineStr">
        <is>
          <t>666</t>
        </is>
      </c>
    </row>
    <row r="347">
      <c r="A347" t="inlineStr">
        <is>
          <t>RP_20521268191.tra</t>
        </is>
      </c>
      <c r="B347">
        <f>HYPERLINK("C:\Users\lmonroy\Tema\BASE DE DATOS\ARCHIVOS\T-REGISTRO\RP_20521268191.tra", "Link")</f>
        <v/>
      </c>
      <c r="C347" t="n">
        <v>79</v>
      </c>
      <c r="D347" t="inlineStr">
        <is>
          <t>2024-05-15 08:11:20</t>
        </is>
      </c>
      <c r="E347" t="inlineStr">
        <is>
          <t>2024-05-15 07:56:01</t>
        </is>
      </c>
      <c r="F347" t="inlineStr">
        <is>
          <t>666</t>
        </is>
      </c>
    </row>
    <row r="348">
      <c r="A348" t="inlineStr">
        <is>
          <t>RP_20521268191.est</t>
        </is>
      </c>
      <c r="B348">
        <f>HYPERLINK("C:\Users\lmonroy\Tema\BASE DE DATOS\TREGISTRO\RP_20521268191.est", "Link")</f>
        <v/>
      </c>
      <c r="C348" t="n">
        <v>416</v>
      </c>
      <c r="D348" t="inlineStr">
        <is>
          <t>2024-03-05 15:46:34</t>
        </is>
      </c>
      <c r="E348" t="inlineStr">
        <is>
          <t>2024-03-05 15:46:34</t>
        </is>
      </c>
      <c r="F348" t="inlineStr">
        <is>
          <t>666</t>
        </is>
      </c>
    </row>
    <row r="349">
      <c r="A349" t="inlineStr">
        <is>
          <t>RP_20521268191.ide</t>
        </is>
      </c>
      <c r="B349">
        <f>HYPERLINK("C:\Users\lmonroy\Tema\BASE DE DATOS\TREGISTRO\RP_20521268191.ide", "Link")</f>
        <v/>
      </c>
      <c r="C349" t="n">
        <v>1489</v>
      </c>
      <c r="D349" t="inlineStr">
        <is>
          <t>2024-03-05 15:46:24</t>
        </is>
      </c>
      <c r="E349" t="inlineStr">
        <is>
          <t>2024-03-05 15:46:24</t>
        </is>
      </c>
      <c r="F349" t="inlineStr">
        <is>
          <t>666</t>
        </is>
      </c>
    </row>
    <row r="350">
      <c r="A350" t="inlineStr">
        <is>
          <t>RP_20521268191.per</t>
        </is>
      </c>
      <c r="B350">
        <f>HYPERLINK("C:\Users\lmonroy\Tema\BASE DE DATOS\TREGISTRO\RP_20521268191.per", "Link")</f>
        <v/>
      </c>
      <c r="C350" t="n">
        <v>2236</v>
      </c>
      <c r="D350" t="inlineStr">
        <is>
          <t>2024-03-05 15:46:30</t>
        </is>
      </c>
      <c r="E350" t="inlineStr">
        <is>
          <t>2024-03-05 15:46:30</t>
        </is>
      </c>
      <c r="F350" t="inlineStr">
        <is>
          <t>666</t>
        </is>
      </c>
    </row>
    <row r="351">
      <c r="A351" t="inlineStr">
        <is>
          <t>RP_20521268191.tra</t>
        </is>
      </c>
      <c r="B351">
        <f>HYPERLINK("C:\Users\lmonroy\Tema\BASE DE DATOS\TREGISTRO\RP_20521268191.tra", "Link")</f>
        <v/>
      </c>
      <c r="C351" t="n">
        <v>908</v>
      </c>
      <c r="D351" t="inlineStr">
        <is>
          <t>2024-03-05 15:46:26</t>
        </is>
      </c>
      <c r="E351" t="inlineStr">
        <is>
          <t>2024-03-05 15:46:26</t>
        </is>
      </c>
      <c r="F351" t="inlineStr">
        <is>
          <t>666</t>
        </is>
      </c>
    </row>
    <row r="352">
      <c r="A352" t="inlineStr">
        <is>
          <t>RP_20521268191_SDI_6222078a861e37658705578c819815ccc1bb3c5e_05032024_154828.zip</t>
        </is>
      </c>
      <c r="B352">
        <f>HYPERLINK("C:\Users\lmonroy\Tema\BASE DE DATOS\TREGISTRO\RP_20521268191_SDI_6222078a861e37658705578c819815ccc1bb3c5e_05032024_154828.zip", "Link")</f>
        <v/>
      </c>
      <c r="C352" t="n">
        <v>3574</v>
      </c>
      <c r="D352" t="inlineStr">
        <is>
          <t>2024-03-05 15:48:29</t>
        </is>
      </c>
      <c r="E352" t="inlineStr">
        <is>
          <t>2024-03-05 15:48:29</t>
        </is>
      </c>
      <c r="F352" t="inlineStr">
        <is>
          <t>666</t>
        </is>
      </c>
    </row>
    <row r="353">
      <c r="A353" t="inlineStr">
        <is>
          <t>ARCHIVO PARA MIGRAR AL T REGISTRO.xlsm</t>
        </is>
      </c>
      <c r="B353">
        <f>HYPERLINK("C:\Users\lmonroy\Tema\BASE DE DATOS GENERAL\ARCHIVO PARA MIGRAR AL T REGISTRO.xlsm", "Link")</f>
        <v/>
      </c>
      <c r="C353" t="n">
        <v>109549</v>
      </c>
      <c r="D353" t="inlineStr">
        <is>
          <t>2023-12-05 09:36:46</t>
        </is>
      </c>
      <c r="E353" t="inlineStr">
        <is>
          <t>2023-12-06 09:57:26</t>
        </is>
      </c>
      <c r="F353" t="inlineStr">
        <is>
          <t>666</t>
        </is>
      </c>
    </row>
    <row r="354">
      <c r="A354" t="inlineStr">
        <is>
          <t>BASE DE DATOS TRABAJADORES.xlsm</t>
        </is>
      </c>
      <c r="B354">
        <f>HYPERLINK("C:\Users\lmonroy\Tema\BASE DE DATOS GENERAL\BASE DE DATOS TRABAJADORES.xlsm", "Link")</f>
        <v/>
      </c>
      <c r="C354" t="n">
        <v>1414324</v>
      </c>
      <c r="D354" t="inlineStr">
        <is>
          <t>2023-12-06 10:00:14</t>
        </is>
      </c>
      <c r="E354" t="inlineStr">
        <is>
          <t>2023-12-06 09:31:00</t>
        </is>
      </c>
      <c r="F354" t="inlineStr">
        <is>
          <t>666</t>
        </is>
      </c>
    </row>
    <row r="355">
      <c r="A355" t="inlineStr">
        <is>
          <t>Planilla migración Sistema.xlsx</t>
        </is>
      </c>
      <c r="B355">
        <f>HYPERLINK("C:\Users\lmonroy\Tema\BASE DE DATOS GENERAL\Planilla migración Sistema.xlsx", "Link")</f>
        <v/>
      </c>
      <c r="C355" t="n">
        <v>578164</v>
      </c>
      <c r="D355" t="inlineStr">
        <is>
          <t>2023-12-06 09:52:27</t>
        </is>
      </c>
      <c r="E355" t="inlineStr">
        <is>
          <t>2023-12-06 09:54:36</t>
        </is>
      </c>
      <c r="F355" t="inlineStr">
        <is>
          <t>666</t>
        </is>
      </c>
    </row>
    <row r="356">
      <c r="A356" t="inlineStr">
        <is>
          <t>PLANTILLA_AGREGAR_TRABAJADORES MODELO_VL.xlsx</t>
        </is>
      </c>
      <c r="B356">
        <f>HYPERLINK("C:\Users\lmonroy\Tema\BASE DE DATOS GENERAL\PLANTILLA_AGREGAR_TRABAJADORES MODELO_VL.xlsx", "Link")</f>
        <v/>
      </c>
      <c r="C356" t="n">
        <v>39959</v>
      </c>
      <c r="D356" t="inlineStr">
        <is>
          <t>2023-12-06 09:47:27</t>
        </is>
      </c>
      <c r="E356" t="inlineStr">
        <is>
          <t>2023-12-06 09:47:25</t>
        </is>
      </c>
      <c r="F356" t="inlineStr">
        <is>
          <t>666</t>
        </is>
      </c>
    </row>
    <row r="357">
      <c r="A357" t="inlineStr">
        <is>
          <t>Anexo2_tablas_parametricas_Enero actual.xlsx</t>
        </is>
      </c>
      <c r="B357">
        <f>HYPERLINK("C:\Users\lmonroy\Tema\BASE DE DATOS1\Anexo2_tablas_parametricas_Enero actual.xlsx", "Link")</f>
        <v/>
      </c>
      <c r="C357" t="n">
        <v>1075526</v>
      </c>
      <c r="D357" t="inlineStr">
        <is>
          <t>2024-02-23 12:39:39</t>
        </is>
      </c>
      <c r="E357" t="inlineStr">
        <is>
          <t>2024-02-26 08:35:43</t>
        </is>
      </c>
      <c r="F357" t="inlineStr">
        <is>
          <t>666</t>
        </is>
      </c>
    </row>
    <row r="358">
      <c r="A358" t="inlineStr">
        <is>
          <t>BD_TEMA.xlsm</t>
        </is>
      </c>
      <c r="B358">
        <f>HYPERLINK("C:\Users\lmonroy\Tema\BASE DE DATOS1\BD_TEMA.xlsm", "Link")</f>
        <v/>
      </c>
      <c r="C358" t="n">
        <v>957440</v>
      </c>
      <c r="D358" t="inlineStr">
        <is>
          <t>2024-02-27 15:34:59</t>
        </is>
      </c>
      <c r="E358" t="inlineStr">
        <is>
          <t>2024-02-27 15:11:57</t>
        </is>
      </c>
      <c r="F358" t="inlineStr">
        <is>
          <t>666</t>
        </is>
      </c>
    </row>
    <row r="359">
      <c r="A359" t="inlineStr">
        <is>
          <t>CONTANET.xls</t>
        </is>
      </c>
      <c r="B359">
        <f>HYPERLINK("C:\Users\lmonroy\Tema\BASE DE DATOS1\CONTANET.xls", "Link")</f>
        <v/>
      </c>
      <c r="C359" t="n">
        <v>51712</v>
      </c>
      <c r="D359" t="inlineStr">
        <is>
          <t>2024-02-22 17:44:14</t>
        </is>
      </c>
      <c r="E359" t="inlineStr">
        <is>
          <t>2024-02-22 17:38:27</t>
        </is>
      </c>
      <c r="F359" t="inlineStr">
        <is>
          <t>666</t>
        </is>
      </c>
    </row>
    <row r="360">
      <c r="A360" t="inlineStr">
        <is>
          <t>INGRESOS DE TRABAJADORES - TEMA LITOCLEAN.xlsm</t>
        </is>
      </c>
      <c r="B360">
        <f>HYPERLINK("C:\Users\lmonroy\Tema\BASE DE DATOS1\INGRESOS DE TRABAJADORES - TEMA LITOCLEAN.xlsm", "Link")</f>
        <v/>
      </c>
      <c r="C360" t="n">
        <v>443964</v>
      </c>
      <c r="D360" t="inlineStr">
        <is>
          <t>2024-02-23 10:29:03</t>
        </is>
      </c>
      <c r="E360" t="inlineStr">
        <is>
          <t>2024-02-22 17:08:31</t>
        </is>
      </c>
      <c r="F360" t="inlineStr">
        <is>
          <t>666</t>
        </is>
      </c>
    </row>
    <row r="361">
      <c r="A361" t="inlineStr">
        <is>
          <t>RP_20521268191.est</t>
        </is>
      </c>
      <c r="B361">
        <f>HYPERLINK("C:\Users\lmonroy\Tema\BASE DE DATOS1\RP_20521268191.est", "Link")</f>
        <v/>
      </c>
      <c r="C361" t="n">
        <v>480</v>
      </c>
      <c r="D361" t="inlineStr">
        <is>
          <t>2024-02-27 11:56:36</t>
        </is>
      </c>
      <c r="E361" t="inlineStr">
        <is>
          <t>2024-02-26 10:06:36</t>
        </is>
      </c>
      <c r="F361" t="inlineStr">
        <is>
          <t>666</t>
        </is>
      </c>
    </row>
    <row r="362">
      <c r="A362" t="inlineStr">
        <is>
          <t>RP_20521268191.ide</t>
        </is>
      </c>
      <c r="B362">
        <f>HYPERLINK("C:\Users\lmonroy\Tema\BASE DE DATOS1\RP_20521268191.ide", "Link")</f>
        <v/>
      </c>
      <c r="C362" t="n">
        <v>1717</v>
      </c>
      <c r="D362" t="inlineStr">
        <is>
          <t>2024-02-27 11:56:25</t>
        </is>
      </c>
      <c r="E362" t="inlineStr">
        <is>
          <t>2024-02-26 09:31:02</t>
        </is>
      </c>
      <c r="F362" t="inlineStr">
        <is>
          <t>666</t>
        </is>
      </c>
    </row>
    <row r="363">
      <c r="A363" t="inlineStr">
        <is>
          <t>RP_20521268191.per</t>
        </is>
      </c>
      <c r="B363">
        <f>HYPERLINK("C:\Users\lmonroy\Tema\BASE DE DATOS1\RP_20521268191.per", "Link")</f>
        <v/>
      </c>
      <c r="C363" t="n">
        <v>2580</v>
      </c>
      <c r="D363" t="inlineStr">
        <is>
          <t>2024-02-27 11:56:32</t>
        </is>
      </c>
      <c r="E363" t="inlineStr">
        <is>
          <t>2024-02-26 10:06:30</t>
        </is>
      </c>
      <c r="F363" t="inlineStr">
        <is>
          <t>666</t>
        </is>
      </c>
    </row>
    <row r="364">
      <c r="A364" t="inlineStr">
        <is>
          <t>RP_20521268191.tra</t>
        </is>
      </c>
      <c r="B364">
        <f>HYPERLINK("C:\Users\lmonroy\Tema\BASE DE DATOS1\RP_20521268191.tra", "Link")</f>
        <v/>
      </c>
      <c r="C364" t="n">
        <v>1044</v>
      </c>
      <c r="D364" t="inlineStr">
        <is>
          <t>2024-02-27 11:56:29</t>
        </is>
      </c>
      <c r="E364" t="inlineStr">
        <is>
          <t>2024-02-26 10:06:14</t>
        </is>
      </c>
      <c r="F364" t="inlineStr">
        <is>
          <t>666</t>
        </is>
      </c>
    </row>
    <row r="365">
      <c r="A365" t="inlineStr">
        <is>
          <t>T REGISTRO.xlsm</t>
        </is>
      </c>
      <c r="B365">
        <f>HYPERLINK("C:\Users\lmonroy\Tema\BASE DE DATOS1\T REGISTRO.xlsm", "Link")</f>
        <v/>
      </c>
      <c r="C365" t="n">
        <v>70455</v>
      </c>
      <c r="D365" t="inlineStr">
        <is>
          <t>2024-02-22 18:54:00</t>
        </is>
      </c>
      <c r="E365" t="inlineStr">
        <is>
          <t>2024-02-22 17:08:57</t>
        </is>
      </c>
      <c r="F365" t="inlineStr">
        <is>
          <t>666</t>
        </is>
      </c>
    </row>
    <row r="366">
      <c r="A366" t="inlineStr">
        <is>
          <t>VIDA LEY.xlsx</t>
        </is>
      </c>
      <c r="B366">
        <f>HYPERLINK("C:\Users\lmonroy\Tema\BASE DE DATOS1\VIDA LEY.xlsx", "Link")</f>
        <v/>
      </c>
      <c r="C366" t="n">
        <v>16203</v>
      </c>
      <c r="D366" t="inlineStr">
        <is>
          <t>2024-02-19 15:35:47</t>
        </is>
      </c>
      <c r="E366" t="inlineStr">
        <is>
          <t>2024-02-22 17:43:46</t>
        </is>
      </c>
      <c r="F366" t="inlineStr">
        <is>
          <t>666</t>
        </is>
      </c>
    </row>
    <row r="367">
      <c r="A367" t="inlineStr">
        <is>
          <t>AHUITE CACHIRICO ARTEMIO T0001492.pdf</t>
        </is>
      </c>
      <c r="B367">
        <f>HYPERLINK("C:\Users\lmonroy\Tema\BoletasPDF\AHUITE CACHIRICO ARTEMIO T0001492.pdf", "Link")</f>
        <v/>
      </c>
      <c r="C367" t="n">
        <v>166303</v>
      </c>
      <c r="D367" t="inlineStr">
        <is>
          <t>2024-03-26 12:26:08</t>
        </is>
      </c>
      <c r="E367" t="inlineStr">
        <is>
          <t>2024-03-26 12:26:08</t>
        </is>
      </c>
      <c r="F367" t="inlineStr">
        <is>
          <t>666</t>
        </is>
      </c>
    </row>
    <row r="368">
      <c r="A368" t="inlineStr">
        <is>
          <t>AHUITE MACUSI SEGUNDO  T0001019.pdf</t>
        </is>
      </c>
      <c r="B368">
        <f>HYPERLINK("C:\Users\lmonroy\Tema\BoletasPDF\AHUITE MACUSI SEGUNDO  T0001019.pdf", "Link")</f>
        <v/>
      </c>
      <c r="C368" t="n">
        <v>166145</v>
      </c>
      <c r="D368" t="inlineStr">
        <is>
          <t>2024-03-26 12:25:30</t>
        </is>
      </c>
      <c r="E368" t="inlineStr">
        <is>
          <t>2024-03-26 12:25:30</t>
        </is>
      </c>
      <c r="F368" t="inlineStr">
        <is>
          <t>666</t>
        </is>
      </c>
    </row>
    <row r="369">
      <c r="A369" t="inlineStr">
        <is>
          <t>AHUITE MANIZARI JUAN T0001493.pdf</t>
        </is>
      </c>
      <c r="B369">
        <f>HYPERLINK("C:\Users\lmonroy\Tema\BoletasPDF\AHUITE MANIZARI JUAN T0001493.pdf", "Link")</f>
        <v/>
      </c>
      <c r="C369" t="n">
        <v>166323</v>
      </c>
      <c r="D369" t="inlineStr">
        <is>
          <t>2024-03-26 12:26:07</t>
        </is>
      </c>
      <c r="E369" t="inlineStr">
        <is>
          <t>2024-03-26 12:26:07</t>
        </is>
      </c>
      <c r="F369" t="inlineStr">
        <is>
          <t>666</t>
        </is>
      </c>
    </row>
    <row r="370">
      <c r="A370" t="inlineStr">
        <is>
          <t>APAGUEÑO OJANAMA MELVIN T0001485.pdf</t>
        </is>
      </c>
      <c r="B370">
        <f>HYPERLINK("C:\Users\lmonroy\Tema\BoletasPDF\APAGUEÑO OJANAMA MELVIN T0001485.pdf", "Link")</f>
        <v/>
      </c>
      <c r="C370" t="n">
        <v>166334</v>
      </c>
      <c r="D370" t="inlineStr">
        <is>
          <t>2024-03-26 12:25:29</t>
        </is>
      </c>
      <c r="E370" t="inlineStr">
        <is>
          <t>2024-03-26 12:25:29</t>
        </is>
      </c>
      <c r="F370" t="inlineStr">
        <is>
          <t>666</t>
        </is>
      </c>
    </row>
    <row r="371">
      <c r="A371" t="inlineStr">
        <is>
          <t>APAGÜEÑO CURITIMA AVENAMAR  T0001389.pdf</t>
        </is>
      </c>
      <c r="B371">
        <f>HYPERLINK("C:\Users\lmonroy\Tema\BoletasPDF\APAGÜEÑO CURITIMA AVENAMAR  T0001389.pdf", "Link")</f>
        <v/>
      </c>
      <c r="C371" t="n">
        <v>166162</v>
      </c>
      <c r="D371" t="inlineStr">
        <is>
          <t>2024-03-26 12:26:02</t>
        </is>
      </c>
      <c r="E371" t="inlineStr">
        <is>
          <t>2024-03-26 12:26:02</t>
        </is>
      </c>
      <c r="F371" t="inlineStr">
        <is>
          <t>666</t>
        </is>
      </c>
    </row>
    <row r="372">
      <c r="A372" t="inlineStr">
        <is>
          <t>ARAHUATA AHUITE ESTEBAN T0001494.pdf</t>
        </is>
      </c>
      <c r="B372">
        <f>HYPERLINK("C:\Users\lmonroy\Tema\BoletasPDF\ARAHUATA AHUITE ESTEBAN T0001494.pdf", "Link")</f>
        <v/>
      </c>
      <c r="C372" t="n">
        <v>166297</v>
      </c>
      <c r="D372" t="inlineStr">
        <is>
          <t>2024-03-26 12:25:59</t>
        </is>
      </c>
      <c r="E372" t="inlineStr">
        <is>
          <t>2024-03-26 12:25:59</t>
        </is>
      </c>
      <c r="F372" t="inlineStr">
        <is>
          <t>666</t>
        </is>
      </c>
    </row>
    <row r="373">
      <c r="A373" t="inlineStr">
        <is>
          <t>ARAHUATA MANIZARI VICENTE T0001495.pdf</t>
        </is>
      </c>
      <c r="B373">
        <f>HYPERLINK("C:\Users\lmonroy\Tema\BoletasPDF\ARAHUATA MANIZARI VICENTE T0001495.pdf", "Link")</f>
        <v/>
      </c>
      <c r="C373" t="n">
        <v>166306</v>
      </c>
      <c r="D373" t="inlineStr">
        <is>
          <t>2024-03-26 12:26:11</t>
        </is>
      </c>
      <c r="E373" t="inlineStr">
        <is>
          <t>2024-03-26 12:26:11</t>
        </is>
      </c>
      <c r="F373" t="inlineStr">
        <is>
          <t>666</t>
        </is>
      </c>
    </row>
    <row r="374">
      <c r="A374" t="inlineStr">
        <is>
          <t>ARIMUYA MURAYARI RIDER T0001481.pdf</t>
        </is>
      </c>
      <c r="B374">
        <f>HYPERLINK("C:\Users\lmonroy\Tema\BoletasPDF\ARIMUYA MURAYARI RIDER T0001481.pdf", "Link")</f>
        <v/>
      </c>
      <c r="C374" t="n">
        <v>166317</v>
      </c>
      <c r="D374" t="inlineStr">
        <is>
          <t>2024-03-26 12:25:32</t>
        </is>
      </c>
      <c r="E374" t="inlineStr">
        <is>
          <t>2024-03-26 12:25:32</t>
        </is>
      </c>
      <c r="F374" t="inlineStr">
        <is>
          <t>666</t>
        </is>
      </c>
    </row>
    <row r="375">
      <c r="A375" t="inlineStr">
        <is>
          <t>ASIPALI IRARICA TULIO LUIS T0001489.pdf</t>
        </is>
      </c>
      <c r="B375">
        <f>HYPERLINK("C:\Users\lmonroy\Tema\BoletasPDF\ASIPALI IRARICA TULIO LUIS T0001489.pdf", "Link")</f>
        <v/>
      </c>
      <c r="C375" t="n">
        <v>166300</v>
      </c>
      <c r="D375" t="inlineStr">
        <is>
          <t>2024-03-26 12:25:22</t>
        </is>
      </c>
      <c r="E375" t="inlineStr">
        <is>
          <t>2024-03-26 12:25:22</t>
        </is>
      </c>
      <c r="F375" t="inlineStr">
        <is>
          <t>666</t>
        </is>
      </c>
    </row>
    <row r="376">
      <c r="A376" t="inlineStr">
        <is>
          <t>BARDALES QUISTO JOSE VISALOTE T0001042.pdf</t>
        </is>
      </c>
      <c r="B376">
        <f>HYPERLINK("C:\Users\lmonroy\Tema\BoletasPDF\BARDALES QUISTO JOSE VISALOTE T0001042.pdf", "Link")</f>
        <v/>
      </c>
      <c r="C376" t="n">
        <v>166354</v>
      </c>
      <c r="D376" t="inlineStr">
        <is>
          <t>2024-03-26 12:25:33</t>
        </is>
      </c>
      <c r="E376" t="inlineStr">
        <is>
          <t>2024-03-26 12:25:33</t>
        </is>
      </c>
      <c r="F376" t="inlineStr">
        <is>
          <t>666</t>
        </is>
      </c>
    </row>
    <row r="377">
      <c r="A377" t="inlineStr">
        <is>
          <t>CASTAÑON MACUSI ALEX  T0001052.pdf</t>
        </is>
      </c>
      <c r="B377">
        <f>HYPERLINK("C:\Users\lmonroy\Tema\BoletasPDF\CASTAÑON MACUSI ALEX  T0001052.pdf", "Link")</f>
        <v/>
      </c>
      <c r="C377" t="n">
        <v>166187</v>
      </c>
      <c r="D377" t="inlineStr">
        <is>
          <t>2024-03-26 12:25:55</t>
        </is>
      </c>
      <c r="E377" t="inlineStr">
        <is>
          <t>2024-03-26 12:25:55</t>
        </is>
      </c>
      <c r="F377" t="inlineStr">
        <is>
          <t>666</t>
        </is>
      </c>
    </row>
    <row r="378">
      <c r="A378" t="inlineStr">
        <is>
          <t>CASTAÑON RODRIGUEZ ALEX T0001496.pdf</t>
        </is>
      </c>
      <c r="B378">
        <f>HYPERLINK("C:\Users\lmonroy\Tema\BoletasPDF\CASTAÑON RODRIGUEZ ALEX T0001496.pdf", "Link")</f>
        <v/>
      </c>
      <c r="C378" t="n">
        <v>166312</v>
      </c>
      <c r="D378" t="inlineStr">
        <is>
          <t>2024-03-26 12:26:05</t>
        </is>
      </c>
      <c r="E378" t="inlineStr">
        <is>
          <t>2024-03-26 12:26:05</t>
        </is>
      </c>
      <c r="F378" t="inlineStr">
        <is>
          <t>666</t>
        </is>
      </c>
    </row>
    <row r="379">
      <c r="A379" t="inlineStr">
        <is>
          <t>CUNAYA VELA AROLDO T0001497.pdf</t>
        </is>
      </c>
      <c r="B379">
        <f>HYPERLINK("C:\Users\lmonroy\Tema\BoletasPDF\CUNAYA VELA AROLDO T0001497.pdf", "Link")</f>
        <v/>
      </c>
      <c r="C379" t="n">
        <v>166294</v>
      </c>
      <c r="D379" t="inlineStr">
        <is>
          <t>2024-03-26 12:25:52</t>
        </is>
      </c>
      <c r="E379" t="inlineStr">
        <is>
          <t>2024-03-26 12:25:52</t>
        </is>
      </c>
      <c r="F379" t="inlineStr">
        <is>
          <t>666</t>
        </is>
      </c>
    </row>
    <row r="380">
      <c r="A380" t="inlineStr">
        <is>
          <t>CUNAYA VELA JEINER T0001498.pdf</t>
        </is>
      </c>
      <c r="B380">
        <f>HYPERLINK("C:\Users\lmonroy\Tema\BoletasPDF\CUNAYA VELA JEINER T0001498.pdf", "Link")</f>
        <v/>
      </c>
      <c r="C380" t="n">
        <v>166292</v>
      </c>
      <c r="D380" t="inlineStr">
        <is>
          <t>2024-03-26 12:25:53</t>
        </is>
      </c>
      <c r="E380" t="inlineStr">
        <is>
          <t>2024-03-26 12:25:53</t>
        </is>
      </c>
      <c r="F380" t="inlineStr">
        <is>
          <t>666</t>
        </is>
      </c>
    </row>
    <row r="381">
      <c r="A381" t="inlineStr">
        <is>
          <t>FASANANDO VASQUEZ LEANDRO T0001484.pdf</t>
        </is>
      </c>
      <c r="B381">
        <f>HYPERLINK("C:\Users\lmonroy\Tema\BoletasPDF\FASANANDO VASQUEZ LEANDRO T0001484.pdf", "Link")</f>
        <v/>
      </c>
      <c r="C381" t="n">
        <v>166302</v>
      </c>
      <c r="D381" t="inlineStr">
        <is>
          <t>2024-03-26 12:25:38</t>
        </is>
      </c>
      <c r="E381" t="inlineStr">
        <is>
          <t>2024-03-26 12:25:38</t>
        </is>
      </c>
      <c r="F381" t="inlineStr">
        <is>
          <t>666</t>
        </is>
      </c>
    </row>
    <row r="382">
      <c r="A382" t="inlineStr">
        <is>
          <t>HAUXWELL TORRES MACK BRUNO T0001479.pdf</t>
        </is>
      </c>
      <c r="B382">
        <f>HYPERLINK("C:\Users\lmonroy\Tema\BoletasPDF\HAUXWELL TORRES MACK BRUNO T0001479.pdf", "Link")</f>
        <v/>
      </c>
      <c r="C382" t="n">
        <v>166312</v>
      </c>
      <c r="D382" t="inlineStr">
        <is>
          <t>2024-03-26 12:26:01</t>
        </is>
      </c>
      <c r="E382" t="inlineStr">
        <is>
          <t>2024-03-26 12:26:01</t>
        </is>
      </c>
      <c r="F382" t="inlineStr">
        <is>
          <t>666</t>
        </is>
      </c>
    </row>
    <row r="383">
      <c r="A383" t="inlineStr">
        <is>
          <t>IGNACIO MACUSI JACINTO  T0001087.pdf</t>
        </is>
      </c>
      <c r="B383">
        <f>HYPERLINK("C:\Users\lmonroy\Tema\BoletasPDF\IGNACIO MACUSI JACINTO  T0001087.pdf", "Link")</f>
        <v/>
      </c>
      <c r="C383" t="n">
        <v>166153</v>
      </c>
      <c r="D383" t="inlineStr">
        <is>
          <t>2024-03-26 12:25:36</t>
        </is>
      </c>
      <c r="E383" t="inlineStr">
        <is>
          <t>2024-03-26 12:25:36</t>
        </is>
      </c>
      <c r="F383" t="inlineStr">
        <is>
          <t>666</t>
        </is>
      </c>
    </row>
    <row r="384">
      <c r="A384" t="inlineStr">
        <is>
          <t>INUMA AHUITE DANIEL T0001499.pdf</t>
        </is>
      </c>
      <c r="B384">
        <f>HYPERLINK("C:\Users\lmonroy\Tema\BoletasPDF\INUMA AHUITE DANIEL T0001499.pdf", "Link")</f>
        <v/>
      </c>
      <c r="C384" t="n">
        <v>166291</v>
      </c>
      <c r="D384" t="inlineStr">
        <is>
          <t>2024-03-26 12:25:48</t>
        </is>
      </c>
      <c r="E384" t="inlineStr">
        <is>
          <t>2024-03-26 12:25:48</t>
        </is>
      </c>
      <c r="F384" t="inlineStr">
        <is>
          <t>666</t>
        </is>
      </c>
    </row>
    <row r="385">
      <c r="A385" t="inlineStr">
        <is>
          <t>INUMA ARAHUATA CUSTODIO T0001500.pdf</t>
        </is>
      </c>
      <c r="B385">
        <f>HYPERLINK("C:\Users\lmonroy\Tema\BoletasPDF\INUMA ARAHUATA CUSTODIO T0001500.pdf", "Link")</f>
        <v/>
      </c>
      <c r="C385" t="n">
        <v>166303</v>
      </c>
      <c r="D385" t="inlineStr">
        <is>
          <t>2024-03-26 12:26:12</t>
        </is>
      </c>
      <c r="E385" t="inlineStr">
        <is>
          <t>2024-03-26 12:26:12</t>
        </is>
      </c>
      <c r="F385" t="inlineStr">
        <is>
          <t>666</t>
        </is>
      </c>
    </row>
    <row r="386">
      <c r="A386" t="inlineStr">
        <is>
          <t>INUMA ARAHUATE ANTONIO T0001501.pdf</t>
        </is>
      </c>
      <c r="B386">
        <f>HYPERLINK("C:\Users\lmonroy\Tema\BoletasPDF\INUMA ARAHUATE ANTONIO T0001501.pdf", "Link")</f>
        <v/>
      </c>
      <c r="C386" t="n">
        <v>166323</v>
      </c>
      <c r="D386" t="inlineStr">
        <is>
          <t>2024-03-26 12:26:06</t>
        </is>
      </c>
      <c r="E386" t="inlineStr">
        <is>
          <t>2024-03-26 12:26:06</t>
        </is>
      </c>
      <c r="F386" t="inlineStr">
        <is>
          <t>666</t>
        </is>
      </c>
    </row>
    <row r="387">
      <c r="A387" t="inlineStr">
        <is>
          <t>INUMA CAHIRICO ARMANDO T0001502.pdf</t>
        </is>
      </c>
      <c r="B387">
        <f>HYPERLINK("C:\Users\lmonroy\Tema\BoletasPDF\INUMA CAHIRICO ARMANDO T0001502.pdf", "Link")</f>
        <v/>
      </c>
      <c r="C387" t="n">
        <v>166332</v>
      </c>
      <c r="D387" t="inlineStr">
        <is>
          <t>2024-03-26 12:25:31</t>
        </is>
      </c>
      <c r="E387" t="inlineStr">
        <is>
          <t>2024-03-26 12:25:31</t>
        </is>
      </c>
      <c r="F387" t="inlineStr">
        <is>
          <t>666</t>
        </is>
      </c>
    </row>
    <row r="388">
      <c r="A388" t="inlineStr">
        <is>
          <t>INUMA CAHIRICO JUAN T0001503.pdf</t>
        </is>
      </c>
      <c r="B388">
        <f>HYPERLINK("C:\Users\lmonroy\Tema\BoletasPDF\INUMA CAHIRICO JUAN T0001503.pdf", "Link")</f>
        <v/>
      </c>
      <c r="C388" t="n">
        <v>166300</v>
      </c>
      <c r="D388" t="inlineStr">
        <is>
          <t>2024-03-26 12:25:21</t>
        </is>
      </c>
      <c r="E388" t="inlineStr">
        <is>
          <t>2024-03-26 12:25:21</t>
        </is>
      </c>
      <c r="F388" t="inlineStr">
        <is>
          <t>666</t>
        </is>
      </c>
    </row>
    <row r="389">
      <c r="A389" t="inlineStr">
        <is>
          <t>INUMA MACUSI CRUZ T0001504.pdf</t>
        </is>
      </c>
      <c r="B389">
        <f>HYPERLINK("C:\Users\lmonroy\Tema\BoletasPDF\INUMA MACUSI CRUZ T0001504.pdf", "Link")</f>
        <v/>
      </c>
      <c r="C389" t="n">
        <v>166292</v>
      </c>
      <c r="D389" t="inlineStr">
        <is>
          <t>2024-03-26 12:25:43</t>
        </is>
      </c>
      <c r="E389" t="inlineStr">
        <is>
          <t>2024-03-26 12:25:43</t>
        </is>
      </c>
      <c r="F389" t="inlineStr">
        <is>
          <t>666</t>
        </is>
      </c>
    </row>
    <row r="390">
      <c r="A390" t="inlineStr">
        <is>
          <t>INUMA OJEYCATE ESAU T0001505.pdf</t>
        </is>
      </c>
      <c r="B390">
        <f>HYPERLINK("C:\Users\lmonroy\Tema\BoletasPDF\INUMA OJEYCATE ESAU T0001505.pdf", "Link")</f>
        <v/>
      </c>
      <c r="C390" t="n">
        <v>166304</v>
      </c>
      <c r="D390" t="inlineStr">
        <is>
          <t>2024-03-26 12:25:58</t>
        </is>
      </c>
      <c r="E390" t="inlineStr">
        <is>
          <t>2024-03-26 12:25:58</t>
        </is>
      </c>
      <c r="F390" t="inlineStr">
        <is>
          <t>666</t>
        </is>
      </c>
    </row>
    <row r="391">
      <c r="A391" t="inlineStr">
        <is>
          <t>IRARICA IRARICA FELIX JORDAN T0001486.pdf</t>
        </is>
      </c>
      <c r="B391">
        <f>HYPERLINK("C:\Users\lmonroy\Tema\BoletasPDF\IRARICA IRARICA FELIX JORDAN T0001486.pdf", "Link")</f>
        <v/>
      </c>
      <c r="C391" t="n">
        <v>166304</v>
      </c>
      <c r="D391" t="inlineStr">
        <is>
          <t>2024-03-26 12:25:51</t>
        </is>
      </c>
      <c r="E391" t="inlineStr">
        <is>
          <t>2024-03-26 12:25:51</t>
        </is>
      </c>
      <c r="F391" t="inlineStr">
        <is>
          <t>666</t>
        </is>
      </c>
    </row>
    <row r="392">
      <c r="A392" t="inlineStr">
        <is>
          <t>JOGUISTA OJAICATE ITAMAR  T0001137.pdf</t>
        </is>
      </c>
      <c r="B392">
        <f>HYPERLINK("C:\Users\lmonroy\Tema\BoletasPDF\JOGUISTA OJAICATE ITAMAR  T0001137.pdf", "Link")</f>
        <v/>
      </c>
      <c r="C392" t="n">
        <v>166151</v>
      </c>
      <c r="D392" t="inlineStr">
        <is>
          <t>2024-03-26 12:25:54</t>
        </is>
      </c>
      <c r="E392" t="inlineStr">
        <is>
          <t>2024-03-26 12:25:54</t>
        </is>
      </c>
      <c r="F392" t="inlineStr">
        <is>
          <t>666</t>
        </is>
      </c>
    </row>
    <row r="393">
      <c r="A393" t="inlineStr">
        <is>
          <t>JOGUISTA RIOS JOSE  T0001138.pdf</t>
        </is>
      </c>
      <c r="B393">
        <f>HYPERLINK("C:\Users\lmonroy\Tema\BoletasPDF\JOGUISTA RIOS JOSE  T0001138.pdf", "Link")</f>
        <v/>
      </c>
      <c r="C393" t="n">
        <v>166117</v>
      </c>
      <c r="D393" t="inlineStr">
        <is>
          <t>2024-03-26 12:26:03</t>
        </is>
      </c>
      <c r="E393" t="inlineStr">
        <is>
          <t>2024-03-26 12:26:03</t>
        </is>
      </c>
      <c r="F393" t="inlineStr">
        <is>
          <t>666</t>
        </is>
      </c>
    </row>
    <row r="394">
      <c r="A394" t="inlineStr">
        <is>
          <t>JUMACHI PIZANGO ERMENEGILDO T0001477.pdf</t>
        </is>
      </c>
      <c r="B394">
        <f>HYPERLINK("C:\Users\lmonroy\Tema\BoletasPDF\JUMACHI PIZANGO ERMENEGILDO T0001477.pdf", "Link")</f>
        <v/>
      </c>
      <c r="C394" t="n">
        <v>166332</v>
      </c>
      <c r="D394" t="inlineStr">
        <is>
          <t>2024-03-26 12:25:24</t>
        </is>
      </c>
      <c r="E394" t="inlineStr">
        <is>
          <t>2024-03-26 12:25:24</t>
        </is>
      </c>
      <c r="F394" t="inlineStr">
        <is>
          <t>666</t>
        </is>
      </c>
    </row>
    <row r="395">
      <c r="A395" t="inlineStr">
        <is>
          <t>LOPEZ CUNAYA ROBERTO T0001506.pdf</t>
        </is>
      </c>
      <c r="B395">
        <f>HYPERLINK("C:\Users\lmonroy\Tema\BoletasPDF\LOPEZ CUNAYA ROBERTO T0001506.pdf", "Link")</f>
        <v/>
      </c>
      <c r="C395" t="n">
        <v>166300</v>
      </c>
      <c r="D395" t="inlineStr">
        <is>
          <t>2024-03-26 12:25:50</t>
        </is>
      </c>
      <c r="E395" t="inlineStr">
        <is>
          <t>2024-03-26 12:25:50</t>
        </is>
      </c>
      <c r="F395" t="inlineStr">
        <is>
          <t>666</t>
        </is>
      </c>
    </row>
    <row r="396">
      <c r="A396" t="inlineStr">
        <is>
          <t>LÓPEZ VELA MARCIAL  T0001152.pdf</t>
        </is>
      </c>
      <c r="B396">
        <f>HYPERLINK("C:\Users\lmonroy\Tema\BoletasPDF\LÓPEZ VELA MARCIAL  T0001152.pdf", "Link")</f>
        <v/>
      </c>
      <c r="C396" t="n">
        <v>166140</v>
      </c>
      <c r="D396" t="inlineStr">
        <is>
          <t>2024-03-26 12:25:39</t>
        </is>
      </c>
      <c r="E396" t="inlineStr">
        <is>
          <t>2024-03-26 12:25:39</t>
        </is>
      </c>
      <c r="F396" t="inlineStr">
        <is>
          <t>666</t>
        </is>
      </c>
    </row>
    <row r="397">
      <c r="A397" t="inlineStr">
        <is>
          <t>MACUSI ARAHUATA MIMBER T0001507.pdf</t>
        </is>
      </c>
      <c r="B397">
        <f>HYPERLINK("C:\Users\lmonroy\Tema\BoletasPDF\MACUSI ARAHUATA MIMBER T0001507.pdf", "Link")</f>
        <v/>
      </c>
      <c r="C397" t="n">
        <v>166303</v>
      </c>
      <c r="D397" t="inlineStr">
        <is>
          <t>2024-03-26 12:26:10</t>
        </is>
      </c>
      <c r="E397" t="inlineStr">
        <is>
          <t>2024-03-26 12:26:10</t>
        </is>
      </c>
      <c r="F397" t="inlineStr">
        <is>
          <t>666</t>
        </is>
      </c>
    </row>
    <row r="398">
      <c r="A398" t="inlineStr">
        <is>
          <t>MACUSI INUMA ISAC T0001508.pdf</t>
        </is>
      </c>
      <c r="B398">
        <f>HYPERLINK("C:\Users\lmonroy\Tema\BoletasPDF\MACUSI INUMA ISAC T0001508.pdf", "Link")</f>
        <v/>
      </c>
      <c r="C398" t="n">
        <v>166281</v>
      </c>
      <c r="D398" t="inlineStr">
        <is>
          <t>2024-03-26 12:26:01</t>
        </is>
      </c>
      <c r="E398" t="inlineStr">
        <is>
          <t>2024-03-26 12:26:01</t>
        </is>
      </c>
      <c r="F398" t="inlineStr">
        <is>
          <t>666</t>
        </is>
      </c>
    </row>
    <row r="399">
      <c r="A399" t="inlineStr">
        <is>
          <t>MACUSI INUMA WILDER  T0001164.pdf</t>
        </is>
      </c>
      <c r="B399">
        <f>HYPERLINK("C:\Users\lmonroy\Tema\BoletasPDF\MACUSI INUMA WILDER  T0001164.pdf", "Link")</f>
        <v/>
      </c>
      <c r="C399" t="n">
        <v>166124</v>
      </c>
      <c r="D399" t="inlineStr">
        <is>
          <t>2024-03-26 12:25:57</t>
        </is>
      </c>
      <c r="E399" t="inlineStr">
        <is>
          <t>2024-03-26 12:25:57</t>
        </is>
      </c>
      <c r="F399" t="inlineStr">
        <is>
          <t>666</t>
        </is>
      </c>
    </row>
    <row r="400">
      <c r="A400" t="inlineStr">
        <is>
          <t>MACUSI LOPEZ JOSE T0001509.pdf</t>
        </is>
      </c>
      <c r="B400">
        <f>HYPERLINK("C:\Users\lmonroy\Tema\BoletasPDF\MACUSI LOPEZ JOSE T0001509.pdf", "Link")</f>
        <v/>
      </c>
      <c r="C400" t="n">
        <v>166317</v>
      </c>
      <c r="D400" t="inlineStr">
        <is>
          <t>2024-03-26 12:25:49</t>
        </is>
      </c>
      <c r="E400" t="inlineStr">
        <is>
          <t>2024-03-26 12:25:49</t>
        </is>
      </c>
      <c r="F400" t="inlineStr">
        <is>
          <t>666</t>
        </is>
      </c>
    </row>
    <row r="401">
      <c r="A401" t="inlineStr">
        <is>
          <t>NORIEGA INUMA LUIS  T0001196.pdf</t>
        </is>
      </c>
      <c r="B401">
        <f>HYPERLINK("C:\Users\lmonroy\Tema\BoletasPDF\NORIEGA INUMA LUIS  T0001196.pdf", "Link")</f>
        <v/>
      </c>
      <c r="C401" t="n">
        <v>166149</v>
      </c>
      <c r="D401" t="inlineStr">
        <is>
          <t>2024-03-26 12:25:42</t>
        </is>
      </c>
      <c r="E401" t="inlineStr">
        <is>
          <t>2024-03-26 12:25:42</t>
        </is>
      </c>
      <c r="F401" t="inlineStr">
        <is>
          <t>666</t>
        </is>
      </c>
    </row>
    <row r="402">
      <c r="A402" t="inlineStr">
        <is>
          <t>NORIEGA VELA ALFREDO  T0001198.pdf</t>
        </is>
      </c>
      <c r="B402">
        <f>HYPERLINK("C:\Users\lmonroy\Tema\BoletasPDF\NORIEGA VELA ALFREDO  T0001198.pdf", "Link")</f>
        <v/>
      </c>
      <c r="C402" t="n">
        <v>166142</v>
      </c>
      <c r="D402" t="inlineStr">
        <is>
          <t>2024-03-26 12:25:37</t>
        </is>
      </c>
      <c r="E402" t="inlineStr">
        <is>
          <t>2024-03-26 12:25:37</t>
        </is>
      </c>
      <c r="F402" t="inlineStr">
        <is>
          <t>666</t>
        </is>
      </c>
    </row>
    <row r="403">
      <c r="A403" t="inlineStr">
        <is>
          <t>NURIBE ARAHUATA JORGE T0001510.pdf</t>
        </is>
      </c>
      <c r="B403">
        <f>HYPERLINK("C:\Users\lmonroy\Tema\BoletasPDF\NURIBE ARAHUATA JORGE T0001510.pdf", "Link")</f>
        <v/>
      </c>
      <c r="C403" t="n">
        <v>166337</v>
      </c>
      <c r="D403" t="inlineStr">
        <is>
          <t>2024-03-26 12:25:20</t>
        </is>
      </c>
      <c r="E403" t="inlineStr">
        <is>
          <t>2024-03-26 12:25:20</t>
        </is>
      </c>
      <c r="F403" t="inlineStr">
        <is>
          <t>666</t>
        </is>
      </c>
    </row>
    <row r="404">
      <c r="A404" t="inlineStr">
        <is>
          <t>NURIBE ARAHUATA ROBERTO T0001511.pdf</t>
        </is>
      </c>
      <c r="B404">
        <f>HYPERLINK("C:\Users\lmonroy\Tema\BoletasPDF\NURIBE ARAHUATA ROBERTO T0001511.pdf", "Link")</f>
        <v/>
      </c>
      <c r="C404" t="n">
        <v>166355</v>
      </c>
      <c r="D404" t="inlineStr">
        <is>
          <t>2024-03-26 12:25:23</t>
        </is>
      </c>
      <c r="E404" t="inlineStr">
        <is>
          <t>2024-03-26 12:25:23</t>
        </is>
      </c>
      <c r="F404" t="inlineStr">
        <is>
          <t>666</t>
        </is>
      </c>
    </row>
    <row r="405">
      <c r="A405" t="inlineStr">
        <is>
          <t>NURIBE ARAHUATE HUMBERTO T0001478.pdf</t>
        </is>
      </c>
      <c r="B405">
        <f>HYPERLINK("C:\Users\lmonroy\Tema\BoletasPDF\NURIBE ARAHUATE HUMBERTO T0001478.pdf", "Link")</f>
        <v/>
      </c>
      <c r="C405" t="n">
        <v>166317</v>
      </c>
      <c r="D405" t="inlineStr">
        <is>
          <t>2024-03-26 12:26:04</t>
        </is>
      </c>
      <c r="E405" t="inlineStr">
        <is>
          <t>2024-03-26 12:26:04</t>
        </is>
      </c>
      <c r="F405" t="inlineStr">
        <is>
          <t>666</t>
        </is>
      </c>
    </row>
    <row r="406">
      <c r="A406" t="inlineStr">
        <is>
          <t>NURIBE ARAHUATE SALOMON T0001512.pdf</t>
        </is>
      </c>
      <c r="B406">
        <f>HYPERLINK("C:\Users\lmonroy\Tema\BoletasPDF\NURIBE ARAHUATE SALOMON T0001512.pdf", "Link")</f>
        <v/>
      </c>
      <c r="C406" t="n">
        <v>166323</v>
      </c>
      <c r="D406" t="inlineStr">
        <is>
          <t>2024-03-26 12:25:47</t>
        </is>
      </c>
      <c r="E406" t="inlineStr">
        <is>
          <t>2024-03-26 12:25:47</t>
        </is>
      </c>
      <c r="F406" t="inlineStr">
        <is>
          <t>666</t>
        </is>
      </c>
    </row>
    <row r="407">
      <c r="A407" t="inlineStr">
        <is>
          <t>NURIBE MACUSI ABEL T0001513.pdf</t>
        </is>
      </c>
      <c r="B407">
        <f>HYPERLINK("C:\Users\lmonroy\Tema\BoletasPDF\NURIBE MACUSI ABEL T0001513.pdf", "Link")</f>
        <v/>
      </c>
      <c r="C407" t="n">
        <v>166320</v>
      </c>
      <c r="D407" t="inlineStr">
        <is>
          <t>2024-03-26 12:25:44</t>
        </is>
      </c>
      <c r="E407" t="inlineStr">
        <is>
          <t>2024-03-26 12:25:44</t>
        </is>
      </c>
      <c r="F407" t="inlineStr">
        <is>
          <t>666</t>
        </is>
      </c>
    </row>
    <row r="408">
      <c r="A408" t="inlineStr">
        <is>
          <t>NURIBE MACUSI ABRAHAM T0001526.pdf</t>
        </is>
      </c>
      <c r="B408">
        <f>HYPERLINK("C:\Users\lmonroy\Tema\BoletasPDF\NURIBE MACUSI ABRAHAM T0001526.pdf", "Link")</f>
        <v/>
      </c>
      <c r="C408" t="n">
        <v>166294</v>
      </c>
      <c r="D408" t="inlineStr">
        <is>
          <t>2024-03-26 12:26:00</t>
        </is>
      </c>
      <c r="E408" t="inlineStr">
        <is>
          <t>2024-03-26 12:26:00</t>
        </is>
      </c>
      <c r="F408" t="inlineStr">
        <is>
          <t>666</t>
        </is>
      </c>
    </row>
    <row r="409">
      <c r="A409" t="inlineStr">
        <is>
          <t>OJACATE VELA GILBERTO T0001514.pdf</t>
        </is>
      </c>
      <c r="B409">
        <f>HYPERLINK("C:\Users\lmonroy\Tema\BoletasPDF\OJACATE VELA GILBERTO T0001514.pdf", "Link")</f>
        <v/>
      </c>
      <c r="C409" t="n">
        <v>166294</v>
      </c>
      <c r="D409" t="inlineStr">
        <is>
          <t>2024-03-26 12:26:14</t>
        </is>
      </c>
      <c r="E409" t="inlineStr">
        <is>
          <t>2024-03-26 12:26:14</t>
        </is>
      </c>
      <c r="F409" t="inlineStr">
        <is>
          <t>666</t>
        </is>
      </c>
    </row>
    <row r="410">
      <c r="A410" t="inlineStr">
        <is>
          <t>OJAICATE ARAHUATA JONAS T0001515.pdf</t>
        </is>
      </c>
      <c r="B410">
        <f>HYPERLINK("C:\Users\lmonroy\Tema\BoletasPDF\OJAICATE ARAHUATA JONAS T0001515.pdf", "Link")</f>
        <v/>
      </c>
      <c r="C410" t="n">
        <v>166329</v>
      </c>
      <c r="D410" t="inlineStr">
        <is>
          <t>2024-03-26 12:25:45</t>
        </is>
      </c>
      <c r="E410" t="inlineStr">
        <is>
          <t>2024-03-26 12:25:45</t>
        </is>
      </c>
      <c r="F410" t="inlineStr">
        <is>
          <t>666</t>
        </is>
      </c>
    </row>
    <row r="411">
      <c r="A411" t="inlineStr">
        <is>
          <t>PAREDES USHIÑAHUA REITER T0001482.pdf</t>
        </is>
      </c>
      <c r="B411">
        <f>HYPERLINK("C:\Users\lmonroy\Tema\BoletasPDF\PAREDES USHIÑAHUA REITER T0001482.pdf", "Link")</f>
        <v/>
      </c>
      <c r="C411" t="n">
        <v>166307</v>
      </c>
      <c r="D411" t="inlineStr">
        <is>
          <t>2024-03-26 12:26:10</t>
        </is>
      </c>
      <c r="E411" t="inlineStr">
        <is>
          <t>2024-03-26 12:26:10</t>
        </is>
      </c>
      <c r="F411" t="inlineStr">
        <is>
          <t>666</t>
        </is>
      </c>
    </row>
    <row r="412">
      <c r="A412" t="inlineStr">
        <is>
          <t>PISCO TORRES ROBLES T0001487.pdf</t>
        </is>
      </c>
      <c r="B412">
        <f>HYPERLINK("C:\Users\lmonroy\Tema\BoletasPDF\PISCO TORRES ROBLES T0001487.pdf", "Link")</f>
        <v/>
      </c>
      <c r="C412" t="n">
        <v>166302</v>
      </c>
      <c r="D412" t="inlineStr">
        <is>
          <t>2024-03-26 12:25:27</t>
        </is>
      </c>
      <c r="E412" t="inlineStr">
        <is>
          <t>2024-03-26 12:25:27</t>
        </is>
      </c>
      <c r="F412" t="inlineStr">
        <is>
          <t>666</t>
        </is>
      </c>
    </row>
    <row r="413">
      <c r="A413" t="inlineStr">
        <is>
          <t>QUISTO CLEMENTE ANTONIO T0001516.pdf</t>
        </is>
      </c>
      <c r="B413">
        <f>HYPERLINK("C:\Users\lmonroy\Tema\BoletasPDF\QUISTO CLEMENTE ANTONIO T0001516.pdf", "Link")</f>
        <v/>
      </c>
      <c r="C413" t="n">
        <v>166295</v>
      </c>
      <c r="D413" t="inlineStr">
        <is>
          <t>2024-03-26 12:26:13</t>
        </is>
      </c>
      <c r="E413" t="inlineStr">
        <is>
          <t>2024-03-26 12:26:13</t>
        </is>
      </c>
      <c r="F413" t="inlineStr">
        <is>
          <t>666</t>
        </is>
      </c>
    </row>
    <row r="414">
      <c r="A414" t="inlineStr">
        <is>
          <t>RAMON ARAHUATE ISAAC T0001517.pdf</t>
        </is>
      </c>
      <c r="B414">
        <f>HYPERLINK("C:\Users\lmonroy\Tema\BoletasPDF\RAMON ARAHUATE ISAAC T0001517.pdf", "Link")</f>
        <v/>
      </c>
      <c r="C414" t="n">
        <v>166294</v>
      </c>
      <c r="D414" t="inlineStr">
        <is>
          <t>2024-03-26 12:25:49</t>
        </is>
      </c>
      <c r="E414" t="inlineStr">
        <is>
          <t>2024-03-26 12:25:49</t>
        </is>
      </c>
      <c r="F414" t="inlineStr">
        <is>
          <t>666</t>
        </is>
      </c>
    </row>
    <row r="415">
      <c r="A415" t="inlineStr">
        <is>
          <t>RAMON ARAHUATE JACOB T0001518.pdf</t>
        </is>
      </c>
      <c r="B415">
        <f>HYPERLINK("C:\Users\lmonroy\Tema\BoletasPDF\RAMON ARAHUATE JACOB T0001518.pdf", "Link")</f>
        <v/>
      </c>
      <c r="C415" t="n">
        <v>166298</v>
      </c>
      <c r="D415" t="inlineStr">
        <is>
          <t>2024-03-26 12:25:46</t>
        </is>
      </c>
      <c r="E415" t="inlineStr">
        <is>
          <t>2024-03-26 12:25:46</t>
        </is>
      </c>
      <c r="F415" t="inlineStr">
        <is>
          <t>666</t>
        </is>
      </c>
    </row>
    <row r="416">
      <c r="A416" t="inlineStr">
        <is>
          <t>RIOS RIOS JHACSON T0001383.pdf</t>
        </is>
      </c>
      <c r="B416">
        <f>HYPERLINK("C:\Users\lmonroy\Tema\BoletasPDF\RIOS RIOS JHACSON T0001383.pdf", "Link")</f>
        <v/>
      </c>
      <c r="C416" t="n">
        <v>166326</v>
      </c>
      <c r="D416" t="inlineStr">
        <is>
          <t>2024-03-26 12:25:24</t>
        </is>
      </c>
      <c r="E416" t="inlineStr">
        <is>
          <t>2024-03-26 12:25:24</t>
        </is>
      </c>
      <c r="F416" t="inlineStr">
        <is>
          <t>666</t>
        </is>
      </c>
    </row>
    <row r="417">
      <c r="A417" t="inlineStr">
        <is>
          <t>RUIZ LA TORRE ELVIS CHARLES  T0001490.pdf</t>
        </is>
      </c>
      <c r="B417">
        <f>HYPERLINK("C:\Users\lmonroy\Tema\BoletasPDF\RUIZ LA TORRE ELVIS CHARLES  T0001490.pdf", "Link")</f>
        <v/>
      </c>
      <c r="C417" t="n">
        <v>166338</v>
      </c>
      <c r="D417" t="inlineStr">
        <is>
          <t>2024-03-26 12:25:56</t>
        </is>
      </c>
      <c r="E417" t="inlineStr">
        <is>
          <t>2024-03-26 12:25:56</t>
        </is>
      </c>
      <c r="F417" t="inlineStr">
        <is>
          <t>666</t>
        </is>
      </c>
    </row>
    <row r="418">
      <c r="A418" t="inlineStr">
        <is>
          <t>RUIZ LA TORRE JOSE T0001488.pdf</t>
        </is>
      </c>
      <c r="B418">
        <f>HYPERLINK("C:\Users\lmonroy\Tema\BoletasPDF\RUIZ LA TORRE JOSE T0001488.pdf", "Link")</f>
        <v/>
      </c>
      <c r="C418" t="n">
        <v>166303</v>
      </c>
      <c r="D418" t="inlineStr">
        <is>
          <t>2024-03-26 12:25:25</t>
        </is>
      </c>
      <c r="E418" t="inlineStr">
        <is>
          <t>2024-03-26 12:25:25</t>
        </is>
      </c>
      <c r="F418" t="inlineStr">
        <is>
          <t>666</t>
        </is>
      </c>
    </row>
    <row r="419">
      <c r="A419" t="inlineStr">
        <is>
          <t>RUIZ MACUSI NIXON  T0001287.pdf</t>
        </is>
      </c>
      <c r="B419">
        <f>HYPERLINK("C:\Users\lmonroy\Tema\BoletasPDF\RUIZ MACUSI NIXON  T0001287.pdf", "Link")</f>
        <v/>
      </c>
      <c r="C419" t="n">
        <v>166168</v>
      </c>
      <c r="D419" t="inlineStr">
        <is>
          <t>2024-03-26 12:25:40</t>
        </is>
      </c>
      <c r="E419" t="inlineStr">
        <is>
          <t>2024-03-26 12:25:40</t>
        </is>
      </c>
      <c r="F419" t="inlineStr">
        <is>
          <t>666</t>
        </is>
      </c>
    </row>
    <row r="420">
      <c r="A420" t="inlineStr">
        <is>
          <t>TUANAMA CANAYO HERMOGENES  T0001312.pdf</t>
        </is>
      </c>
      <c r="B420">
        <f>HYPERLINK("C:\Users\lmonroy\Tema\BoletasPDF\TUANAMA CANAYO HERMOGENES  T0001312.pdf", "Link")</f>
        <v/>
      </c>
      <c r="C420" t="n">
        <v>166148</v>
      </c>
      <c r="D420" t="inlineStr">
        <is>
          <t>2024-03-26 12:25:28</t>
        </is>
      </c>
      <c r="E420" t="inlineStr">
        <is>
          <t>2024-03-26 12:25:28</t>
        </is>
      </c>
      <c r="F420" t="inlineStr">
        <is>
          <t>666</t>
        </is>
      </c>
    </row>
    <row r="421">
      <c r="A421" t="inlineStr">
        <is>
          <t>TUANAMA IRARICA SANDRO RENAN T0001483.pdf</t>
        </is>
      </c>
      <c r="B421">
        <f>HYPERLINK("C:\Users\lmonroy\Tema\BoletasPDF\TUANAMA IRARICA SANDRO RENAN T0001483.pdf", "Link")</f>
        <v/>
      </c>
      <c r="C421" t="n">
        <v>166303</v>
      </c>
      <c r="D421" t="inlineStr">
        <is>
          <t>2024-03-26 12:25:35</t>
        </is>
      </c>
      <c r="E421" t="inlineStr">
        <is>
          <t>2024-03-26 12:25:35</t>
        </is>
      </c>
      <c r="F421" t="inlineStr">
        <is>
          <t>666</t>
        </is>
      </c>
    </row>
    <row r="422">
      <c r="A422" t="inlineStr">
        <is>
          <t>TUESTA GONZALES SAULO SEGUNDO T0001491.pdf</t>
        </is>
      </c>
      <c r="B422">
        <f>HYPERLINK("C:\Users\lmonroy\Tema\BoletasPDF\TUESTA GONZALES SAULO SEGUNDO T0001491.pdf", "Link")</f>
        <v/>
      </c>
      <c r="C422" t="n">
        <v>166368</v>
      </c>
      <c r="D422" t="inlineStr">
        <is>
          <t>2024-03-26 12:25:35</t>
        </is>
      </c>
      <c r="E422" t="inlineStr">
        <is>
          <t>2024-03-26 12:25:35</t>
        </is>
      </c>
      <c r="F422" t="inlineStr">
        <is>
          <t>666</t>
        </is>
      </c>
    </row>
    <row r="423">
      <c r="A423" t="inlineStr">
        <is>
          <t>VELA CACHIRICO PERCY T0001519.pdf</t>
        </is>
      </c>
      <c r="B423">
        <f>HYPERLINK("C:\Users\lmonroy\Tema\BoletasPDF\VELA CACHIRICO PERCY T0001519.pdf", "Link")</f>
        <v/>
      </c>
      <c r="C423" t="n">
        <v>166294</v>
      </c>
      <c r="D423" t="inlineStr">
        <is>
          <t>2024-03-26 12:26:09</t>
        </is>
      </c>
      <c r="E423" t="inlineStr">
        <is>
          <t>2024-03-26 12:26:09</t>
        </is>
      </c>
      <c r="F423" t="inlineStr">
        <is>
          <t>666</t>
        </is>
      </c>
    </row>
    <row r="424">
      <c r="A424" t="inlineStr">
        <is>
          <t>VELA INUMA JOSE  T0001331.pdf</t>
        </is>
      </c>
      <c r="B424">
        <f>HYPERLINK("C:\Users\lmonroy\Tema\BoletasPDF\VELA INUMA JOSE  T0001331.pdf", "Link")</f>
        <v/>
      </c>
      <c r="C424" t="n">
        <v>166132</v>
      </c>
      <c r="D424" t="inlineStr">
        <is>
          <t>2024-03-26 12:25:26</t>
        </is>
      </c>
      <c r="E424" t="inlineStr">
        <is>
          <t>2024-03-26 12:25:26</t>
        </is>
      </c>
      <c r="F424" t="inlineStr">
        <is>
          <t>666</t>
        </is>
      </c>
    </row>
    <row r="425">
      <c r="A425" t="inlineStr">
        <is>
          <t>VELA MACUSI ARTURO T0001525.pdf</t>
        </is>
      </c>
      <c r="B425">
        <f>HYPERLINK("C:\Users\lmonroy\Tema\BoletasPDF\VELA MACUSI ARTURO T0001525.pdf", "Link")</f>
        <v/>
      </c>
      <c r="C425" t="n">
        <v>166280</v>
      </c>
      <c r="D425" t="inlineStr">
        <is>
          <t>2024-03-26 12:25:34</t>
        </is>
      </c>
      <c r="E425" t="inlineStr">
        <is>
          <t>2024-03-26 12:25:34</t>
        </is>
      </c>
      <c r="F425" t="inlineStr">
        <is>
          <t>666</t>
        </is>
      </c>
    </row>
    <row r="426">
      <c r="A426" t="inlineStr">
        <is>
          <t>VELA MANISARI SEGUNDO  T0001341.pdf</t>
        </is>
      </c>
      <c r="B426">
        <f>HYPERLINK("C:\Users\lmonroy\Tema\BoletasPDF\VELA MANISARI SEGUNDO  T0001341.pdf", "Link")</f>
        <v/>
      </c>
      <c r="C426" t="n">
        <v>166128</v>
      </c>
      <c r="D426" t="inlineStr">
        <is>
          <t>2024-03-26 12:25:42</t>
        </is>
      </c>
      <c r="E426" t="inlineStr">
        <is>
          <t>2024-03-26 12:25:42</t>
        </is>
      </c>
      <c r="F426" t="inlineStr">
        <is>
          <t>666</t>
        </is>
      </c>
    </row>
    <row r="427">
      <c r="A427" t="inlineStr">
        <is>
          <t>YUYARIMA CANAQUIRI GINER T0001480.pdf</t>
        </is>
      </c>
      <c r="B427">
        <f>HYPERLINK("C:\Users\lmonroy\Tema\BoletasPDF\YUYARIMA CANAQUIRI GINER T0001480.pdf", "Link")</f>
        <v/>
      </c>
      <c r="C427" t="n">
        <v>166304</v>
      </c>
      <c r="D427" t="inlineStr">
        <is>
          <t>2024-03-26 12:25:41</t>
        </is>
      </c>
      <c r="E427" t="inlineStr">
        <is>
          <t>2024-03-26 12:25:41</t>
        </is>
      </c>
      <c r="F427" t="inlineStr">
        <is>
          <t>666</t>
        </is>
      </c>
    </row>
    <row r="428">
      <c r="A428" t="inlineStr">
        <is>
          <t>002 AHUANARI MANAJO MILLER.pdf</t>
        </is>
      </c>
      <c r="B428">
        <f>HYPERLINK("C:\Users\lmonroy\Tema\constancias t registro\CCNN - NUEVA ALIANZA\002 AHUANARI MANAJO MILLER.pdf", "Link")</f>
        <v/>
      </c>
      <c r="C428" t="n">
        <v>14159</v>
      </c>
      <c r="D428" t="inlineStr">
        <is>
          <t>2023-11-28 07:08:04</t>
        </is>
      </c>
      <c r="E428" t="inlineStr">
        <is>
          <t>2023-11-28 07:08:02</t>
        </is>
      </c>
      <c r="F428" t="inlineStr">
        <is>
          <t>666</t>
        </is>
      </c>
    </row>
    <row r="429">
      <c r="A429" t="inlineStr">
        <is>
          <t>020 ARIRAMA DOÑE FRANCISCO JAVIER.pdf</t>
        </is>
      </c>
      <c r="B429">
        <f>HYPERLINK("C:\Users\lmonroy\Tema\constancias t registro\CCNN - NUEVA ALIANZA\020 ARIRAMA DOÑE FRANCISCO JAVIER.pdf", "Link")</f>
        <v/>
      </c>
      <c r="C429" t="n">
        <v>14175</v>
      </c>
      <c r="D429" t="inlineStr">
        <is>
          <t>2023-11-28 07:23:40</t>
        </is>
      </c>
      <c r="E429" t="inlineStr">
        <is>
          <t>2023-11-28 07:23:39</t>
        </is>
      </c>
      <c r="F429" t="inlineStr">
        <is>
          <t>666</t>
        </is>
      </c>
    </row>
    <row r="430">
      <c r="A430" t="inlineStr">
        <is>
          <t>022 AYAMBO IJUMA FRANK DUX.pdf</t>
        </is>
      </c>
      <c r="B430">
        <f>HYPERLINK("C:\Users\lmonroy\Tema\constancias t registro\CCNN - NUEVA ALIANZA\022 AYAMBO IJUMA FRANK DUX.pdf", "Link")</f>
        <v/>
      </c>
      <c r="C430" t="n">
        <v>14152</v>
      </c>
      <c r="D430" t="inlineStr">
        <is>
          <t>2023-11-28 07:25:10</t>
        </is>
      </c>
      <c r="E430" t="inlineStr">
        <is>
          <t>2023-11-28 07:25:08</t>
        </is>
      </c>
      <c r="F430" t="inlineStr">
        <is>
          <t>666</t>
        </is>
      </c>
    </row>
    <row r="431">
      <c r="A431" t="inlineStr">
        <is>
          <t>023 AYAMBO IJUMA JARRY.pdf</t>
        </is>
      </c>
      <c r="B431">
        <f>HYPERLINK("C:\Users\lmonroy\Tema\constancias t registro\CCNN - NUEVA ALIANZA\023 AYAMBO IJUMA JARRY.pdf", "Link")</f>
        <v/>
      </c>
      <c r="C431" t="n">
        <v>14110</v>
      </c>
      <c r="D431" t="inlineStr">
        <is>
          <t>2023-11-28 07:26:05</t>
        </is>
      </c>
      <c r="E431" t="inlineStr">
        <is>
          <t>2023-11-28 07:26:04</t>
        </is>
      </c>
      <c r="F431" t="inlineStr">
        <is>
          <t>666</t>
        </is>
      </c>
    </row>
    <row r="432">
      <c r="A432" t="inlineStr">
        <is>
          <t>024 AYAMBO TORRES MANUEL.pdf</t>
        </is>
      </c>
      <c r="B432">
        <f>HYPERLINK("C:\Users\lmonroy\Tema\constancias t registro\CCNN - NUEVA ALIANZA\024 AYAMBO TORRES MANUEL.pdf", "Link")</f>
        <v/>
      </c>
      <c r="C432" t="n">
        <v>14174</v>
      </c>
      <c r="D432" t="inlineStr">
        <is>
          <t>2023-11-28 07:28:35</t>
        </is>
      </c>
      <c r="E432" t="inlineStr">
        <is>
          <t>2023-11-28 07:28:31</t>
        </is>
      </c>
      <c r="F432" t="inlineStr">
        <is>
          <t>666</t>
        </is>
      </c>
    </row>
    <row r="433">
      <c r="A433" t="inlineStr">
        <is>
          <t>028 BARDALES PEREZ RISTER AROYO.pdf</t>
        </is>
      </c>
      <c r="B433">
        <f>HYPERLINK("C:\Users\lmonroy\Tema\constancias t registro\CCNN - NUEVA ALIANZA\028 BARDALES PEREZ RISTER AROYO.pdf", "Link")</f>
        <v/>
      </c>
      <c r="C433" t="n">
        <v>14189</v>
      </c>
      <c r="D433" t="inlineStr">
        <is>
          <t>2023-11-28 07:31:56</t>
        </is>
      </c>
      <c r="E433" t="inlineStr">
        <is>
          <t>2023-11-28 07:31:55</t>
        </is>
      </c>
      <c r="F433" t="inlineStr">
        <is>
          <t>666</t>
        </is>
      </c>
    </row>
    <row r="434">
      <c r="A434" t="inlineStr">
        <is>
          <t>031 CACERES BRENIS ESLANDER ALFREDO.pdf</t>
        </is>
      </c>
      <c r="B434">
        <f>HYPERLINK("C:\Users\lmonroy\Tema\constancias t registro\CCNN - NUEVA ALIANZA\031 CACERES BRENIS ESLANDER ALFREDO.pdf", "Link")</f>
        <v/>
      </c>
      <c r="C434" t="n">
        <v>14178</v>
      </c>
      <c r="D434" t="inlineStr">
        <is>
          <t>2023-11-28 07:35:30</t>
        </is>
      </c>
      <c r="E434" t="inlineStr">
        <is>
          <t>2023-11-28 07:35:29</t>
        </is>
      </c>
      <c r="F434" t="inlineStr">
        <is>
          <t>666</t>
        </is>
      </c>
    </row>
    <row r="435">
      <c r="A435" t="inlineStr">
        <is>
          <t>045 CHUMBE SABOYA VICTOR.pdf</t>
        </is>
      </c>
      <c r="B435">
        <f>HYPERLINK("C:\Users\lmonroy\Tema\constancias t registro\CCNN - NUEVA ALIANZA\045 CHUMBE SABOYA VICTOR.pdf", "Link")</f>
        <v/>
      </c>
      <c r="C435" t="n">
        <v>14100</v>
      </c>
      <c r="D435" t="inlineStr">
        <is>
          <t>2023-11-28 07:48:07</t>
        </is>
      </c>
      <c r="E435" t="inlineStr">
        <is>
          <t>2023-11-28 07:48:06</t>
        </is>
      </c>
      <c r="F435" t="inlineStr">
        <is>
          <t>666</t>
        </is>
      </c>
    </row>
    <row r="436">
      <c r="A436" t="inlineStr">
        <is>
          <t>049 COHELO JAVA CELSO.pdf</t>
        </is>
      </c>
      <c r="B436">
        <f>HYPERLINK("C:\Users\lmonroy\Tema\constancias t registro\CCNN - NUEVA ALIANZA\049 COHELO JAVA CELSO.pdf", "Link")</f>
        <v/>
      </c>
      <c r="C436" t="n">
        <v>14173</v>
      </c>
      <c r="D436" t="inlineStr">
        <is>
          <t>2023-11-28 07:52:32</t>
        </is>
      </c>
      <c r="E436" t="inlineStr">
        <is>
          <t>2023-11-28 07:52:31</t>
        </is>
      </c>
      <c r="F436" t="inlineStr">
        <is>
          <t>666</t>
        </is>
      </c>
    </row>
    <row r="437">
      <c r="A437" t="inlineStr">
        <is>
          <t>054 DASILVA TORRES DANNY DANIEL.pdf</t>
        </is>
      </c>
      <c r="B437">
        <f>HYPERLINK("C:\Users\lmonroy\Tema\constancias t registro\CCNN - NUEVA ALIANZA\054 DASILVA TORRES DANNY DANIEL.pdf", "Link")</f>
        <v/>
      </c>
      <c r="C437" t="n">
        <v>14179</v>
      </c>
      <c r="D437" t="inlineStr">
        <is>
          <t>2023-11-28 09:05:41</t>
        </is>
      </c>
      <c r="E437" t="inlineStr">
        <is>
          <t>2023-11-28 09:05:38</t>
        </is>
      </c>
      <c r="F437" t="inlineStr">
        <is>
          <t>666</t>
        </is>
      </c>
    </row>
    <row r="438">
      <c r="A438" t="inlineStr">
        <is>
          <t>067 GONZALES DIAZ LORENZO.pdf</t>
        </is>
      </c>
      <c r="B438">
        <f>HYPERLINK("C:\Users\lmonroy\Tema\constancias t registro\CCNN - NUEVA ALIANZA\067 GONZALES DIAZ LORENZO.pdf", "Link")</f>
        <v/>
      </c>
      <c r="C438" t="n">
        <v>14167</v>
      </c>
      <c r="D438" t="inlineStr">
        <is>
          <t>2023-11-28 09:38:09</t>
        </is>
      </c>
      <c r="E438" t="inlineStr">
        <is>
          <t>2023-11-28 09:38:08</t>
        </is>
      </c>
      <c r="F438" t="inlineStr">
        <is>
          <t>666</t>
        </is>
      </c>
    </row>
    <row r="439">
      <c r="A439" t="inlineStr">
        <is>
          <t>069 HUANUIRI FREYTAS DANIEL.pdf</t>
        </is>
      </c>
      <c r="B439">
        <f>HYPERLINK("C:\Users\lmonroy\Tema\constancias t registro\CCNN - NUEVA ALIANZA\069 HUANUIRI FREYTAS DANIEL.pdf", "Link")</f>
        <v/>
      </c>
      <c r="C439" t="n">
        <v>14165</v>
      </c>
      <c r="D439" t="inlineStr">
        <is>
          <t>2023-11-28 09:40:08</t>
        </is>
      </c>
      <c r="E439" t="inlineStr">
        <is>
          <t>2023-11-28 09:40:07</t>
        </is>
      </c>
      <c r="F439" t="inlineStr">
        <is>
          <t>666</t>
        </is>
      </c>
    </row>
    <row r="440">
      <c r="A440" t="inlineStr">
        <is>
          <t>079 INUMA CASTAÑON FERNANDO.pdf</t>
        </is>
      </c>
      <c r="B440">
        <f>HYPERLINK("C:\Users\lmonroy\Tema\constancias t registro\CCNN - NUEVA ALIANZA\079 INUMA CASTAÑON FERNANDO.pdf", "Link")</f>
        <v/>
      </c>
      <c r="C440" t="n">
        <v>14161</v>
      </c>
      <c r="D440" t="inlineStr">
        <is>
          <t>2023-11-28 09:54:55</t>
        </is>
      </c>
      <c r="E440" t="inlineStr">
        <is>
          <t>2023-11-28 09:54:54</t>
        </is>
      </c>
      <c r="F440" t="inlineStr">
        <is>
          <t>666</t>
        </is>
      </c>
    </row>
    <row r="441">
      <c r="A441" t="inlineStr">
        <is>
          <t>027 BARDALES OJAICURO GERSON.pdf</t>
        </is>
      </c>
      <c r="B441">
        <f>HYPERLINK("C:\Users\lmonroy\Tema\constancias t registro\CCNN - NUEVA BELLAVISTA\027 BARDALES OJAICURO GERSON.pdf", "Link")</f>
        <v/>
      </c>
      <c r="C441" t="n">
        <v>14171</v>
      </c>
      <c r="D441" t="inlineStr">
        <is>
          <t>2023-11-28 07:30:58</t>
        </is>
      </c>
      <c r="E441" t="inlineStr">
        <is>
          <t>2023-11-28 07:30:57</t>
        </is>
      </c>
      <c r="F441" t="inlineStr">
        <is>
          <t>666</t>
        </is>
      </c>
    </row>
    <row r="442">
      <c r="A442" t="inlineStr">
        <is>
          <t>043 CHAVEZ VIENA FRANK JOEL.pdf</t>
        </is>
      </c>
      <c r="B442">
        <f>HYPERLINK("C:\Users\lmonroy\Tema\constancias t registro\CCNN - NUEVA BELLAVISTA\043 CHAVEZ VIENA FRANK JOEL.pdf", "Link")</f>
        <v/>
      </c>
      <c r="C442" t="n">
        <v>14165</v>
      </c>
      <c r="D442" t="inlineStr">
        <is>
          <t>2023-11-28 07:46:32</t>
        </is>
      </c>
      <c r="E442" t="inlineStr">
        <is>
          <t>2023-11-28 07:46:31</t>
        </is>
      </c>
      <c r="F442" t="inlineStr">
        <is>
          <t>666</t>
        </is>
      </c>
    </row>
    <row r="443">
      <c r="A443" t="inlineStr">
        <is>
          <t>048 CLEMENTE TARICUARIMA MANUEL.pdf</t>
        </is>
      </c>
      <c r="B443">
        <f>HYPERLINK("C:\Users\lmonroy\Tema\constancias t registro\CCNN - NUEVA BELLAVISTA\048 CLEMENTE TARICUARIMA MANUEL.pdf", "Link")</f>
        <v/>
      </c>
      <c r="C443" t="n">
        <v>14165</v>
      </c>
      <c r="D443" t="inlineStr">
        <is>
          <t>2023-11-28 07:51:41</t>
        </is>
      </c>
      <c r="E443" t="inlineStr">
        <is>
          <t>2023-11-28 07:51:40</t>
        </is>
      </c>
      <c r="F443" t="inlineStr">
        <is>
          <t>666</t>
        </is>
      </c>
    </row>
    <row r="444">
      <c r="A444" t="inlineStr">
        <is>
          <t>068 GUERRA TAPAYURI ISAI.pdf</t>
        </is>
      </c>
      <c r="B444">
        <f>HYPERLINK("C:\Users\lmonroy\Tema\constancias t registro\CCNN - NUEVA BELLAVISTA\068 GUERRA TAPAYURI ISAI.pdf", "Link")</f>
        <v/>
      </c>
      <c r="C444" t="n">
        <v>14114</v>
      </c>
      <c r="D444" t="inlineStr">
        <is>
          <t>2023-11-28 09:39:14</t>
        </is>
      </c>
      <c r="E444" t="inlineStr">
        <is>
          <t>2023-11-28 09:39:12</t>
        </is>
      </c>
      <c r="F444" t="inlineStr">
        <is>
          <t>666</t>
        </is>
      </c>
    </row>
    <row r="445">
      <c r="A445" t="inlineStr">
        <is>
          <t>075 IGNACIO TARICUARIMA CARLOS.pdf</t>
        </is>
      </c>
      <c r="B445">
        <f>HYPERLINK("C:\Users\lmonroy\Tema\constancias t registro\CCNN - NUEVA BELLAVISTA\075 IGNACIO TARICUARIMA CARLOS.pdf", "Link")</f>
        <v/>
      </c>
      <c r="C445" t="n">
        <v>14165</v>
      </c>
      <c r="D445" t="inlineStr">
        <is>
          <t>2023-11-28 09:51:27</t>
        </is>
      </c>
      <c r="E445" t="inlineStr">
        <is>
          <t>2023-11-28 09:51:25</t>
        </is>
      </c>
      <c r="F445" t="inlineStr">
        <is>
          <t>666</t>
        </is>
      </c>
    </row>
    <row r="446">
      <c r="A446" t="inlineStr">
        <is>
          <t>084 INUMA NURIBE ELIAS.pdf</t>
        </is>
      </c>
      <c r="B446">
        <f>HYPERLINK("C:\Users\lmonroy\Tema\constancias t registro\CCNN - NUEVA BELLAVISTA\084 INUMA NURIBE ELIAS.pdf", "Link")</f>
        <v/>
      </c>
      <c r="C446" t="n">
        <v>14152</v>
      </c>
      <c r="D446" t="inlineStr">
        <is>
          <t>2023-11-28 10:01:47</t>
        </is>
      </c>
      <c r="E446" t="inlineStr">
        <is>
          <t>2023-11-28 10:01:45</t>
        </is>
      </c>
      <c r="F446" t="inlineStr">
        <is>
          <t>666</t>
        </is>
      </c>
    </row>
    <row r="447">
      <c r="A447" t="inlineStr">
        <is>
          <t>085 INUMA NURIBE GERMAN.pdf</t>
        </is>
      </c>
      <c r="B447">
        <f>HYPERLINK("C:\Users\lmonroy\Tema\constancias t registro\CCNN - NUEVA BELLAVISTA\085 INUMA NURIBE GERMAN.pdf", "Link")</f>
        <v/>
      </c>
      <c r="C447" t="n">
        <v>14156</v>
      </c>
      <c r="D447" t="inlineStr">
        <is>
          <t>2023-11-28 10:02:36</t>
        </is>
      </c>
      <c r="E447" t="inlineStr">
        <is>
          <t>2023-11-28 10:02:35</t>
        </is>
      </c>
      <c r="F447" t="inlineStr">
        <is>
          <t>666</t>
        </is>
      </c>
    </row>
    <row r="448">
      <c r="A448" t="inlineStr">
        <is>
          <t>086 INUMA NURIBE JULIO.pdf</t>
        </is>
      </c>
      <c r="B448">
        <f>HYPERLINK("C:\Users\lmonroy\Tema\constancias t registro\CCNN - NUEVA BELLAVISTA\086 INUMA NURIBE JULIO.pdf", "Link")</f>
        <v/>
      </c>
      <c r="C448" t="n">
        <v>14153</v>
      </c>
      <c r="D448" t="inlineStr">
        <is>
          <t>2023-11-28 10:03:26</t>
        </is>
      </c>
      <c r="E448" t="inlineStr">
        <is>
          <t>2023-11-28 10:03:25</t>
        </is>
      </c>
      <c r="F448" t="inlineStr">
        <is>
          <t>666</t>
        </is>
      </c>
    </row>
    <row r="449">
      <c r="A449" t="inlineStr">
        <is>
          <t>089 INUMA RUFINO LISANDRO.pdf</t>
        </is>
      </c>
      <c r="B449">
        <f>HYPERLINK("C:\Users\lmonroy\Tema\constancias t registro\CCNN - NUEVA BELLAVISTA\089 INUMA RUFINO LISANDRO.pdf", "Link")</f>
        <v/>
      </c>
      <c r="C449" t="n">
        <v>14169</v>
      </c>
      <c r="D449" t="inlineStr">
        <is>
          <t>2023-11-28 10:06:07</t>
        </is>
      </c>
      <c r="E449" t="inlineStr">
        <is>
          <t>2023-11-28 10:06:06</t>
        </is>
      </c>
      <c r="F449" t="inlineStr">
        <is>
          <t>666</t>
        </is>
      </c>
    </row>
    <row r="450">
      <c r="A450" t="inlineStr">
        <is>
          <t>090 INUMA RUFINO ORLANDO.pdf</t>
        </is>
      </c>
      <c r="B450">
        <f>HYPERLINK("C:\Users\lmonroy\Tema\constancias t registro\CCNN - NUEVA BELLAVISTA\090 INUMA RUFINO ORLANDO.pdf", "Link")</f>
        <v/>
      </c>
      <c r="C450" t="n">
        <v>14164</v>
      </c>
      <c r="D450" t="inlineStr">
        <is>
          <t>2023-11-28 10:06:51</t>
        </is>
      </c>
      <c r="E450" t="inlineStr">
        <is>
          <t>2023-11-28 10:06:49</t>
        </is>
      </c>
      <c r="F450" t="inlineStr">
        <is>
          <t>666</t>
        </is>
      </c>
    </row>
    <row r="451">
      <c r="A451" t="inlineStr">
        <is>
          <t>093 INUMA VELA JAIME.pdf</t>
        </is>
      </c>
      <c r="B451">
        <f>HYPERLINK("C:\Users\lmonroy\Tema\constancias t registro\CCNN - NUEVA BELLAVISTA\093 INUMA VELA JAIME.pdf", "Link")</f>
        <v/>
      </c>
      <c r="C451" t="n">
        <v>14149</v>
      </c>
      <c r="D451" t="inlineStr">
        <is>
          <t>2023-11-28 10:10:08</t>
        </is>
      </c>
      <c r="E451" t="inlineStr">
        <is>
          <t>2023-11-28 10:10:06</t>
        </is>
      </c>
      <c r="F451" t="inlineStr">
        <is>
          <t>666</t>
        </is>
      </c>
    </row>
    <row r="452">
      <c r="A452" t="inlineStr">
        <is>
          <t>003 AHUITE ARAHUATA JACOB.pdf</t>
        </is>
      </c>
      <c r="B452">
        <f>HYPERLINK("C:\Users\lmonroy\Tema\constancias t registro\CCNN - NUEVA UNIÓN\003 AHUITE ARAHUATA JACOB.pdf", "Link")</f>
        <v/>
      </c>
      <c r="C452" t="n">
        <v>14530</v>
      </c>
      <c r="D452" t="inlineStr">
        <is>
          <t>2023-11-28 07:08:59</t>
        </is>
      </c>
      <c r="E452" t="inlineStr">
        <is>
          <t>2023-11-28 07:08:58</t>
        </is>
      </c>
      <c r="F452" t="inlineStr">
        <is>
          <t>666</t>
        </is>
      </c>
    </row>
    <row r="453">
      <c r="A453" t="inlineStr">
        <is>
          <t>006 AHUITE MANIZARI LUIS.pdf</t>
        </is>
      </c>
      <c r="B453">
        <f>HYPERLINK("C:\Users\lmonroy\Tema\constancias t registro\CCNN - NUEVA UNIÓN\006 AHUITE MANIZARI LUIS.pdf", "Link")</f>
        <v/>
      </c>
      <c r="C453" t="n">
        <v>14546</v>
      </c>
      <c r="D453" t="inlineStr">
        <is>
          <t>2023-11-28 07:11:31</t>
        </is>
      </c>
      <c r="E453" t="inlineStr">
        <is>
          <t>2023-11-28 07:11:30</t>
        </is>
      </c>
      <c r="F453" t="inlineStr">
        <is>
          <t>666</t>
        </is>
      </c>
    </row>
    <row r="454">
      <c r="A454" t="inlineStr">
        <is>
          <t>014 ARAHUATA AHUITE ARMANDO.pdf</t>
        </is>
      </c>
      <c r="B454">
        <f>HYPERLINK("C:\Users\lmonroy\Tema\constancias t registro\CCNN - NUEVA UNIÓN\014 ARAHUATA AHUITE ARMANDO.pdf", "Link")</f>
        <v/>
      </c>
      <c r="C454" t="n">
        <v>14524</v>
      </c>
      <c r="D454" t="inlineStr">
        <is>
          <t>2023-11-28 07:18:40</t>
        </is>
      </c>
      <c r="E454" t="inlineStr">
        <is>
          <t>2023-11-28 07:18:39</t>
        </is>
      </c>
      <c r="F454" t="inlineStr">
        <is>
          <t>666</t>
        </is>
      </c>
    </row>
    <row r="455">
      <c r="A455" t="inlineStr">
        <is>
          <t>015 ARAHUATA AHUITE JACOB.pdf</t>
        </is>
      </c>
      <c r="B455">
        <f>HYPERLINK("C:\Users\lmonroy\Tema\constancias t registro\CCNN - NUEVA UNIÓN\015 ARAHUATA AHUITE JACOB.pdf", "Link")</f>
        <v/>
      </c>
      <c r="C455" t="n">
        <v>14481</v>
      </c>
      <c r="D455" t="inlineStr">
        <is>
          <t>2023-11-28 07:19:33</t>
        </is>
      </c>
      <c r="E455" t="inlineStr">
        <is>
          <t>2023-11-28 07:19:32</t>
        </is>
      </c>
      <c r="F455" t="inlineStr">
        <is>
          <t>666</t>
        </is>
      </c>
    </row>
    <row r="456">
      <c r="A456" t="inlineStr">
        <is>
          <t>016 ARAHUATA AHUITE JUAN.pdf</t>
        </is>
      </c>
      <c r="B456">
        <f>HYPERLINK("C:\Users\lmonroy\Tema\constancias t registro\CCNN - NUEVA UNIÓN\016 ARAHUATA AHUITE JUAN.pdf", "Link")</f>
        <v/>
      </c>
      <c r="C456" t="n">
        <v>14475</v>
      </c>
      <c r="D456" t="inlineStr">
        <is>
          <t>2023-11-28 07:20:25</t>
        </is>
      </c>
      <c r="E456" t="inlineStr">
        <is>
          <t>2023-11-28 07:20:24</t>
        </is>
      </c>
      <c r="F456" t="inlineStr">
        <is>
          <t>666</t>
        </is>
      </c>
    </row>
    <row r="457">
      <c r="A457" t="inlineStr">
        <is>
          <t>017 ARAHUATA VELA ELIAS.pdf</t>
        </is>
      </c>
      <c r="B457">
        <f>HYPERLINK("C:\Users\lmonroy\Tema\constancias t registro\CCNN - NUEVA UNIÓN\017 ARAHUATA VELA ELIAS.pdf", "Link")</f>
        <v/>
      </c>
      <c r="C457" t="n">
        <v>14527</v>
      </c>
      <c r="D457" t="inlineStr">
        <is>
          <t>2023-11-28 07:21:07</t>
        </is>
      </c>
      <c r="E457" t="inlineStr">
        <is>
          <t>2023-11-28 07:21:06</t>
        </is>
      </c>
      <c r="F457" t="inlineStr">
        <is>
          <t>666</t>
        </is>
      </c>
    </row>
    <row r="458">
      <c r="A458" t="inlineStr">
        <is>
          <t>018 ARAHUATE AHUITE SALOMON.pdf</t>
        </is>
      </c>
      <c r="B458">
        <f>HYPERLINK("C:\Users\lmonroy\Tema\constancias t registro\CCNN - NUEVA UNIÓN\018 ARAHUATE AHUITE SALOMON.pdf", "Link")</f>
        <v/>
      </c>
      <c r="C458" t="n">
        <v>14537</v>
      </c>
      <c r="D458" t="inlineStr">
        <is>
          <t>2023-11-28 07:22:01</t>
        </is>
      </c>
      <c r="E458" t="inlineStr">
        <is>
          <t>2023-11-28 07:22:00</t>
        </is>
      </c>
      <c r="F458" t="inlineStr">
        <is>
          <t>666</t>
        </is>
      </c>
    </row>
    <row r="459">
      <c r="A459" t="inlineStr">
        <is>
          <t>019 ARAHUATE INUMA JOSE.pdf</t>
        </is>
      </c>
      <c r="B459">
        <f>HYPERLINK("C:\Users\lmonroy\Tema\constancias t registro\CCNN - NUEVA UNIÓN\019 ARAHUATE INUMA JOSE.pdf", "Link")</f>
        <v/>
      </c>
      <c r="C459" t="n">
        <v>14525</v>
      </c>
      <c r="D459" t="inlineStr">
        <is>
          <t>2023-11-28 07:23:00</t>
        </is>
      </c>
      <c r="E459" t="inlineStr">
        <is>
          <t>2023-11-28 07:22:59</t>
        </is>
      </c>
      <c r="F459" t="inlineStr">
        <is>
          <t>666</t>
        </is>
      </c>
    </row>
    <row r="460">
      <c r="A460" t="inlineStr">
        <is>
          <t>077 INUMA AHUITE JONAS.pdf</t>
        </is>
      </c>
      <c r="B460">
        <f>HYPERLINK("C:\Users\lmonroy\Tema\constancias t registro\CCNN - NUEVA UNIÓN\077 INUMA AHUITE JONAS.pdf", "Link")</f>
        <v/>
      </c>
      <c r="C460" t="n">
        <v>14468</v>
      </c>
      <c r="D460" t="inlineStr">
        <is>
          <t>2023-11-28 09:53:13</t>
        </is>
      </c>
      <c r="E460" t="inlineStr">
        <is>
          <t>2023-11-28 09:53:12</t>
        </is>
      </c>
      <c r="F460" t="inlineStr">
        <is>
          <t>666</t>
        </is>
      </c>
    </row>
    <row r="461">
      <c r="A461" t="inlineStr">
        <is>
          <t>078 INUMA CACHIRICO CUSTODIO.pdf</t>
        </is>
      </c>
      <c r="B461">
        <f>HYPERLINK("C:\Users\lmonroy\Tema\constancias t registro\CCNN - NUEVA UNIÓN\078 INUMA CACHIRICO CUSTODIO.pdf", "Link")</f>
        <v/>
      </c>
      <c r="C461" t="n">
        <v>14543</v>
      </c>
      <c r="D461" t="inlineStr">
        <is>
          <t>2023-11-28 09:54:04</t>
        </is>
      </c>
      <c r="E461" t="inlineStr">
        <is>
          <t>2023-11-28 09:54:03</t>
        </is>
      </c>
      <c r="F461" t="inlineStr">
        <is>
          <t>666</t>
        </is>
      </c>
    </row>
    <row r="462">
      <c r="A462" t="inlineStr">
        <is>
          <t>082 INUMA MACUSI JOSE.pdf</t>
        </is>
      </c>
      <c r="B462">
        <f>HYPERLINK("C:\Users\lmonroy\Tema\constancias t registro\CCNN - NUEVA UNIÓN\082 INUMA MACUSI JOSE.pdf", "Link")</f>
        <v/>
      </c>
      <c r="C462" t="n">
        <v>14526</v>
      </c>
      <c r="D462" t="inlineStr">
        <is>
          <t>2023-11-28 09:57:33</t>
        </is>
      </c>
      <c r="E462" t="inlineStr">
        <is>
          <t>2023-11-28 09:57:32</t>
        </is>
      </c>
      <c r="F462" t="inlineStr">
        <is>
          <t>666</t>
        </is>
      </c>
    </row>
    <row r="463">
      <c r="A463" t="inlineStr">
        <is>
          <t>088 INUMA OJEYCATE TIMOTEO.pdf</t>
        </is>
      </c>
      <c r="B463">
        <f>HYPERLINK("C:\Users\lmonroy\Tema\constancias t registro\CCNN - NUEVA UNIÓN\088 INUMA OJEYCATE TIMOTEO.pdf", "Link")</f>
        <v/>
      </c>
      <c r="C463" t="n">
        <v>14543</v>
      </c>
      <c r="D463" t="inlineStr">
        <is>
          <t>2023-11-28 10:05:13</t>
        </is>
      </c>
      <c r="E463" t="inlineStr">
        <is>
          <t>2023-11-28 10:05:12</t>
        </is>
      </c>
      <c r="F463" t="inlineStr">
        <is>
          <t>666</t>
        </is>
      </c>
    </row>
    <row r="464">
      <c r="A464" t="inlineStr">
        <is>
          <t>004 AHUITE MACUSI LUIS.pdf</t>
        </is>
      </c>
      <c r="B464">
        <f>HYPERLINK("C:\Users\lmonroy\Tema\constancias t registro\CCNN - NUEVO PERU\004 AHUITE MACUSI LUIS.pdf", "Link")</f>
        <v/>
      </c>
      <c r="C464" t="n">
        <v>14172</v>
      </c>
      <c r="D464" t="inlineStr">
        <is>
          <t>2023-11-28 07:09:52</t>
        </is>
      </c>
      <c r="E464" t="inlineStr">
        <is>
          <t>2023-11-28 07:09:51</t>
        </is>
      </c>
      <c r="F464" t="inlineStr">
        <is>
          <t>666</t>
        </is>
      </c>
    </row>
    <row r="465">
      <c r="A465" t="inlineStr">
        <is>
          <t>008 AHUITE TARICUARIMA ARTEMIO.pdf</t>
        </is>
      </c>
      <c r="B465">
        <f>HYPERLINK("C:\Users\lmonroy\Tema\constancias t registro\CCNN - NUEVO PERU\008 AHUITE TARICUARIMA ARTEMIO.pdf", "Link")</f>
        <v/>
      </c>
      <c r="C465" t="n">
        <v>14174</v>
      </c>
      <c r="D465" t="inlineStr">
        <is>
          <t>2023-11-28 07:13:12</t>
        </is>
      </c>
      <c r="E465" t="inlineStr">
        <is>
          <t>2023-11-28 07:13:11</t>
        </is>
      </c>
      <c r="F465" t="inlineStr">
        <is>
          <t>666</t>
        </is>
      </c>
    </row>
    <row r="466">
      <c r="A466" t="inlineStr">
        <is>
          <t>009 AJEICATE ARAHUATE CELSO.pdf</t>
        </is>
      </c>
      <c r="B466">
        <f>HYPERLINK("C:\Users\lmonroy\Tema\constancias t registro\CCNN - NUEVO PERU\009 AJEICATE ARAHUATE CELSO.pdf", "Link")</f>
        <v/>
      </c>
      <c r="C466" t="n">
        <v>14105</v>
      </c>
      <c r="D466" t="inlineStr">
        <is>
          <t>2023-11-28 07:14:15</t>
        </is>
      </c>
      <c r="E466" t="inlineStr">
        <is>
          <t>2023-11-28 07:14:13</t>
        </is>
      </c>
      <c r="F466" t="inlineStr">
        <is>
          <t>666</t>
        </is>
      </c>
    </row>
    <row r="467">
      <c r="A467" t="inlineStr">
        <is>
          <t>010 AMARINGO NAVARRO GUNDER.pdf</t>
        </is>
      </c>
      <c r="B467">
        <f>HYPERLINK("C:\Users\lmonroy\Tema\constancias t registro\CCNN - NUEVO PERU\010 AMARINGO NAVARRO GUNDER.pdf", "Link")</f>
        <v/>
      </c>
      <c r="C467" t="n">
        <v>14155</v>
      </c>
      <c r="D467" t="inlineStr">
        <is>
          <t>2023-11-28 07:15:07</t>
        </is>
      </c>
      <c r="E467" t="inlineStr">
        <is>
          <t>2023-11-28 07:15:06</t>
        </is>
      </c>
      <c r="F467" t="inlineStr">
        <is>
          <t>666</t>
        </is>
      </c>
    </row>
    <row r="468">
      <c r="A468" t="inlineStr">
        <is>
          <t>011 AMARINGO RUIZ LUIS WIDER.pdf</t>
        </is>
      </c>
      <c r="B468">
        <f>HYPERLINK("C:\Users\lmonroy\Tema\constancias t registro\CCNN - NUEVO PERU\011 AMARINGO RUIZ LUIS WIDER.pdf", "Link")</f>
        <v/>
      </c>
      <c r="C468" t="n">
        <v>14123</v>
      </c>
      <c r="D468" t="inlineStr">
        <is>
          <t>2023-11-28 07:16:00</t>
        </is>
      </c>
      <c r="E468" t="inlineStr">
        <is>
          <t>2023-11-28 07:15:59</t>
        </is>
      </c>
      <c r="F468" t="inlineStr">
        <is>
          <t>666</t>
        </is>
      </c>
    </row>
    <row r="469">
      <c r="A469" t="inlineStr">
        <is>
          <t>012 AMARINGO VASQUEZ DIRSEO.pdf</t>
        </is>
      </c>
      <c r="B469">
        <f>HYPERLINK("C:\Users\lmonroy\Tema\constancias t registro\CCNN - NUEVO PERU\012 AMARINGO VASQUEZ DIRSEO.pdf", "Link")</f>
        <v/>
      </c>
      <c r="C469" t="n">
        <v>14099</v>
      </c>
      <c r="D469" t="inlineStr">
        <is>
          <t>2023-11-28 07:17:04</t>
        </is>
      </c>
      <c r="E469" t="inlineStr">
        <is>
          <t>2023-11-28 07:17:02</t>
        </is>
      </c>
      <c r="F469" t="inlineStr">
        <is>
          <t>666</t>
        </is>
      </c>
    </row>
    <row r="470">
      <c r="A470" t="inlineStr">
        <is>
          <t>032 CACHIRICO JOGUISTA ROBERTO.pdf</t>
        </is>
      </c>
      <c r="B470">
        <f>HYPERLINK("C:\Users\lmonroy\Tema\constancias t registro\CCNN - NUEVO PERU\032 CACHIRICO JOGUISTA ROBERTO.pdf", "Link")</f>
        <v/>
      </c>
      <c r="C470" t="n">
        <v>14171</v>
      </c>
      <c r="D470" t="inlineStr">
        <is>
          <t>2023-11-28 07:36:28</t>
        </is>
      </c>
      <c r="E470" t="inlineStr">
        <is>
          <t>2023-11-28 07:36:27</t>
        </is>
      </c>
      <c r="F470" t="inlineStr">
        <is>
          <t>666</t>
        </is>
      </c>
    </row>
    <row r="471">
      <c r="A471" t="inlineStr">
        <is>
          <t>046 CLEMENTE SANGAMA MANUEL.pdf</t>
        </is>
      </c>
      <c r="B471">
        <f>HYPERLINK("C:\Users\lmonroy\Tema\constancias t registro\CCNN - NUEVO PERU\046 CLEMENTE SANGAMA MANUEL.pdf", "Link")</f>
        <v/>
      </c>
      <c r="C471" t="n">
        <v>14166</v>
      </c>
      <c r="D471" t="inlineStr">
        <is>
          <t>2023-11-28 07:49:39</t>
        </is>
      </c>
      <c r="E471" t="inlineStr">
        <is>
          <t>2023-11-28 07:49:37</t>
        </is>
      </c>
      <c r="F471" t="inlineStr">
        <is>
          <t>666</t>
        </is>
      </c>
    </row>
    <row r="472">
      <c r="A472" t="inlineStr">
        <is>
          <t>083 INUMA MACUSI JUAN.pdf</t>
        </is>
      </c>
      <c r="B472">
        <f>HYPERLINK("C:\Users\lmonroy\Tema\constancias t registro\CCNN - NUEVO PERU\083 INUMA MACUSI JUAN.pdf", "Link")</f>
        <v/>
      </c>
      <c r="C472" t="n">
        <v>14160</v>
      </c>
      <c r="D472" t="inlineStr">
        <is>
          <t>2023-11-28 10:00:34</t>
        </is>
      </c>
      <c r="E472" t="inlineStr">
        <is>
          <t>2023-11-28 10:00:29</t>
        </is>
      </c>
      <c r="F472" t="inlineStr">
        <is>
          <t>666</t>
        </is>
      </c>
    </row>
    <row r="473">
      <c r="A473" t="inlineStr">
        <is>
          <t>001 AHUANARI ASPAJO JOSE.pdf</t>
        </is>
      </c>
      <c r="B473">
        <f>HYPERLINK("C:\Users\lmonroy\Tema\constancias t registro\CCNN - NUEVO PROGRESO\001 AHUANARI ASPAJO JOSE.pdf", "Link")</f>
        <v/>
      </c>
      <c r="C473" t="n">
        <v>14114</v>
      </c>
      <c r="D473" t="inlineStr">
        <is>
          <t>2023-11-28 07:06:54</t>
        </is>
      </c>
      <c r="E473" t="inlineStr">
        <is>
          <t>2023-11-28 07:06:52</t>
        </is>
      </c>
      <c r="F473" t="inlineStr">
        <is>
          <t>666</t>
        </is>
      </c>
    </row>
    <row r="474">
      <c r="A474" t="inlineStr">
        <is>
          <t>013 APAGÜEÑO CURITIMA AVENAMAR.pdf</t>
        </is>
      </c>
      <c r="B474">
        <f>HYPERLINK("C:\Users\lmonroy\Tema\constancias t registro\CCNN - NUEVO PROGRESO\013 APAGÜEÑO CURITIMA AVENAMAR.pdf", "Link")</f>
        <v/>
      </c>
      <c r="C474" t="n">
        <v>14134</v>
      </c>
      <c r="D474" t="inlineStr">
        <is>
          <t>2023-11-28 07:17:49</t>
        </is>
      </c>
      <c r="E474" t="inlineStr">
        <is>
          <t>2023-11-28 07:17:47</t>
        </is>
      </c>
      <c r="F474" t="inlineStr">
        <is>
          <t>666</t>
        </is>
      </c>
    </row>
    <row r="475">
      <c r="A475" t="inlineStr">
        <is>
          <t>030 BARDALES SANCHEZ JACME JHORDAN.pdf</t>
        </is>
      </c>
      <c r="B475">
        <f>HYPERLINK("C:\Users\lmonroy\Tema\constancias t registro\CCNN - NUEVO PROGRESO\030 BARDALES SANCHEZ JACME JHORDAN.pdf", "Link")</f>
        <v/>
      </c>
      <c r="C475" t="n">
        <v>14167</v>
      </c>
      <c r="D475" t="inlineStr">
        <is>
          <t>2023-11-28 07:34:30</t>
        </is>
      </c>
      <c r="E475" t="inlineStr">
        <is>
          <t>2023-11-28 07:34:29</t>
        </is>
      </c>
      <c r="F475" t="inlineStr">
        <is>
          <t>666</t>
        </is>
      </c>
    </row>
    <row r="476">
      <c r="A476" t="inlineStr">
        <is>
          <t>034 CAHUAZA IRARICA EXAR.pdf</t>
        </is>
      </c>
      <c r="B476">
        <f>HYPERLINK("C:\Users\lmonroy\Tema\constancias t registro\CCNN - NUEVO PROGRESO\034 CAHUAZA IRARICA EXAR.pdf", "Link")</f>
        <v/>
      </c>
      <c r="C476" t="n">
        <v>14102</v>
      </c>
      <c r="D476" t="inlineStr">
        <is>
          <t>2023-11-28 07:38:28</t>
        </is>
      </c>
      <c r="E476" t="inlineStr">
        <is>
          <t>2023-11-28 07:38:26</t>
        </is>
      </c>
      <c r="F476" t="inlineStr">
        <is>
          <t>666</t>
        </is>
      </c>
    </row>
    <row r="477">
      <c r="A477" t="inlineStr">
        <is>
          <t>035 CAHUAZA MURAYARI NIXON.pdf</t>
        </is>
      </c>
      <c r="B477">
        <f>HYPERLINK("C:\Users\lmonroy\Tema\constancias t registro\CCNN - NUEVO PROGRESO\035 CAHUAZA MURAYARI NIXON.pdf", "Link")</f>
        <v/>
      </c>
      <c r="C477" t="n">
        <v>14106</v>
      </c>
      <c r="D477" t="inlineStr">
        <is>
          <t>2023-11-28 07:39:24</t>
        </is>
      </c>
      <c r="E477" t="inlineStr">
        <is>
          <t>2023-11-28 07:39:23</t>
        </is>
      </c>
      <c r="F477" t="inlineStr">
        <is>
          <t>666</t>
        </is>
      </c>
    </row>
    <row r="478">
      <c r="A478" t="inlineStr">
        <is>
          <t>036 CARDENAS VALLES LUIS HOMERO.pdf</t>
        </is>
      </c>
      <c r="B478">
        <f>HYPERLINK("C:\Users\lmonroy\Tema\constancias t registro\CCNN - NUEVO PROGRESO\036 CARDENAS VALLES LUIS HOMERO.pdf", "Link")</f>
        <v/>
      </c>
      <c r="C478" t="n">
        <v>14126</v>
      </c>
      <c r="D478" t="inlineStr">
        <is>
          <t>2023-11-28 07:40:17</t>
        </is>
      </c>
      <c r="E478" t="inlineStr">
        <is>
          <t>2023-11-28 07:40:16</t>
        </is>
      </c>
      <c r="F478" t="inlineStr">
        <is>
          <t>666</t>
        </is>
      </c>
    </row>
    <row r="479">
      <c r="A479" t="inlineStr">
        <is>
          <t>037 CARIHUASAIRO CHARPENTIER CHRISTIAN CANY.pdf</t>
        </is>
      </c>
      <c r="B479">
        <f>HYPERLINK("C:\Users\lmonroy\Tema\constancias t registro\CCNN - NUEVO PROGRESO\037 CARIHUASAIRO CHARPENTIER CHRISTIAN CANY.pdf", "Link")</f>
        <v/>
      </c>
      <c r="C479" t="n">
        <v>14119</v>
      </c>
      <c r="D479" t="inlineStr">
        <is>
          <t>2023-11-28 07:41:14</t>
        </is>
      </c>
      <c r="E479" t="inlineStr">
        <is>
          <t>2023-11-28 07:41:13</t>
        </is>
      </c>
      <c r="F479" t="inlineStr">
        <is>
          <t>666</t>
        </is>
      </c>
    </row>
    <row r="480">
      <c r="A480" t="inlineStr">
        <is>
          <t>038 CARIHUASAIRO TARICUARIMA MOISES.pdf</t>
        </is>
      </c>
      <c r="B480">
        <f>HYPERLINK("C:\Users\lmonroy\Tema\constancias t registro\CCNN - NUEVO PROGRESO\038 CARIHUASAIRO TARICUARIMA MOISES.pdf", "Link")</f>
        <v/>
      </c>
      <c r="C480" t="n">
        <v>14103</v>
      </c>
      <c r="D480" t="inlineStr">
        <is>
          <t>2023-11-28 07:42:03</t>
        </is>
      </c>
      <c r="E480" t="inlineStr">
        <is>
          <t>2023-11-28 07:42:02</t>
        </is>
      </c>
      <c r="F480" t="inlineStr">
        <is>
          <t>666</t>
        </is>
      </c>
    </row>
    <row r="481">
      <c r="A481" t="inlineStr">
        <is>
          <t>041 CAYNAMARI MURAYARI RUSBEL ERIBERTO.pdf</t>
        </is>
      </c>
      <c r="B481">
        <f>HYPERLINK("C:\Users\lmonroy\Tema\constancias t registro\CCNN - NUEVO PROGRESO\041 CAYNAMARI MURAYARI RUSBEL ERIBERTO.pdf", "Link")</f>
        <v/>
      </c>
      <c r="C481" t="n">
        <v>14161</v>
      </c>
      <c r="D481" t="inlineStr">
        <is>
          <t>2023-11-28 07:44:49</t>
        </is>
      </c>
      <c r="E481" t="inlineStr">
        <is>
          <t>2023-11-28 07:44:47</t>
        </is>
      </c>
      <c r="F481" t="inlineStr">
        <is>
          <t>666</t>
        </is>
      </c>
    </row>
    <row r="482">
      <c r="A482" t="inlineStr">
        <is>
          <t>050 CUACHI MANUYAMA ELVIS.pdf</t>
        </is>
      </c>
      <c r="B482">
        <f>HYPERLINK("C:\Users\lmonroy\Tema\constancias t registro\CCNN - NUEVO PROGRESO\050 CUACHI MANUYAMA ELVIS.pdf", "Link")</f>
        <v/>
      </c>
      <c r="C482" t="n">
        <v>14152</v>
      </c>
      <c r="D482" t="inlineStr">
        <is>
          <t>2023-11-28 07:53:18</t>
        </is>
      </c>
      <c r="E482" t="inlineStr">
        <is>
          <t>2023-11-28 07:53:17</t>
        </is>
      </c>
      <c r="F482" t="inlineStr">
        <is>
          <t>666</t>
        </is>
      </c>
    </row>
    <row r="483">
      <c r="A483" t="inlineStr">
        <is>
          <t>051 CURITIMA PALMERA JERRI.pdf</t>
        </is>
      </c>
      <c r="B483">
        <f>HYPERLINK("C:\Users\lmonroy\Tema\constancias t registro\CCNN - NUEVO PROGRESO\051 CURITIMA PALMERA JERRI.pdf", "Link")</f>
        <v/>
      </c>
      <c r="C483" t="n">
        <v>14101</v>
      </c>
      <c r="D483" t="inlineStr">
        <is>
          <t>2023-11-28 08:24:39</t>
        </is>
      </c>
      <c r="E483" t="inlineStr">
        <is>
          <t>2023-11-28 08:24:34</t>
        </is>
      </c>
      <c r="F483" t="inlineStr">
        <is>
          <t>666</t>
        </is>
      </c>
    </row>
    <row r="484">
      <c r="A484" t="inlineStr">
        <is>
          <t>052 CURITIMA PUYO AILBER.pdf</t>
        </is>
      </c>
      <c r="B484">
        <f>HYPERLINK("C:\Users\lmonroy\Tema\constancias t registro\CCNN - NUEVO PROGRESO\052 CURITIMA PUYO AILBER.pdf", "Link")</f>
        <v/>
      </c>
      <c r="C484" t="n">
        <v>14160</v>
      </c>
      <c r="D484" t="inlineStr">
        <is>
          <t>2023-11-28 08:25:30</t>
        </is>
      </c>
      <c r="E484" t="inlineStr">
        <is>
          <t>2023-11-28 08:25:29</t>
        </is>
      </c>
      <c r="F484" t="inlineStr">
        <is>
          <t>666</t>
        </is>
      </c>
    </row>
    <row r="485">
      <c r="A485" t="inlineStr">
        <is>
          <t>055 FATAMA HIDALGO AQUILES.pdf</t>
        </is>
      </c>
      <c r="B485">
        <f>HYPERLINK("C:\Users\lmonroy\Tema\constancias t registro\CCNN - NUEVO PROGRESO\055 FATAMA HIDALGO AQUILES.pdf", "Link")</f>
        <v/>
      </c>
      <c r="C485" t="n">
        <v>14152</v>
      </c>
      <c r="D485" t="inlineStr">
        <is>
          <t>2023-11-28 09:06:38</t>
        </is>
      </c>
      <c r="E485" t="inlineStr">
        <is>
          <t>2023-11-28 09:06:36</t>
        </is>
      </c>
      <c r="F485" t="inlineStr">
        <is>
          <t>666</t>
        </is>
      </c>
    </row>
    <row r="486">
      <c r="A486" t="inlineStr">
        <is>
          <t>056 FATAMA HIDALGO LEANDRO.pdf</t>
        </is>
      </c>
      <c r="B486">
        <f>HYPERLINK("C:\Users\lmonroy\Tema\constancias t registro\CCNN - NUEVO PROGRESO\056 FATAMA HIDALGO LEANDRO.pdf", "Link")</f>
        <v/>
      </c>
      <c r="C486" t="n">
        <v>14163</v>
      </c>
      <c r="D486" t="inlineStr">
        <is>
          <t>2023-11-28 09:09:26</t>
        </is>
      </c>
      <c r="E486" t="inlineStr">
        <is>
          <t>2023-11-28 09:09:22</t>
        </is>
      </c>
      <c r="F486" t="inlineStr">
        <is>
          <t>666</t>
        </is>
      </c>
    </row>
    <row r="487">
      <c r="A487" t="inlineStr">
        <is>
          <t>057 FLORES PEREA ALEXANDER.pdf</t>
        </is>
      </c>
      <c r="B487">
        <f>HYPERLINK("C:\Users\lmonroy\Tema\constancias t registro\CCNN - NUEVO PROGRESO\057 FLORES PEREA ALEXANDER.pdf", "Link")</f>
        <v/>
      </c>
      <c r="C487" t="n">
        <v>14109</v>
      </c>
      <c r="D487" t="inlineStr">
        <is>
          <t>2023-11-28 09:11:25</t>
        </is>
      </c>
      <c r="E487" t="inlineStr">
        <is>
          <t>2023-11-28 09:11:23</t>
        </is>
      </c>
      <c r="F487" t="inlineStr">
        <is>
          <t>666</t>
        </is>
      </c>
    </row>
    <row r="488">
      <c r="A488" t="inlineStr">
        <is>
          <t>058 FLORES PEREA EXIDIO.pdf</t>
        </is>
      </c>
      <c r="B488">
        <f>HYPERLINK("C:\Users\lmonroy\Tema\constancias t registro\CCNN - NUEVO PROGRESO\058 FLORES PEREA EXIDIO.pdf", "Link")</f>
        <v/>
      </c>
      <c r="C488" t="n">
        <v>14093</v>
      </c>
      <c r="D488" t="inlineStr">
        <is>
          <t>2023-11-28 09:12:10</t>
        </is>
      </c>
      <c r="E488" t="inlineStr">
        <is>
          <t>2023-11-28 09:12:08</t>
        </is>
      </c>
      <c r="F488" t="inlineStr">
        <is>
          <t>666</t>
        </is>
      </c>
    </row>
    <row r="489">
      <c r="A489" t="inlineStr">
        <is>
          <t>059 FLORES PEREZ MARCELO.pdf</t>
        </is>
      </c>
      <c r="B489">
        <f>HYPERLINK("C:\Users\lmonroy\Tema\constancias t registro\CCNN - NUEVO PROGRESO\059 FLORES PEREZ MARCELO.pdf", "Link")</f>
        <v/>
      </c>
      <c r="C489" t="n">
        <v>14165</v>
      </c>
      <c r="D489" t="inlineStr">
        <is>
          <t>2023-11-28 09:13:04</t>
        </is>
      </c>
      <c r="E489" t="inlineStr">
        <is>
          <t>2023-11-28 09:13:03</t>
        </is>
      </c>
      <c r="F489" t="inlineStr">
        <is>
          <t>666</t>
        </is>
      </c>
    </row>
    <row r="490">
      <c r="A490" t="inlineStr">
        <is>
          <t>063 GARCIA REYNA LIZANDRO.pdf</t>
        </is>
      </c>
      <c r="B490">
        <f>HYPERLINK("C:\Users\lmonroy\Tema\constancias t registro\CCNN - NUEVO PROGRESO\063 GARCIA REYNA LIZANDRO.pdf", "Link")</f>
        <v/>
      </c>
      <c r="C490" t="n">
        <v>14163</v>
      </c>
      <c r="D490" t="inlineStr">
        <is>
          <t>2023-11-28 09:33:18</t>
        </is>
      </c>
      <c r="E490" t="inlineStr">
        <is>
          <t>2023-11-28 09:33:16</t>
        </is>
      </c>
      <c r="F490" t="inlineStr">
        <is>
          <t>666</t>
        </is>
      </c>
    </row>
    <row r="491">
      <c r="A491" t="inlineStr">
        <is>
          <t>070 HUAYABAN AHUANARI RUSBEL.pdf</t>
        </is>
      </c>
      <c r="B491">
        <f>HYPERLINK("C:\Users\lmonroy\Tema\constancias t registro\CCNN - NUEVO PROGRESO\070 HUAYABAN AHUANARI RUSBEL.pdf", "Link")</f>
        <v/>
      </c>
      <c r="C491" t="n">
        <v>14138</v>
      </c>
      <c r="D491" t="inlineStr">
        <is>
          <t>2023-11-28 09:41:53</t>
        </is>
      </c>
      <c r="E491" t="inlineStr">
        <is>
          <t>2023-11-28 09:41:51</t>
        </is>
      </c>
      <c r="F491" t="inlineStr">
        <is>
          <t>666</t>
        </is>
      </c>
    </row>
    <row r="492">
      <c r="A492" t="inlineStr">
        <is>
          <t>076 IGNACIO VICENTE JHON MAR.pdf</t>
        </is>
      </c>
      <c r="B492">
        <f>HYPERLINK("C:\Users\lmonroy\Tema\constancias t registro\CCNN - NUEVO PROGRESO\076 IGNACIO VICENTE JHON MAR.pdf", "Link")</f>
        <v/>
      </c>
      <c r="C492" t="n">
        <v>14134</v>
      </c>
      <c r="D492" t="inlineStr">
        <is>
          <t>2023-11-28 09:52:33</t>
        </is>
      </c>
      <c r="E492" t="inlineStr">
        <is>
          <t>2023-11-28 09:52:30</t>
        </is>
      </c>
      <c r="F492" t="inlineStr">
        <is>
          <t>666</t>
        </is>
      </c>
    </row>
    <row r="493">
      <c r="A493" t="inlineStr">
        <is>
          <t>097 IRARICA AHUANARI CARLOS.pdf</t>
        </is>
      </c>
      <c r="B493">
        <f>HYPERLINK("C:\Users\lmonroy\Tema\constancias t registro\CCNN - NUEVO PROGRESO\097 IRARICA AHUANARI CARLOS.pdf", "Link")</f>
        <v/>
      </c>
      <c r="C493" t="n">
        <v>14182</v>
      </c>
      <c r="D493" t="inlineStr">
        <is>
          <t>2023-11-28 10:13:25</t>
        </is>
      </c>
      <c r="E493" t="inlineStr">
        <is>
          <t>2023-11-28 10:13:24</t>
        </is>
      </c>
      <c r="F493" t="inlineStr">
        <is>
          <t>666</t>
        </is>
      </c>
    </row>
    <row r="494">
      <c r="A494" t="inlineStr">
        <is>
          <t>098 IRARICA CURITIMA JULIO.pdf</t>
        </is>
      </c>
      <c r="B494">
        <f>HYPERLINK("C:\Users\lmonroy\Tema\constancias t registro\CCNN - NUEVO PROGRESO\098 IRARICA CURITIMA JULIO.pdf", "Link")</f>
        <v/>
      </c>
      <c r="C494" t="n">
        <v>14161</v>
      </c>
      <c r="D494" t="inlineStr">
        <is>
          <t>2023-11-28 10:14:09</t>
        </is>
      </c>
      <c r="E494" t="inlineStr">
        <is>
          <t>2023-11-28 10:14:08</t>
        </is>
      </c>
      <c r="F494" t="inlineStr">
        <is>
          <t>666</t>
        </is>
      </c>
    </row>
    <row r="495">
      <c r="A495" t="inlineStr">
        <is>
          <t>099 IRARICA IRARICA WILLY.pdf</t>
        </is>
      </c>
      <c r="B495">
        <f>HYPERLINK("C:\Users\lmonroy\Tema\constancias t registro\CCNN - NUEVO PROGRESO\099 IRARICA IRARICA WILLY.pdf", "Link")</f>
        <v/>
      </c>
      <c r="C495" t="n">
        <v>14109</v>
      </c>
      <c r="D495" t="inlineStr">
        <is>
          <t>2023-11-28 10:15:20</t>
        </is>
      </c>
      <c r="E495" t="inlineStr">
        <is>
          <t>2023-11-28 10:15:18</t>
        </is>
      </c>
      <c r="F495" t="inlineStr">
        <is>
          <t>666</t>
        </is>
      </c>
    </row>
    <row r="496">
      <c r="A496" t="inlineStr">
        <is>
          <t>100 IRARICA PUYO FELIX ALEJANDRO.pdf</t>
        </is>
      </c>
      <c r="B496">
        <f>HYPERLINK("C:\Users\lmonroy\Tema\constancias t registro\CCNN - NUEVO PROGRESO\100 IRARICA PUYO FELIX ALEJANDRO.pdf", "Link")</f>
        <v/>
      </c>
      <c r="C496" t="n">
        <v>14119</v>
      </c>
      <c r="D496" t="inlineStr">
        <is>
          <t>2023-11-28 10:16:07</t>
        </is>
      </c>
      <c r="E496" t="inlineStr">
        <is>
          <t>2023-11-28 10:16:05</t>
        </is>
      </c>
      <c r="F496" t="inlineStr">
        <is>
          <t>666</t>
        </is>
      </c>
    </row>
    <row r="497">
      <c r="A497" t="inlineStr">
        <is>
          <t>042 CHAVEZ TECO SEGUNDO TEOBALDO.pdf</t>
        </is>
      </c>
      <c r="B497">
        <f>HYPERLINK("C:\Users\lmonroy\Tema\constancias t registro\CCNN - PETROLERA\042 CHAVEZ TECO SEGUNDO TEOBALDO.pdf", "Link")</f>
        <v/>
      </c>
      <c r="C497" t="n">
        <v>14102</v>
      </c>
      <c r="D497" t="inlineStr">
        <is>
          <t>2023-11-28 07:45:45</t>
        </is>
      </c>
      <c r="E497" t="inlineStr">
        <is>
          <t>2023-11-28 07:45:44</t>
        </is>
      </c>
      <c r="F497" t="inlineStr">
        <is>
          <t>666</t>
        </is>
      </c>
    </row>
    <row r="498">
      <c r="A498" t="inlineStr">
        <is>
          <t>053 DAHUA PINEDO MAURO.pdf</t>
        </is>
      </c>
      <c r="B498">
        <f>HYPERLINK("C:\Users\lmonroy\Tema\constancias t registro\CCNN - PETROLERA\053 DAHUA PINEDO MAURO.pdf", "Link")</f>
        <v/>
      </c>
      <c r="C498" t="n">
        <v>14130</v>
      </c>
      <c r="D498" t="inlineStr">
        <is>
          <t>2023-11-28 08:27:06</t>
        </is>
      </c>
      <c r="E498" t="inlineStr">
        <is>
          <t>2023-11-28 08:27:04</t>
        </is>
      </c>
      <c r="F498" t="inlineStr">
        <is>
          <t>666</t>
        </is>
      </c>
    </row>
    <row r="499">
      <c r="A499" t="inlineStr">
        <is>
          <t>062 GARCIA RAMIREZ RUSBEL.pdf</t>
        </is>
      </c>
      <c r="B499">
        <f>HYPERLINK("C:\Users\lmonroy\Tema\constancias t registro\CCNN - PETROLERA\062 GARCIA RAMIREZ RUSBEL.pdf", "Link")</f>
        <v/>
      </c>
      <c r="C499" t="n">
        <v>14136</v>
      </c>
      <c r="D499" t="inlineStr">
        <is>
          <t>2023-11-28 09:31:47</t>
        </is>
      </c>
      <c r="E499" t="inlineStr">
        <is>
          <t>2023-11-28 09:31:46</t>
        </is>
      </c>
      <c r="F499" t="inlineStr">
        <is>
          <t>666</t>
        </is>
      </c>
    </row>
    <row r="500">
      <c r="A500" t="inlineStr">
        <is>
          <t>065 GARCIA YUIMACHI JAYLER.pdf</t>
        </is>
      </c>
      <c r="B500">
        <f>HYPERLINK("C:\Users\lmonroy\Tema\constancias t registro\CCNN - PETROLERA\065 GARCIA YUIMACHI JAYLER.pdf", "Link")</f>
        <v/>
      </c>
      <c r="C500" t="n">
        <v>14153</v>
      </c>
      <c r="D500" t="inlineStr">
        <is>
          <t>2023-11-28 09:35:28</t>
        </is>
      </c>
      <c r="E500" t="inlineStr">
        <is>
          <t>2023-11-28 09:35:27</t>
        </is>
      </c>
      <c r="F500" t="inlineStr">
        <is>
          <t>666</t>
        </is>
      </c>
    </row>
    <row r="501">
      <c r="A501" t="inlineStr">
        <is>
          <t>066 GARCIA YUIMACHI ROYER.pdf</t>
        </is>
      </c>
      <c r="B501">
        <f>HYPERLINK("C:\Users\lmonroy\Tema\constancias t registro\CCNN - PETROLERA\066 GARCIA YUIMACHI ROYER.pdf", "Link")</f>
        <v/>
      </c>
      <c r="C501" t="n">
        <v>14105</v>
      </c>
      <c r="D501" t="inlineStr">
        <is>
          <t>2023-11-28 09:37:12</t>
        </is>
      </c>
      <c r="E501" t="inlineStr">
        <is>
          <t>2023-11-28 09:37:10</t>
        </is>
      </c>
      <c r="F501" t="inlineStr">
        <is>
          <t>666</t>
        </is>
      </c>
    </row>
    <row r="502">
      <c r="A502" t="inlineStr">
        <is>
          <t>007 AHUITE OJAICATE PEDRO.pdf</t>
        </is>
      </c>
      <c r="B502">
        <f>HYPERLINK("C:\Users\lmonroy\Tema\constancias t registro\CCNN - SAN JUAN\007 AHUITE OJAICATE PEDRO.pdf", "Link")</f>
        <v/>
      </c>
      <c r="C502" t="n">
        <v>14167</v>
      </c>
      <c r="D502" t="inlineStr">
        <is>
          <t>2023-11-28 07:12:23</t>
        </is>
      </c>
      <c r="E502" t="inlineStr">
        <is>
          <t>2023-11-28 07:12:22</t>
        </is>
      </c>
      <c r="F502" t="inlineStr">
        <is>
          <t>666</t>
        </is>
      </c>
    </row>
    <row r="503">
      <c r="A503" t="inlineStr">
        <is>
          <t>021 ARIRAMA SANDY JUAN CARLOS.pdf</t>
        </is>
      </c>
      <c r="B503">
        <f>HYPERLINK("C:\Users\lmonroy\Tema\constancias t registro\CCNN - SAN JUAN\021 ARIRAMA SANDY JUAN CARLOS.pdf", "Link")</f>
        <v/>
      </c>
      <c r="C503" t="n">
        <v>14164</v>
      </c>
      <c r="D503" t="inlineStr">
        <is>
          <t>2023-11-28 07:24:25</t>
        </is>
      </c>
      <c r="E503" t="inlineStr">
        <is>
          <t>2023-11-28 07:24:24</t>
        </is>
      </c>
      <c r="F503" t="inlineStr">
        <is>
          <t>666</t>
        </is>
      </c>
    </row>
    <row r="504">
      <c r="A504" t="inlineStr">
        <is>
          <t>044 CHOTA NURIVE FERNANDO.pdf</t>
        </is>
      </c>
      <c r="B504">
        <f>HYPERLINK("C:\Users\lmonroy\Tema\constancias t registro\CCNN - SAN JUAN\044 CHOTA NURIVE FERNANDO.pdf", "Link")</f>
        <v/>
      </c>
      <c r="C504" t="n">
        <v>14166</v>
      </c>
      <c r="D504" t="inlineStr">
        <is>
          <t>2023-11-28 07:47:14</t>
        </is>
      </c>
      <c r="E504" t="inlineStr">
        <is>
          <t>2023-11-28 07:47:13</t>
        </is>
      </c>
      <c r="F504" t="inlineStr">
        <is>
          <t>666</t>
        </is>
      </c>
    </row>
    <row r="505">
      <c r="A505" t="inlineStr">
        <is>
          <t>025 BARDALES CLEMENTE GILBERTO.pdf</t>
        </is>
      </c>
      <c r="B505">
        <f>HYPERLINK("C:\Users\lmonroy\Tema\constancias t registro\CCNN - SANTA ROSA\025 BARDALES CLEMENTE GILBERTO.pdf", "Link")</f>
        <v/>
      </c>
      <c r="C505" t="n">
        <v>14166</v>
      </c>
      <c r="D505" t="inlineStr">
        <is>
          <t>2023-11-28 07:29:23</t>
        </is>
      </c>
      <c r="E505" t="inlineStr">
        <is>
          <t>2023-11-28 07:29:22</t>
        </is>
      </c>
      <c r="F505" t="inlineStr">
        <is>
          <t>666</t>
        </is>
      </c>
    </row>
    <row r="506">
      <c r="A506" t="inlineStr">
        <is>
          <t>026 BARDALES MACUSI SEGUNDO.pdf</t>
        </is>
      </c>
      <c r="B506">
        <f>HYPERLINK("C:\Users\lmonroy\Tema\constancias t registro\CCNN - SANTA ROSA\026 BARDALES MACUSI SEGUNDO.pdf", "Link")</f>
        <v/>
      </c>
      <c r="C506" t="n">
        <v>14165</v>
      </c>
      <c r="D506" t="inlineStr">
        <is>
          <t>2023-11-28 07:30:10</t>
        </is>
      </c>
      <c r="E506" t="inlineStr">
        <is>
          <t>2023-11-28 07:30:09</t>
        </is>
      </c>
      <c r="F506" t="inlineStr">
        <is>
          <t>666</t>
        </is>
      </c>
    </row>
    <row r="507">
      <c r="A507" t="inlineStr">
        <is>
          <t>029 BARDALES QUISTO JOSE VISALOTE.pdf</t>
        </is>
      </c>
      <c r="B507">
        <f>HYPERLINK("C:\Users\lmonroy\Tema\constancias t registro\CCNN - SANTA ROSA\029 BARDALES QUISTO JOSE VISALOTE.pdf", "Link")</f>
        <v/>
      </c>
      <c r="C507" t="n">
        <v>14140</v>
      </c>
      <c r="D507" t="inlineStr">
        <is>
          <t>2023-11-28 07:33:33</t>
        </is>
      </c>
      <c r="E507" t="inlineStr">
        <is>
          <t>2023-11-28 07:33:31</t>
        </is>
      </c>
      <c r="F507" t="inlineStr">
        <is>
          <t>666</t>
        </is>
      </c>
    </row>
    <row r="508">
      <c r="A508" t="inlineStr">
        <is>
          <t>071 IGNACIO INUMA EMILIO.pdf</t>
        </is>
      </c>
      <c r="B508">
        <f>HYPERLINK("C:\Users\lmonroy\Tema\constancias t registro\CCNN - SANTA ROSA\071 IGNACIO INUMA EMILIO.pdf", "Link")</f>
        <v/>
      </c>
      <c r="C508" t="n">
        <v>14100</v>
      </c>
      <c r="D508" t="inlineStr">
        <is>
          <t>2023-11-28 09:43:02</t>
        </is>
      </c>
      <c r="E508" t="inlineStr">
        <is>
          <t>2023-11-28 09:43:00</t>
        </is>
      </c>
      <c r="F508" t="inlineStr">
        <is>
          <t>666</t>
        </is>
      </c>
    </row>
    <row r="509">
      <c r="A509" t="inlineStr">
        <is>
          <t>073 IGNACIO INUMA JORGE.pdf</t>
        </is>
      </c>
      <c r="B509">
        <f>HYPERLINK("C:\Users\lmonroy\Tema\constancias t registro\CCNN - SANTA ROSA\073 IGNACIO INUMA JORGE.pdf", "Link")</f>
        <v/>
      </c>
      <c r="C509" t="n">
        <v>14164</v>
      </c>
      <c r="D509" t="inlineStr">
        <is>
          <t>2023-11-28 09:48:57</t>
        </is>
      </c>
      <c r="E509" t="inlineStr">
        <is>
          <t>2023-11-28 09:48:53</t>
        </is>
      </c>
      <c r="F509" t="inlineStr">
        <is>
          <t>666</t>
        </is>
      </c>
    </row>
    <row r="510">
      <c r="A510" t="inlineStr">
        <is>
          <t>074 IGNACIO MACUSI JACINTO.pdf</t>
        </is>
      </c>
      <c r="B510">
        <f>HYPERLINK("C:\Users\lmonroy\Tema\constancias t registro\CCNN - SANTA ROSA\074 IGNACIO MACUSI JACINTO.pdf", "Link")</f>
        <v/>
      </c>
      <c r="C510" t="n">
        <v>14152</v>
      </c>
      <c r="D510" t="inlineStr">
        <is>
          <t>2023-11-28 09:49:47</t>
        </is>
      </c>
      <c r="E510" t="inlineStr">
        <is>
          <t>2023-11-28 09:49:46</t>
        </is>
      </c>
      <c r="F510" t="inlineStr">
        <is>
          <t>666</t>
        </is>
      </c>
    </row>
    <row r="511">
      <c r="A511" t="inlineStr">
        <is>
          <t>005 AHUITE MACUSI SEGUNDO.pdf</t>
        </is>
      </c>
      <c r="B511">
        <f>HYPERLINK("C:\Users\lmonroy\Tema\constancias t registro\CCNN - SANTA TERESA\005 AHUITE MACUSI SEGUNDO.pdf", "Link")</f>
        <v/>
      </c>
      <c r="C511" t="n">
        <v>14172</v>
      </c>
      <c r="D511" t="inlineStr">
        <is>
          <t>2023-11-28 07:10:45</t>
        </is>
      </c>
      <c r="E511" t="inlineStr">
        <is>
          <t>2023-11-28 07:10:44</t>
        </is>
      </c>
      <c r="F511" t="inlineStr">
        <is>
          <t>666</t>
        </is>
      </c>
    </row>
    <row r="512">
      <c r="A512" t="inlineStr">
        <is>
          <t>033 CACHIRICO LOPEZ RONY.pdf</t>
        </is>
      </c>
      <c r="B512">
        <f>HYPERLINK("C:\Users\lmonroy\Tema\constancias t registro\CCNN - SANTA TERESA\033 CACHIRICO LOPEZ RONY.pdf", "Link")</f>
        <v/>
      </c>
      <c r="C512" t="n">
        <v>14128</v>
      </c>
      <c r="D512" t="inlineStr">
        <is>
          <t>2023-11-28 07:37:25</t>
        </is>
      </c>
      <c r="E512" t="inlineStr">
        <is>
          <t>2023-11-28 07:37:24</t>
        </is>
      </c>
      <c r="F512" t="inlineStr">
        <is>
          <t>666</t>
        </is>
      </c>
    </row>
    <row r="513">
      <c r="A513" t="inlineStr">
        <is>
          <t>039 CASTAÑON MACUSI ALEX.pdf</t>
        </is>
      </c>
      <c r="B513">
        <f>HYPERLINK("C:\Users\lmonroy\Tema\constancias t registro\CCNN - SANTA TERESA\039 CASTAÑON MACUSI ALEX.pdf", "Link")</f>
        <v/>
      </c>
      <c r="C513" t="n">
        <v>14163</v>
      </c>
      <c r="D513" t="inlineStr">
        <is>
          <t>2023-11-28 07:42:47</t>
        </is>
      </c>
      <c r="E513" t="inlineStr">
        <is>
          <t>2023-11-28 07:42:46</t>
        </is>
      </c>
      <c r="F513" t="inlineStr">
        <is>
          <t>666</t>
        </is>
      </c>
    </row>
    <row r="514">
      <c r="A514" t="inlineStr">
        <is>
          <t>040 CASTAÑON MACUSI WILSON.pdf</t>
        </is>
      </c>
      <c r="B514">
        <f>HYPERLINK("C:\Users\lmonroy\Tema\constancias t registro\CCNN - SANTA TERESA\040 CASTAÑON MACUSI WILSON.pdf", "Link")</f>
        <v/>
      </c>
      <c r="C514" t="n">
        <v>14114</v>
      </c>
      <c r="D514" t="inlineStr">
        <is>
          <t>2023-11-28 07:43:45</t>
        </is>
      </c>
      <c r="E514" t="inlineStr">
        <is>
          <t>2023-11-28 07:43:44</t>
        </is>
      </c>
      <c r="F514" t="inlineStr">
        <is>
          <t>666</t>
        </is>
      </c>
    </row>
    <row r="515">
      <c r="A515" t="inlineStr">
        <is>
          <t>047 CLEMENTE TARICUARIMA JOSE.pdf</t>
        </is>
      </c>
      <c r="B515">
        <f>HYPERLINK("C:\Users\lmonroy\Tema\constancias t registro\CCNN - SANTA TERESA\047 CLEMENTE TARICUARIMA JOSE.pdf", "Link")</f>
        <v/>
      </c>
      <c r="C515" t="n">
        <v>14157</v>
      </c>
      <c r="D515" t="inlineStr">
        <is>
          <t>2023-11-28 07:50:51</t>
        </is>
      </c>
      <c r="E515" t="inlineStr">
        <is>
          <t>2023-11-28 07:50:49</t>
        </is>
      </c>
      <c r="F515" t="inlineStr">
        <is>
          <t>666</t>
        </is>
      </c>
    </row>
    <row r="516">
      <c r="A516" t="inlineStr">
        <is>
          <t>060 FUGUISTA MACUSI MANUEL.pdf</t>
        </is>
      </c>
      <c r="B516">
        <f>HYPERLINK("C:\Users\lmonroy\Tema\constancias t registro\CCNN - SANTA TERESA\060 FUGUISTA MACUSI MANUEL.pdf", "Link")</f>
        <v/>
      </c>
      <c r="C516" t="n">
        <v>14109</v>
      </c>
      <c r="D516" t="inlineStr">
        <is>
          <t>2023-11-28 09:17:20</t>
        </is>
      </c>
      <c r="E516" t="inlineStr">
        <is>
          <t>2023-11-28 09:17:16</t>
        </is>
      </c>
      <c r="F516" t="inlineStr">
        <is>
          <t>666</t>
        </is>
      </c>
    </row>
    <row r="517">
      <c r="A517" t="inlineStr">
        <is>
          <t>061 FUGUISTA MACUSI MIGUEL.pdf</t>
        </is>
      </c>
      <c r="B517">
        <f>HYPERLINK("C:\Users\lmonroy\Tema\constancias t registro\CCNN - SANTA TERESA\061 FUGUISTA MACUSI MIGUEL.pdf", "Link")</f>
        <v/>
      </c>
      <c r="C517" t="n">
        <v>14117</v>
      </c>
      <c r="D517" t="inlineStr">
        <is>
          <t>2023-11-28 09:30:52</t>
        </is>
      </c>
      <c r="E517" t="inlineStr">
        <is>
          <t>2023-11-28 09:30:48</t>
        </is>
      </c>
      <c r="F517" t="inlineStr">
        <is>
          <t>666</t>
        </is>
      </c>
    </row>
    <row r="518">
      <c r="A518" t="inlineStr">
        <is>
          <t>072 IGNACIO INUMA FELIPE.pdf</t>
        </is>
      </c>
      <c r="B518">
        <f>HYPERLINK("C:\Users\lmonroy\Tema\constancias t registro\CCNN - SANTA TERESA\072 IGNACIO INUMA FELIPE.pdf", "Link")</f>
        <v/>
      </c>
      <c r="C518" t="n">
        <v>14158</v>
      </c>
      <c r="D518" t="inlineStr">
        <is>
          <t>2023-11-28 09:45:25</t>
        </is>
      </c>
      <c r="E518" t="inlineStr">
        <is>
          <t>2023-11-28 09:45:21</t>
        </is>
      </c>
      <c r="F518" t="inlineStr">
        <is>
          <t>666</t>
        </is>
      </c>
    </row>
    <row r="519">
      <c r="A519" t="inlineStr">
        <is>
          <t>080 INUMA MACUSI ALBERTO.pdf</t>
        </is>
      </c>
      <c r="B519">
        <f>HYPERLINK("C:\Users\lmonroy\Tema\constancias t registro\CCNN - SANTA TERESA\080 INUMA MACUSI ALBERTO.pdf", "Link")</f>
        <v/>
      </c>
      <c r="C519" t="n">
        <v>14158</v>
      </c>
      <c r="D519" t="inlineStr">
        <is>
          <t>2023-11-28 09:55:44</t>
        </is>
      </c>
      <c r="E519" t="inlineStr">
        <is>
          <t>2023-11-28 09:55:43</t>
        </is>
      </c>
      <c r="F519" t="inlineStr">
        <is>
          <t>666</t>
        </is>
      </c>
    </row>
    <row r="520">
      <c r="A520" t="inlineStr">
        <is>
          <t>081 INUMA MACUSI GINER.pdf</t>
        </is>
      </c>
      <c r="B520">
        <f>HYPERLINK("C:\Users\lmonroy\Tema\constancias t registro\CCNN - SANTA TERESA\081 INUMA MACUSI GINER.pdf", "Link")</f>
        <v/>
      </c>
      <c r="C520" t="n">
        <v>14154</v>
      </c>
      <c r="D520" t="inlineStr">
        <is>
          <t>2023-11-28 09:56:38</t>
        </is>
      </c>
      <c r="E520" t="inlineStr">
        <is>
          <t>2023-11-28 09:56:37</t>
        </is>
      </c>
      <c r="F520" t="inlineStr">
        <is>
          <t>666</t>
        </is>
      </c>
    </row>
    <row r="521">
      <c r="A521" t="inlineStr">
        <is>
          <t>087 INUMA NURIBE MARIANO.pdf</t>
        </is>
      </c>
      <c r="B521">
        <f>HYPERLINK("C:\Users\lmonroy\Tema\constancias t registro\CCNN - SANTA TERESA\087 INUMA NURIBE MARIANO.pdf", "Link")</f>
        <v/>
      </c>
      <c r="C521" t="n">
        <v>14156</v>
      </c>
      <c r="D521" t="inlineStr">
        <is>
          <t>2023-11-28 10:04:24</t>
        </is>
      </c>
      <c r="E521" t="inlineStr">
        <is>
          <t>2023-11-28 10:04:23</t>
        </is>
      </c>
      <c r="F521" t="inlineStr">
        <is>
          <t>666</t>
        </is>
      </c>
    </row>
    <row r="522">
      <c r="A522" t="inlineStr">
        <is>
          <t>091 INUMA VELA ABRAHAM.pdf</t>
        </is>
      </c>
      <c r="B522">
        <f>HYPERLINK("C:\Users\lmonroy\Tema\constancias t registro\CCNN - SANTA TERESA\091 INUMA VELA ABRAHAM.pdf", "Link")</f>
        <v/>
      </c>
      <c r="C522" t="n">
        <v>14117</v>
      </c>
      <c r="D522" t="inlineStr">
        <is>
          <t>2023-11-28 10:08:15</t>
        </is>
      </c>
      <c r="E522" t="inlineStr">
        <is>
          <t>2023-11-28 10:08:13</t>
        </is>
      </c>
      <c r="F522" t="inlineStr">
        <is>
          <t>666</t>
        </is>
      </c>
    </row>
    <row r="523">
      <c r="A523" t="inlineStr">
        <is>
          <t>092 INUMA VELA ARTEMIO.pdf</t>
        </is>
      </c>
      <c r="B523">
        <f>HYPERLINK("C:\Users\lmonroy\Tema\constancias t registro\CCNN - SANTA TERESA\092 INUMA VELA ARTEMIO.pdf", "Link")</f>
        <v/>
      </c>
      <c r="C523" t="n">
        <v>14107</v>
      </c>
      <c r="D523" t="inlineStr">
        <is>
          <t>2023-11-28 10:09:11</t>
        </is>
      </c>
      <c r="E523" t="inlineStr">
        <is>
          <t>2023-11-28 10:09:10</t>
        </is>
      </c>
      <c r="F523" t="inlineStr">
        <is>
          <t>666</t>
        </is>
      </c>
    </row>
    <row r="524">
      <c r="A524" t="inlineStr">
        <is>
          <t>094 INUMA VELA LUCHO.pdf</t>
        </is>
      </c>
      <c r="B524">
        <f>HYPERLINK("C:\Users\lmonroy\Tema\constancias t registro\CCNN - SANTA TERESA\094 INUMA VELA LUCHO.pdf", "Link")</f>
        <v/>
      </c>
      <c r="C524" t="n">
        <v>14118</v>
      </c>
      <c r="D524" t="inlineStr">
        <is>
          <t>2023-11-28 10:11:13</t>
        </is>
      </c>
      <c r="E524" t="inlineStr">
        <is>
          <t>2023-11-28 10:11:11</t>
        </is>
      </c>
      <c r="F524" t="inlineStr">
        <is>
          <t>666</t>
        </is>
      </c>
    </row>
    <row r="525">
      <c r="A525" t="inlineStr">
        <is>
          <t>095 INUMA VELA RAFAEL.pdf</t>
        </is>
      </c>
      <c r="B525">
        <f>HYPERLINK("C:\Users\lmonroy\Tema\constancias t registro\CCNN - SANTA TERESA\095 INUMA VELA RAFAEL.pdf", "Link")</f>
        <v/>
      </c>
      <c r="C525" t="n">
        <v>14111</v>
      </c>
      <c r="D525" t="inlineStr">
        <is>
          <t>2023-11-28 10:11:59</t>
        </is>
      </c>
      <c r="E525" t="inlineStr">
        <is>
          <t>2023-11-28 10:11:58</t>
        </is>
      </c>
      <c r="F525" t="inlineStr">
        <is>
          <t>666</t>
        </is>
      </c>
    </row>
    <row r="526">
      <c r="A526" t="inlineStr">
        <is>
          <t>096 INUMA VELA WILSON.pdf</t>
        </is>
      </c>
      <c r="B526">
        <f>HYPERLINK("C:\Users\lmonroy\Tema\constancias t registro\CCNN - SANTA TERESA\096 INUMA VELA WILSON.pdf", "Link")</f>
        <v/>
      </c>
      <c r="C526" t="n">
        <v>14155</v>
      </c>
      <c r="D526" t="inlineStr">
        <is>
          <t>2023-11-28 10:12:45</t>
        </is>
      </c>
      <c r="E526" t="inlineStr">
        <is>
          <t>2023-11-28 10:12:43</t>
        </is>
      </c>
      <c r="F526" t="inlineStr">
        <is>
          <t>666</t>
        </is>
      </c>
    </row>
    <row r="527">
      <c r="A527" t="inlineStr">
        <is>
          <t>064 GARCIA ROJAS CARLOS WELLINGTON.pdf</t>
        </is>
      </c>
      <c r="B527">
        <f>HYPERLINK("C:\Users\lmonroy\Tema\constancias t registro\IQUITOS\064 GARCIA ROJAS CARLOS WELLINGTON.pdf", "Link")</f>
        <v/>
      </c>
      <c r="C527" t="n">
        <v>14140</v>
      </c>
      <c r="D527" t="inlineStr">
        <is>
          <t>2023-11-28 09:34:36</t>
        </is>
      </c>
      <c r="E527" t="inlineStr">
        <is>
          <t>2023-11-28 09:34:34</t>
        </is>
      </c>
      <c r="F527" t="inlineStr">
        <is>
          <t>666</t>
        </is>
      </c>
    </row>
    <row r="528">
      <c r="A528" t="inlineStr">
        <is>
          <t>CERTIFICADO DE TRABAJO - 17 DICIEMBRE.pdf</t>
        </is>
      </c>
      <c r="B528">
        <f>HYPERLINK("C:\Users\lmonroy\Tema\contancia trabajo\CERTIFICADO DE TRABAJO - 17 DICIEMBRE.pdf", "Link")</f>
        <v/>
      </c>
      <c r="C528" t="n">
        <v>692566</v>
      </c>
      <c r="D528" t="inlineStr">
        <is>
          <t>2023-12-22 17:13:01</t>
        </is>
      </c>
      <c r="E528" t="inlineStr">
        <is>
          <t>2023-12-22 17:10:49</t>
        </is>
      </c>
      <c r="F528" t="inlineStr">
        <is>
          <t>666</t>
        </is>
      </c>
    </row>
    <row r="529">
      <c r="A529" t="inlineStr">
        <is>
          <t>CERTIFICADO DE TRABAJO.xlsm</t>
        </is>
      </c>
      <c r="B529">
        <f>HYPERLINK("C:\Users\lmonroy\Tema\contancia trabajo\CERTIFICADO DE TRABAJO.xlsm", "Link")</f>
        <v/>
      </c>
      <c r="C529" t="n">
        <v>41703</v>
      </c>
      <c r="D529" t="inlineStr">
        <is>
          <t>2023-12-22 17:08:26</t>
        </is>
      </c>
      <c r="E529" t="inlineStr">
        <is>
          <t>2023-12-22 17:08:25</t>
        </is>
      </c>
      <c r="F529" t="inlineStr">
        <is>
          <t>666</t>
        </is>
      </c>
    </row>
    <row r="530">
      <c r="A530" t="inlineStr">
        <is>
          <t>ConstanciaTrabajo.docx</t>
        </is>
      </c>
      <c r="B530">
        <f>HYPERLINK("C:\Users\lmonroy\Tema\contancia trabajo\ConstanciaTrabajo.docx", "Link")</f>
        <v/>
      </c>
      <c r="C530" t="n">
        <v>214655</v>
      </c>
      <c r="D530" t="inlineStr">
        <is>
          <t>2023-12-22 17:14:44</t>
        </is>
      </c>
      <c r="E530" t="inlineStr">
        <is>
          <t>2023-12-11 09:24:05</t>
        </is>
      </c>
      <c r="F530" t="inlineStr">
        <is>
          <t>666</t>
        </is>
      </c>
    </row>
    <row r="531">
      <c r="A531" t="inlineStr">
        <is>
          <t>Certificados de Trabajo Baja Noviembre.pdf</t>
        </is>
      </c>
      <c r="B531">
        <f>HYPERLINK("C:\Users\lmonroy\Tema\contrato\Certificados de Trabajo Baja Noviembre.pdf", "Link")</f>
        <v/>
      </c>
      <c r="C531" t="n">
        <v>669758</v>
      </c>
      <c r="D531" t="inlineStr">
        <is>
          <t>2023-12-11 09:21:02</t>
        </is>
      </c>
      <c r="E531" t="inlineStr">
        <is>
          <t>2023-12-11 09:20:58</t>
        </is>
      </c>
      <c r="F531" t="inlineStr">
        <is>
          <t>666</t>
        </is>
      </c>
    </row>
    <row r="532">
      <c r="A532" t="inlineStr">
        <is>
          <t>CONTRATO 01-04-2024.pdf</t>
        </is>
      </c>
      <c r="B532">
        <f>HYPERLINK("C:\Users\lmonroy\Tema\contrato\CONTRATO 01-04-2024.pdf", "Link")</f>
        <v/>
      </c>
      <c r="C532" t="n">
        <v>7001963</v>
      </c>
      <c r="D532" t="inlineStr">
        <is>
          <t>2024-03-31 11:51:50</t>
        </is>
      </c>
      <c r="E532" t="inlineStr">
        <is>
          <t>2024-03-31 11:51:50</t>
        </is>
      </c>
      <c r="F532" t="inlineStr">
        <is>
          <t>666</t>
        </is>
      </c>
    </row>
    <row r="533">
      <c r="A533" t="inlineStr">
        <is>
          <t>CONTRATO 01-04-2024.xlsm</t>
        </is>
      </c>
      <c r="B533">
        <f>HYPERLINK("C:\Users\lmonroy\Tema\contrato\CONTRATO 01-04-2024.xlsm", "Link")</f>
        <v/>
      </c>
      <c r="C533" t="n">
        <v>90864</v>
      </c>
      <c r="D533" t="inlineStr">
        <is>
          <t>2024-03-31 11:45:34</t>
        </is>
      </c>
      <c r="E533" t="inlineStr">
        <is>
          <t>2024-03-31 11:45:34</t>
        </is>
      </c>
      <c r="F533" t="inlineStr">
        <is>
          <t>666</t>
        </is>
      </c>
    </row>
    <row r="534">
      <c r="A534" t="inlineStr">
        <is>
          <t>CONTRATO 12-04-2024.pdf</t>
        </is>
      </c>
      <c r="B534">
        <f>HYPERLINK("C:\Users\lmonroy\Tema\contrato\CONTRATO 12-04-2024.pdf", "Link")</f>
        <v/>
      </c>
      <c r="C534" t="n">
        <v>427328</v>
      </c>
      <c r="D534" t="inlineStr">
        <is>
          <t>2024-04-13 09:24:46</t>
        </is>
      </c>
      <c r="E534" t="inlineStr">
        <is>
          <t>2024-04-13 09:24:40</t>
        </is>
      </c>
      <c r="F534" t="inlineStr">
        <is>
          <t>666</t>
        </is>
      </c>
    </row>
    <row r="535">
      <c r="A535" t="inlineStr">
        <is>
          <t>CONTRATO 13-02-2024.xlsm</t>
        </is>
      </c>
      <c r="B535">
        <f>HYPERLINK("C:\Users\lmonroy\Tema\contrato\CONTRATO 13-02-2024.xlsm", "Link")</f>
        <v/>
      </c>
      <c r="C535" t="n">
        <v>51375</v>
      </c>
      <c r="D535" t="inlineStr">
        <is>
          <t>2024-02-12 11:52:32</t>
        </is>
      </c>
      <c r="E535" t="inlineStr">
        <is>
          <t>2024-02-12 11:52:46</t>
        </is>
      </c>
      <c r="F535" t="inlineStr">
        <is>
          <t>666</t>
        </is>
      </c>
    </row>
    <row r="536">
      <c r="A536" t="inlineStr">
        <is>
          <t>CONTRATO 16-04-2024.pdf</t>
        </is>
      </c>
      <c r="B536">
        <f>HYPERLINK("C:\Users\lmonroy\Tema\contrato\CONTRATO 16-04-2024.pdf", "Link")</f>
        <v/>
      </c>
      <c r="C536" t="n">
        <v>1015441</v>
      </c>
      <c r="D536" t="inlineStr">
        <is>
          <t>2024-04-15 12:14:18</t>
        </is>
      </c>
      <c r="E536" t="inlineStr">
        <is>
          <t>2024-04-15 12:14:03</t>
        </is>
      </c>
      <c r="F536" t="inlineStr">
        <is>
          <t>666</t>
        </is>
      </c>
    </row>
    <row r="537">
      <c r="A537" t="inlineStr">
        <is>
          <t>CONTRATO 21-03-2024.pdf</t>
        </is>
      </c>
      <c r="B537">
        <f>HYPERLINK("C:\Users\lmonroy\Tema\contrato\CONTRATO 21-03-2024.pdf", "Link")</f>
        <v/>
      </c>
      <c r="C537" t="n">
        <v>612060</v>
      </c>
      <c r="D537" t="inlineStr">
        <is>
          <t>2024-03-21 19:54:06</t>
        </is>
      </c>
      <c r="E537" t="inlineStr">
        <is>
          <t>2024-03-21 19:53:55</t>
        </is>
      </c>
      <c r="F537" t="inlineStr">
        <is>
          <t>666</t>
        </is>
      </c>
    </row>
    <row r="538">
      <c r="A538" t="inlineStr">
        <is>
          <t>CONTRATO 22-01-2024 (1).xlsm</t>
        </is>
      </c>
      <c r="B538">
        <f>HYPERLINK("C:\Users\lmonroy\Tema\contrato\CONTRATO 22-01-2024 (1).xlsm", "Link")</f>
        <v/>
      </c>
      <c r="C538" t="n">
        <v>33617</v>
      </c>
      <c r="D538" t="inlineStr">
        <is>
          <t>2024-01-22 17:14:26</t>
        </is>
      </c>
      <c r="E538" t="inlineStr">
        <is>
          <t>2024-01-22 17:11:37</t>
        </is>
      </c>
      <c r="F538" t="inlineStr">
        <is>
          <t>666</t>
        </is>
      </c>
    </row>
    <row r="539">
      <c r="A539" t="inlineStr">
        <is>
          <t>CONTRATO 22-01-2024.xlsm</t>
        </is>
      </c>
      <c r="B539">
        <f>HYPERLINK("C:\Users\lmonroy\Tema\contrato\CONTRATO 22-01-2024.xlsm", "Link")</f>
        <v/>
      </c>
      <c r="C539" t="n">
        <v>34602</v>
      </c>
      <c r="D539" t="inlineStr">
        <is>
          <t>2024-01-22 12:45:41</t>
        </is>
      </c>
      <c r="E539" t="inlineStr">
        <is>
          <t>2024-01-22 12:41:32</t>
        </is>
      </c>
      <c r="F539" t="inlineStr">
        <is>
          <t>666</t>
        </is>
      </c>
    </row>
    <row r="540">
      <c r="A540" t="inlineStr">
        <is>
          <t>CONTRATO 26-01-2024 CCNN.xlsm</t>
        </is>
      </c>
      <c r="B540">
        <f>HYPERLINK("C:\Users\lmonroy\Tema\contrato\CONTRATO 26-01-2024 CCNN.xlsm", "Link")</f>
        <v/>
      </c>
      <c r="C540" t="n">
        <v>33908</v>
      </c>
      <c r="D540" t="inlineStr">
        <is>
          <t>2024-01-26 16:53:09</t>
        </is>
      </c>
      <c r="E540" t="inlineStr">
        <is>
          <t>2024-01-26 16:52:11</t>
        </is>
      </c>
      <c r="F540" t="inlineStr">
        <is>
          <t>666</t>
        </is>
      </c>
    </row>
    <row r="541">
      <c r="A541" t="inlineStr">
        <is>
          <t>CONTRATO CARO SORIA.pdf</t>
        </is>
      </c>
      <c r="B541">
        <f>HYPERLINK("C:\Users\lmonroy\Tema\contrato\CONTRATO CARO SORIA.pdf", "Link")</f>
        <v/>
      </c>
      <c r="C541" t="n">
        <v>286842</v>
      </c>
      <c r="D541" t="inlineStr">
        <is>
          <t>2024-03-11 09:41:24</t>
        </is>
      </c>
      <c r="E541" t="inlineStr">
        <is>
          <t>2024-03-11 09:41:22</t>
        </is>
      </c>
      <c r="F541" t="inlineStr">
        <is>
          <t>666</t>
        </is>
      </c>
    </row>
    <row r="542">
      <c r="A542" t="inlineStr">
        <is>
          <t>CONTRATO GENERAL - RENOVACION.xlsm</t>
        </is>
      </c>
      <c r="B542">
        <f>HYPERLINK("C:\Users\lmonroy\Tema\contrato\CONTRATO GENERAL - RENOVACION.xlsm", "Link")</f>
        <v/>
      </c>
      <c r="C542" t="n">
        <v>67547</v>
      </c>
      <c r="D542" t="inlineStr">
        <is>
          <t>2024-01-09 14:14:49</t>
        </is>
      </c>
      <c r="E542" t="inlineStr">
        <is>
          <t>2024-01-09 14:08:17</t>
        </is>
      </c>
      <c r="F542" t="inlineStr">
        <is>
          <t>666</t>
        </is>
      </c>
    </row>
    <row r="543">
      <c r="A543" t="inlineStr">
        <is>
          <t>CONTRATO GENERAL.xlsm</t>
        </is>
      </c>
      <c r="B543">
        <f>HYPERLINK("C:\Users\lmonroy\Tema\contrato\CONTRATO GENERAL.xlsm", "Link")</f>
        <v/>
      </c>
      <c r="C543" t="n">
        <v>91453</v>
      </c>
      <c r="D543" t="inlineStr">
        <is>
          <t>2024-03-31 11:46:38</t>
        </is>
      </c>
      <c r="E543" t="inlineStr">
        <is>
          <t>2023-11-27 21:08:00</t>
        </is>
      </c>
      <c r="F543" t="inlineStr">
        <is>
          <t>666</t>
        </is>
      </c>
    </row>
    <row r="544">
      <c r="A544" t="inlineStr">
        <is>
          <t>CONTRATO GENERAL_Febrero - Nva Union.xlsm</t>
        </is>
      </c>
      <c r="B544">
        <f>HYPERLINK("C:\Users\lmonroy\Tema\contrato\CONTRATO GENERAL_Febrero - Nva Union.xlsm", "Link")</f>
        <v/>
      </c>
      <c r="C544" t="n">
        <v>39788</v>
      </c>
      <c r="D544" t="inlineStr">
        <is>
          <t>2024-02-06 18:09:46</t>
        </is>
      </c>
      <c r="E544" t="inlineStr">
        <is>
          <t>2024-02-06 17:48:21</t>
        </is>
      </c>
      <c r="F544" t="inlineStr">
        <is>
          <t>666</t>
        </is>
      </c>
    </row>
    <row r="545">
      <c r="A545" t="inlineStr">
        <is>
          <t>CONTRATO LOMAS PACAYA MARCOS LUIS.pdf</t>
        </is>
      </c>
      <c r="B545">
        <f>HYPERLINK("C:\Users\lmonroy\Tema\contrato\CONTRATO LOMAS PACAYA MARCOS LUIS.pdf", "Link")</f>
        <v/>
      </c>
      <c r="C545" t="n">
        <v>286897</v>
      </c>
      <c r="D545" t="inlineStr">
        <is>
          <t>2024-03-11 18:24:43</t>
        </is>
      </c>
      <c r="E545" t="inlineStr">
        <is>
          <t>2024-03-11 18:24:42</t>
        </is>
      </c>
      <c r="F545" t="inlineStr">
        <is>
          <t>666</t>
        </is>
      </c>
    </row>
    <row r="546">
      <c r="A546" t="inlineStr">
        <is>
          <t>CONTRATO LOPEZ RIOS ANDRE GASTON.pdf</t>
        </is>
      </c>
      <c r="B546">
        <f>HYPERLINK("C:\Users\lmonroy\Tema\contrato\CONTRATO LOPEZ RIOS ANDRE GASTON.pdf", "Link")</f>
        <v/>
      </c>
      <c r="C546" t="n">
        <v>286877</v>
      </c>
      <c r="D546" t="inlineStr">
        <is>
          <t>2024-03-07 08:05:59</t>
        </is>
      </c>
      <c r="E546" t="inlineStr">
        <is>
          <t>2024-03-06 22:22:58</t>
        </is>
      </c>
      <c r="F546" t="inlineStr">
        <is>
          <t>666</t>
        </is>
      </c>
    </row>
    <row r="547">
      <c r="A547" t="inlineStr">
        <is>
          <t>Contrato Modelo.docx</t>
        </is>
      </c>
      <c r="B547">
        <f>HYPERLINK("C:\Users\lmonroy\Tema\contrato\Contrato Modelo.docx", "Link")</f>
        <v/>
      </c>
      <c r="C547" t="n">
        <v>349473</v>
      </c>
      <c r="D547" t="inlineStr">
        <is>
          <t>2024-02-27 12:28:16</t>
        </is>
      </c>
      <c r="E547" t="inlineStr">
        <is>
          <t>2024-02-27 12:28:16</t>
        </is>
      </c>
      <c r="F547" t="inlineStr">
        <is>
          <t>666</t>
        </is>
      </c>
    </row>
    <row r="548">
      <c r="A548" t="inlineStr">
        <is>
          <t>Contrato Noriega Macedo.pdf</t>
        </is>
      </c>
      <c r="B548">
        <f>HYPERLINK("C:\Users\lmonroy\Tema\contrato\Contrato Noriega Macedo.pdf", "Link")</f>
        <v/>
      </c>
      <c r="C548" t="n">
        <v>285744</v>
      </c>
      <c r="D548" t="inlineStr">
        <is>
          <t>2024-01-11 17:56:02</t>
        </is>
      </c>
      <c r="E548" t="inlineStr">
        <is>
          <t>2024-01-11 17:56:00</t>
        </is>
      </c>
      <c r="F548" t="inlineStr">
        <is>
          <t>666</t>
        </is>
      </c>
    </row>
    <row r="549">
      <c r="A549" t="inlineStr">
        <is>
          <t>CONTRATO TUESTA ACHING.pdf</t>
        </is>
      </c>
      <c r="B549">
        <f>HYPERLINK("C:\Users\lmonroy\Tema\contrato\CONTRATO TUESTA ACHING.pdf", "Link")</f>
        <v/>
      </c>
      <c r="C549" t="n">
        <v>286339</v>
      </c>
      <c r="D549" t="inlineStr">
        <is>
          <t>2024-02-03 06:43:39</t>
        </is>
      </c>
      <c r="E549" t="inlineStr">
        <is>
          <t>2024-02-03 06:43:38</t>
        </is>
      </c>
      <c r="F549" t="inlineStr">
        <is>
          <t>666</t>
        </is>
      </c>
    </row>
    <row r="550">
      <c r="A550" t="inlineStr">
        <is>
          <t>CONTRATO.docx</t>
        </is>
      </c>
      <c r="B550">
        <f>HYPERLINK("C:\Users\lmonroy\Tema\contrato\CONTRATO.docx", "Link")</f>
        <v/>
      </c>
      <c r="C550" t="n">
        <v>162048</v>
      </c>
      <c r="D550" t="inlineStr">
        <is>
          <t>2024-03-31 11:55:30</t>
        </is>
      </c>
      <c r="E550" t="inlineStr">
        <is>
          <t>2023-11-27 16:22:00</t>
        </is>
      </c>
      <c r="F550" t="inlineStr">
        <is>
          <t>666</t>
        </is>
      </c>
    </row>
    <row r="551">
      <c r="A551" t="inlineStr">
        <is>
          <t>Contratos - Con fecha de vigencia.xlsx</t>
        </is>
      </c>
      <c r="B551">
        <f>HYPERLINK("C:\Users\lmonroy\Tema\contrato\Contratos - Con fecha de vigencia.xlsx", "Link")</f>
        <v/>
      </c>
      <c r="C551" t="n">
        <v>73950</v>
      </c>
      <c r="D551" t="inlineStr">
        <is>
          <t>2023-12-07 13:45:08</t>
        </is>
      </c>
      <c r="E551" t="inlineStr">
        <is>
          <t>2023-12-07 13:44:33</t>
        </is>
      </c>
      <c r="F551" t="inlineStr">
        <is>
          <t>666</t>
        </is>
      </c>
    </row>
    <row r="552">
      <c r="A552" t="inlineStr">
        <is>
          <t>Contratos 04-01-2024.pdf</t>
        </is>
      </c>
      <c r="B552">
        <f>HYPERLINK("C:\Users\lmonroy\Tema\contrato\Contratos 04-01-2024.pdf", "Link")</f>
        <v/>
      </c>
      <c r="C552" t="n">
        <v>330869</v>
      </c>
      <c r="D552" t="inlineStr">
        <is>
          <t>2024-01-09 14:23:10</t>
        </is>
      </c>
      <c r="E552" t="inlineStr">
        <is>
          <t>2024-01-04 14:14:18</t>
        </is>
      </c>
      <c r="F552" t="inlineStr">
        <is>
          <t>666</t>
        </is>
      </c>
    </row>
    <row r="553">
      <c r="A553" t="inlineStr">
        <is>
          <t>Contratos 10-01-2024.pdf</t>
        </is>
      </c>
      <c r="B553">
        <f>HYPERLINK("C:\Users\lmonroy\Tema\contrato\Contratos 10-01-2024.pdf", "Link")</f>
        <v/>
      </c>
      <c r="C553" t="n">
        <v>286488</v>
      </c>
      <c r="D553" t="inlineStr">
        <is>
          <t>2024-01-10 13:34:48</t>
        </is>
      </c>
      <c r="E553" t="inlineStr">
        <is>
          <t>2024-01-10 13:33:29</t>
        </is>
      </c>
      <c r="F553" t="inlineStr">
        <is>
          <t>666</t>
        </is>
      </c>
    </row>
    <row r="554">
      <c r="A554" t="inlineStr">
        <is>
          <t>CONTRATOS 12 FEBRERO 2024.pdf</t>
        </is>
      </c>
      <c r="B554">
        <f>HYPERLINK("C:\Users\lmonroy\Tema\contrato\CONTRATOS 12 FEBRERO 2024.pdf", "Link")</f>
        <v/>
      </c>
      <c r="C554" t="n">
        <v>419378</v>
      </c>
      <c r="D554" t="inlineStr">
        <is>
          <t>2024-02-12 12:39:12</t>
        </is>
      </c>
      <c r="E554" t="inlineStr">
        <is>
          <t>2024-02-12 12:39:07</t>
        </is>
      </c>
      <c r="F554" t="inlineStr">
        <is>
          <t>666</t>
        </is>
      </c>
    </row>
    <row r="555">
      <c r="A555" t="inlineStr">
        <is>
          <t>CONTRATOS 16 FEBRERO 2024.pdf</t>
        </is>
      </c>
      <c r="B555">
        <f>HYPERLINK("C:\Users\lmonroy\Tema\contrato\CONTRATOS 16 FEBRERO 2024.pdf", "Link")</f>
        <v/>
      </c>
      <c r="C555" t="n">
        <v>375727</v>
      </c>
      <c r="D555" t="inlineStr">
        <is>
          <t>2024-02-16 12:28:05</t>
        </is>
      </c>
      <c r="E555" t="inlineStr">
        <is>
          <t>2024-02-16 12:22:57</t>
        </is>
      </c>
      <c r="F555" t="inlineStr">
        <is>
          <t>666</t>
        </is>
      </c>
    </row>
    <row r="556">
      <c r="A556" t="inlineStr">
        <is>
          <t>CONTRATOS 19 FEBRERO 2024.pdf</t>
        </is>
      </c>
      <c r="B556">
        <f>HYPERLINK("C:\Users\lmonroy\Tema\contrato\CONTRATOS 19 FEBRERO 2024.pdf", "Link")</f>
        <v/>
      </c>
      <c r="C556" t="n">
        <v>684377</v>
      </c>
      <c r="D556" t="inlineStr">
        <is>
          <t>2024-02-19 15:32:08</t>
        </is>
      </c>
      <c r="E556" t="inlineStr">
        <is>
          <t>2024-02-19 15:31:54</t>
        </is>
      </c>
      <c r="F556" t="inlineStr">
        <is>
          <t>666</t>
        </is>
      </c>
    </row>
    <row r="557">
      <c r="A557" t="inlineStr">
        <is>
          <t>CONTRATOS 20 FEBRERO 2024.pdf</t>
        </is>
      </c>
      <c r="B557">
        <f>HYPERLINK("C:\Users\lmonroy\Tema\contrato\CONTRATOS 20 FEBRERO 2024.pdf", "Link")</f>
        <v/>
      </c>
      <c r="C557" t="n">
        <v>360372</v>
      </c>
      <c r="D557" t="inlineStr">
        <is>
          <t>2024-02-19 11:27:28</t>
        </is>
      </c>
      <c r="E557" t="inlineStr">
        <is>
          <t>2024-02-19 11:27:26</t>
        </is>
      </c>
      <c r="F557" t="inlineStr">
        <is>
          <t>666</t>
        </is>
      </c>
    </row>
    <row r="558">
      <c r="A558" t="inlineStr">
        <is>
          <t>CONTRATOS 21 FEBRERO 2024.pdf</t>
        </is>
      </c>
      <c r="B558">
        <f>HYPERLINK("C:\Users\lmonroy\Tema\contrato\CONTRATOS 21 FEBRERO 2024.pdf", "Link")</f>
        <v/>
      </c>
      <c r="C558" t="n">
        <v>286403</v>
      </c>
      <c r="D558" t="inlineStr">
        <is>
          <t>2024-02-21 08:48:02</t>
        </is>
      </c>
      <c r="E558" t="inlineStr">
        <is>
          <t>2024-02-21 08:47:46</t>
        </is>
      </c>
      <c r="F558" t="inlineStr">
        <is>
          <t>666</t>
        </is>
      </c>
    </row>
    <row r="559">
      <c r="A559" t="inlineStr">
        <is>
          <t>Contratos 22-01-2024 - ADICIONAL.pdf</t>
        </is>
      </c>
      <c r="B559">
        <f>HYPERLINK("C:\Users\lmonroy\Tema\contrato\Contratos 22-01-2024 - ADICIONAL.pdf", "Link")</f>
        <v/>
      </c>
      <c r="C559" t="n">
        <v>286506</v>
      </c>
      <c r="D559" t="inlineStr">
        <is>
          <t>2024-01-22 17:15:09</t>
        </is>
      </c>
      <c r="E559" t="inlineStr">
        <is>
          <t>2024-01-22 17:15:07</t>
        </is>
      </c>
      <c r="F559" t="inlineStr">
        <is>
          <t>666</t>
        </is>
      </c>
    </row>
    <row r="560">
      <c r="A560" t="inlineStr">
        <is>
          <t>Contratos 22-01-2024.pdf</t>
        </is>
      </c>
      <c r="B560">
        <f>HYPERLINK("C:\Users\lmonroy\Tema\contrato\Contratos 22-01-2024.pdf", "Link")</f>
        <v/>
      </c>
      <c r="C560" t="n">
        <v>345584</v>
      </c>
      <c r="D560" t="inlineStr">
        <is>
          <t>2024-01-22 12:46:37</t>
        </is>
      </c>
      <c r="E560" t="inlineStr">
        <is>
          <t>2024-01-22 12:46:35</t>
        </is>
      </c>
      <c r="F560" t="inlineStr">
        <is>
          <t>666</t>
        </is>
      </c>
    </row>
    <row r="561">
      <c r="A561" t="inlineStr">
        <is>
          <t>CONTRATOS 26 FEBRERO 2024 - INUMA ARAHUATA MANUEL.pdf</t>
        </is>
      </c>
      <c r="B561">
        <f>HYPERLINK("C:\Users\lmonroy\Tema\contrato\CONTRATOS 26 FEBRERO 2024 - INUMA ARAHUATA MANUEL.pdf", "Link")</f>
        <v/>
      </c>
      <c r="C561" t="n">
        <v>286456</v>
      </c>
      <c r="D561" t="inlineStr">
        <is>
          <t>2024-02-26 11:43:43</t>
        </is>
      </c>
      <c r="E561" t="inlineStr">
        <is>
          <t>2024-02-26 11:43:42</t>
        </is>
      </c>
      <c r="F561" t="inlineStr">
        <is>
          <t>666</t>
        </is>
      </c>
    </row>
    <row r="562">
      <c r="A562" t="inlineStr">
        <is>
          <t>CONTRATOS 26 FEBRERO 2024.pdf</t>
        </is>
      </c>
      <c r="B562">
        <f>HYPERLINK("C:\Users\lmonroy\Tema\contrato\CONTRATOS 26 FEBRERO 2024.pdf", "Link")</f>
        <v/>
      </c>
      <c r="C562" t="n">
        <v>492605</v>
      </c>
      <c r="D562" t="inlineStr">
        <is>
          <t>2024-02-26 11:33:53</t>
        </is>
      </c>
      <c r="E562" t="inlineStr">
        <is>
          <t>2024-02-26 10:33:51</t>
        </is>
      </c>
      <c r="F562" t="inlineStr">
        <is>
          <t>666</t>
        </is>
      </c>
    </row>
    <row r="563">
      <c r="A563" t="inlineStr">
        <is>
          <t>Contratos 41 trabajadores - altas primera semana diciembre.pdf</t>
        </is>
      </c>
      <c r="B563">
        <f>HYPERLINK("C:\Users\lmonroy\Tema\contrato\Contratos 41 trabajadores - altas primera semana diciembre.pdf", "Link")</f>
        <v/>
      </c>
      <c r="C563" t="n">
        <v>879307</v>
      </c>
      <c r="D563" t="inlineStr">
        <is>
          <t>2023-12-16 13:41:22</t>
        </is>
      </c>
      <c r="E563" t="inlineStr">
        <is>
          <t>2023-12-16 13:30:43</t>
        </is>
      </c>
      <c r="F563" t="inlineStr">
        <is>
          <t>666</t>
        </is>
      </c>
    </row>
    <row r="564">
      <c r="A564" t="inlineStr">
        <is>
          <t>CONTRATOS AL 18 FEBRERO 2024.pdf</t>
        </is>
      </c>
      <c r="B564">
        <f>HYPERLINK("C:\Users\lmonroy\Tema\contrato\CONTRATOS AL 18 FEBRERO 2024.pdf", "Link")</f>
        <v/>
      </c>
      <c r="C564" t="n">
        <v>712966</v>
      </c>
      <c r="D564" t="inlineStr">
        <is>
          <t>2024-02-06 17:57:59</t>
        </is>
      </c>
      <c r="E564" t="inlineStr">
        <is>
          <t>2024-02-06 17:57:47</t>
        </is>
      </c>
      <c r="F564" t="inlineStr">
        <is>
          <t>666</t>
        </is>
      </c>
    </row>
    <row r="565">
      <c r="A565" t="inlineStr">
        <is>
          <t>CONTRATOS CCNN 26-01-2024.pdf</t>
        </is>
      </c>
      <c r="B565">
        <f>HYPERLINK("C:\Users\lmonroy\Tema\contrato\CONTRATOS CCNN 26-01-2024.pdf", "Link")</f>
        <v/>
      </c>
      <c r="C565" t="n">
        <v>302253</v>
      </c>
      <c r="D565" t="inlineStr">
        <is>
          <t>2024-01-26 16:58:20</t>
        </is>
      </c>
      <c r="E565" t="inlineStr">
        <is>
          <t>2024-01-26 16:58:17</t>
        </is>
      </c>
      <c r="F565" t="inlineStr">
        <is>
          <t>666</t>
        </is>
      </c>
    </row>
    <row r="566">
      <c r="A566" t="inlineStr">
        <is>
          <t>CONTRATOS CCNN 29-01-2024.pdf</t>
        </is>
      </c>
      <c r="B566">
        <f>HYPERLINK("C:\Users\lmonroy\Tema\contrato\CONTRATOS CCNN 29-01-2024.pdf", "Link")</f>
        <v/>
      </c>
      <c r="C566" t="n">
        <v>286162</v>
      </c>
      <c r="D566" t="inlineStr">
        <is>
          <t>2024-01-29 13:41:09</t>
        </is>
      </c>
      <c r="E566" t="inlineStr">
        <is>
          <t>2024-01-29 13:41:07</t>
        </is>
      </c>
      <c r="F566" t="inlineStr">
        <is>
          <t>666</t>
        </is>
      </c>
    </row>
    <row r="567">
      <c r="A567" t="inlineStr">
        <is>
          <t>Contratos Comunidades.pdf</t>
        </is>
      </c>
      <c r="B567">
        <f>HYPERLINK("C:\Users\lmonroy\Tema\contrato\Contratos Comunidades.pdf", "Link")</f>
        <v/>
      </c>
      <c r="C567" t="n">
        <v>6125461</v>
      </c>
      <c r="D567" t="inlineStr">
        <is>
          <t>2023-12-07 13:49:17</t>
        </is>
      </c>
      <c r="E567" t="inlineStr">
        <is>
          <t>2023-12-06 18:11:11</t>
        </is>
      </c>
      <c r="F567" t="inlineStr">
        <is>
          <t>666</t>
        </is>
      </c>
    </row>
    <row r="568">
      <c r="A568" t="inlineStr">
        <is>
          <t>CONTRATOS MARZO 2024.pdf</t>
        </is>
      </c>
      <c r="B568">
        <f>HYPERLINK("C:\Users\lmonroy\Tema\contrato\CONTRATOS MARZO 2024.pdf", "Link")</f>
        <v/>
      </c>
      <c r="C568" t="n">
        <v>7447758</v>
      </c>
      <c r="D568" t="inlineStr">
        <is>
          <t>2024-02-29 10:27:39</t>
        </is>
      </c>
      <c r="E568" t="inlineStr">
        <is>
          <t>2024-02-29 10:24:19</t>
        </is>
      </c>
      <c r="F568" t="inlineStr">
        <is>
          <t>666</t>
        </is>
      </c>
    </row>
    <row r="569">
      <c r="A569" t="inlineStr">
        <is>
          <t>CONTRATOS.xlsm</t>
        </is>
      </c>
      <c r="B569">
        <f>HYPERLINK("C:\Users\lmonroy\Tema\contrato\CONTRATOS.xlsm", "Link")</f>
        <v/>
      </c>
      <c r="C569" t="n">
        <v>240239</v>
      </c>
      <c r="D569" t="inlineStr">
        <is>
          <t>2023-11-27 17:40:44</t>
        </is>
      </c>
      <c r="E569" t="inlineStr">
        <is>
          <t>2023-11-27 16:45:04</t>
        </is>
      </c>
      <c r="F569" t="inlineStr">
        <is>
          <t>666</t>
        </is>
      </c>
    </row>
    <row r="570">
      <c r="A570" t="inlineStr">
        <is>
          <t>RENOVACIÓN CONTRATOS CCNN FEBRERO 2024.pdf</t>
        </is>
      </c>
      <c r="B570">
        <f>HYPERLINK("C:\Users\lmonroy\Tema\contrato\RENOVACIÓN CONTRATOS CCNN FEBRERO 2024.pdf", "Link")</f>
        <v/>
      </c>
      <c r="C570" t="n">
        <v>7417605</v>
      </c>
      <c r="D570" t="inlineStr">
        <is>
          <t>2024-01-29 19:01:19</t>
        </is>
      </c>
      <c r="E570" t="inlineStr">
        <is>
          <t>2024-01-29 18:57:12</t>
        </is>
      </c>
      <c r="F570" t="inlineStr">
        <is>
          <t>666</t>
        </is>
      </c>
    </row>
    <row r="571">
      <c r="A571" t="inlineStr">
        <is>
          <t>Renovación de Contratos Enero 2024.pdf</t>
        </is>
      </c>
      <c r="B571">
        <f>HYPERLINK("C:\Users\lmonroy\Tema\contrato\Renovación de Contratos Enero 2024.pdf", "Link")</f>
        <v/>
      </c>
      <c r="C571" t="n">
        <v>5458761</v>
      </c>
      <c r="D571" t="inlineStr">
        <is>
          <t>2024-01-09 14:20:22</t>
        </is>
      </c>
      <c r="E571" t="inlineStr">
        <is>
          <t>2024-01-03 21:10:56</t>
        </is>
      </c>
      <c r="F571" t="inlineStr">
        <is>
          <t>666</t>
        </is>
      </c>
    </row>
    <row r="572">
      <c r="A572" t="inlineStr">
        <is>
          <t>~$NTRATO.docx</t>
        </is>
      </c>
      <c r="B572">
        <f>HYPERLINK("C:\Users\lmonroy\Tema\contrato\~$NTRATO.docx", "Link")</f>
        <v/>
      </c>
      <c r="C572" t="n">
        <v>162</v>
      </c>
      <c r="D572" t="inlineStr">
        <is>
          <t>2024-03-07 08:05:40</t>
        </is>
      </c>
      <c r="E572" t="inlineStr">
        <is>
          <t>2024-03-07 08:05:40</t>
        </is>
      </c>
      <c r="F572" t="inlineStr">
        <is>
          <t>666</t>
        </is>
      </c>
    </row>
    <row r="573">
      <c r="A573" t="inlineStr">
        <is>
          <t>CCNN BELLAVISTA.pdf</t>
        </is>
      </c>
      <c r="B573">
        <f>HYPERLINK("C:\Users\lmonroy\Tema\CONTROL\CCNN BELLAVISTA.pdf", "Link")</f>
        <v/>
      </c>
      <c r="C573" t="n">
        <v>76346</v>
      </c>
      <c r="D573" t="inlineStr">
        <is>
          <t>2023-11-28 00:06:48</t>
        </is>
      </c>
      <c r="E573" t="inlineStr">
        <is>
          <t>2023-11-28 00:06:48</t>
        </is>
      </c>
      <c r="F573" t="inlineStr">
        <is>
          <t>666</t>
        </is>
      </c>
    </row>
    <row r="574">
      <c r="A574" t="inlineStr">
        <is>
          <t>CCNN NUEVA ALIANZA.pdf</t>
        </is>
      </c>
      <c r="B574">
        <f>HYPERLINK("C:\Users\lmonroy\Tema\CONTROL\CCNN NUEVA ALIANZA.pdf", "Link")</f>
        <v/>
      </c>
      <c r="C574" t="n">
        <v>91973</v>
      </c>
      <c r="D574" t="inlineStr">
        <is>
          <t>2023-11-28 01:31:42</t>
        </is>
      </c>
      <c r="E574" t="inlineStr">
        <is>
          <t>2023-11-28 01:31:42</t>
        </is>
      </c>
      <c r="F574" t="inlineStr">
        <is>
          <t>666</t>
        </is>
      </c>
    </row>
    <row r="575">
      <c r="A575" t="inlineStr">
        <is>
          <t>CCNN NUEVA BELLAVISTA.pdf</t>
        </is>
      </c>
      <c r="B575">
        <f>HYPERLINK("C:\Users\lmonroy\Tema\CONTROL\CCNN NUEVA BELLAVISTA.pdf", "Link")</f>
        <v/>
      </c>
      <c r="C575" t="n">
        <v>88184</v>
      </c>
      <c r="D575" t="inlineStr">
        <is>
          <t>2023-11-28 00:10:42</t>
        </is>
      </c>
      <c r="E575" t="inlineStr">
        <is>
          <t>2023-11-28 00:10:42</t>
        </is>
      </c>
      <c r="F575" t="inlineStr">
        <is>
          <t>666</t>
        </is>
      </c>
    </row>
    <row r="576">
      <c r="A576" t="inlineStr">
        <is>
          <t>CCNN NUEVA UNION.pdf</t>
        </is>
      </c>
      <c r="B576">
        <f>HYPERLINK("C:\Users\lmonroy\Tema\CONTROL\CCNN NUEVA UNION.pdf", "Link")</f>
        <v/>
      </c>
      <c r="C576" t="n">
        <v>84767</v>
      </c>
      <c r="D576" t="inlineStr">
        <is>
          <t>2023-11-28 00:11:06</t>
        </is>
      </c>
      <c r="E576" t="inlineStr">
        <is>
          <t>2023-11-28 00:11:06</t>
        </is>
      </c>
      <c r="F576" t="inlineStr">
        <is>
          <t>666</t>
        </is>
      </c>
    </row>
    <row r="577">
      <c r="A577" t="inlineStr">
        <is>
          <t>CCNN NUEVO PERÚ.pdf</t>
        </is>
      </c>
      <c r="B577">
        <f>HYPERLINK("C:\Users\lmonroy\Tema\CONTROL\CCNN NUEVO PERÚ.pdf", "Link")</f>
        <v/>
      </c>
      <c r="C577" t="n">
        <v>85742</v>
      </c>
      <c r="D577" t="inlineStr">
        <is>
          <t>2023-11-28 00:11:45</t>
        </is>
      </c>
      <c r="E577" t="inlineStr">
        <is>
          <t>2023-11-28 00:11:45</t>
        </is>
      </c>
      <c r="F577" t="inlineStr">
        <is>
          <t>666</t>
        </is>
      </c>
    </row>
    <row r="578">
      <c r="A578" t="inlineStr">
        <is>
          <t>CCNN NUEVO PROGRESO.pdf</t>
        </is>
      </c>
      <c r="B578">
        <f>HYPERLINK("C:\Users\lmonroy\Tema\CONTROL\CCNN NUEVO PROGRESO.pdf", "Link")</f>
        <v/>
      </c>
      <c r="C578" t="n">
        <v>0</v>
      </c>
      <c r="D578" t="inlineStr">
        <is>
          <t>2023-11-28 02:41:19</t>
        </is>
      </c>
      <c r="E578" t="inlineStr">
        <is>
          <t>2023-11-28 00:12:12</t>
        </is>
      </c>
      <c r="F578" t="inlineStr">
        <is>
          <t>666</t>
        </is>
      </c>
    </row>
    <row r="579">
      <c r="A579" t="inlineStr">
        <is>
          <t>CCNN PETROLERA.pdf</t>
        </is>
      </c>
      <c r="B579">
        <f>HYPERLINK("C:\Users\lmonroy\Tema\CONTROL\CCNN PETROLERA.pdf", "Link")</f>
        <v/>
      </c>
      <c r="C579" t="n">
        <v>86415</v>
      </c>
      <c r="D579" t="inlineStr">
        <is>
          <t>2023-11-28 00:13:39</t>
        </is>
      </c>
      <c r="E579" t="inlineStr">
        <is>
          <t>2023-11-28 00:13:39</t>
        </is>
      </c>
      <c r="F579" t="inlineStr">
        <is>
          <t>666</t>
        </is>
      </c>
    </row>
    <row r="580">
      <c r="A580" t="inlineStr">
        <is>
          <t>CCNN SAN JUAN.pdf</t>
        </is>
      </c>
      <c r="B580">
        <f>HYPERLINK("C:\Users\lmonroy\Tema\CONTROL\CCNN SAN JUAN.pdf", "Link")</f>
        <v/>
      </c>
      <c r="C580" t="n">
        <v>84545</v>
      </c>
      <c r="D580" t="inlineStr">
        <is>
          <t>2023-11-28 00:14:01</t>
        </is>
      </c>
      <c r="E580" t="inlineStr">
        <is>
          <t>2023-11-28 00:14:01</t>
        </is>
      </c>
      <c r="F580" t="inlineStr">
        <is>
          <t>666</t>
        </is>
      </c>
    </row>
    <row r="581">
      <c r="A581" t="inlineStr">
        <is>
          <t>CCNN SANTA ROSA.pdf</t>
        </is>
      </c>
      <c r="B581">
        <f>HYPERLINK("C:\Users\lmonroy\Tema\CONTROL\CCNN SANTA ROSA.pdf", "Link")</f>
        <v/>
      </c>
      <c r="C581" t="n">
        <v>86670</v>
      </c>
      <c r="D581" t="inlineStr">
        <is>
          <t>2023-11-28 00:14:25</t>
        </is>
      </c>
      <c r="E581" t="inlineStr">
        <is>
          <t>2023-11-28 00:14:25</t>
        </is>
      </c>
      <c r="F581" t="inlineStr">
        <is>
          <t>666</t>
        </is>
      </c>
    </row>
    <row r="582">
      <c r="A582" t="inlineStr">
        <is>
          <t>CCNN SANTA TERESA.pdf</t>
        </is>
      </c>
      <c r="B582">
        <f>HYPERLINK("C:\Users\lmonroy\Tema\CONTROL\CCNN SANTA TERESA.pdf", "Link")</f>
        <v/>
      </c>
      <c r="C582" t="n">
        <v>94036</v>
      </c>
      <c r="D582" t="inlineStr">
        <is>
          <t>2023-11-28 00:14:55</t>
        </is>
      </c>
      <c r="E582" t="inlineStr">
        <is>
          <t>2023-11-28 00:14:55</t>
        </is>
      </c>
      <c r="F582" t="inlineStr">
        <is>
          <t>666</t>
        </is>
      </c>
    </row>
    <row r="583">
      <c r="A583" t="inlineStr">
        <is>
          <t>IQUITOS.pdf</t>
        </is>
      </c>
      <c r="B583">
        <f>HYPERLINK("C:\Users\lmonroy\Tema\CONTROL\IQUITOS.pdf", "Link")</f>
        <v/>
      </c>
      <c r="C583" t="n">
        <v>77199</v>
      </c>
      <c r="D583" t="inlineStr">
        <is>
          <t>2023-11-28 01:37:48</t>
        </is>
      </c>
      <c r="E583" t="inlineStr">
        <is>
          <t>2023-11-28 01:37:48</t>
        </is>
      </c>
      <c r="F583" t="inlineStr">
        <is>
          <t>666</t>
        </is>
      </c>
    </row>
    <row r="584">
      <c r="A584" t="inlineStr">
        <is>
          <t>LIMA.pdf</t>
        </is>
      </c>
      <c r="B584">
        <f>HYPERLINK("C:\Users\lmonroy\Tema\CONTROL\LIMA.pdf", "Link")</f>
        <v/>
      </c>
      <c r="C584" t="n">
        <v>75421</v>
      </c>
      <c r="D584" t="inlineStr">
        <is>
          <t>2023-11-28 01:32:24</t>
        </is>
      </c>
      <c r="E584" t="inlineStr">
        <is>
          <t>2023-11-28 01:32:24</t>
        </is>
      </c>
      <c r="F584" t="inlineStr">
        <is>
          <t>666</t>
        </is>
      </c>
    </row>
    <row r="585">
      <c r="A585" t="inlineStr">
        <is>
          <t>SARAMURO.pdf</t>
        </is>
      </c>
      <c r="B585">
        <f>HYPERLINK("C:\Users\lmonroy\Tema\CONTROL\SARAMURO.pdf", "Link")</f>
        <v/>
      </c>
      <c r="C585" t="n">
        <v>75674</v>
      </c>
      <c r="D585" t="inlineStr">
        <is>
          <t>2023-11-28 01:33:13</t>
        </is>
      </c>
      <c r="E585" t="inlineStr">
        <is>
          <t>2023-11-28 01:33:13</t>
        </is>
      </c>
      <c r="F585" t="inlineStr">
        <is>
          <t>666</t>
        </is>
      </c>
    </row>
    <row r="586">
      <c r="A586" t="inlineStr">
        <is>
          <t>SIN DATO.pdf</t>
        </is>
      </c>
      <c r="B586">
        <f>HYPERLINK("C:\Users\lmonroy\Tema\CONTROL\SIN DATO.pdf", "Link")</f>
        <v/>
      </c>
      <c r="C586" t="n">
        <v>76290</v>
      </c>
      <c r="D586" t="inlineStr">
        <is>
          <t>2023-11-28 00:16:42</t>
        </is>
      </c>
      <c r="E586" t="inlineStr">
        <is>
          <t>2023-11-28 00:16:42</t>
        </is>
      </c>
      <c r="F586" t="inlineStr">
        <is>
          <t>666</t>
        </is>
      </c>
    </row>
    <row r="587">
      <c r="A587" t="inlineStr">
        <is>
          <t>ABARCA CHAVEZ GREGORIO ALFREDO.pdf</t>
        </is>
      </c>
      <c r="B587">
        <f>HYPERLINK("C:\Users\lmonroy\Tema\ENERO\ALTAS\OTROS PROYECTOS\ABARCA CHAVEZ GREGORIO ALFREDO.pdf", "Link")</f>
        <v/>
      </c>
      <c r="C587" t="n">
        <v>14099</v>
      </c>
      <c r="D587" t="inlineStr">
        <is>
          <t>2024-01-02 14:43:10</t>
        </is>
      </c>
      <c r="E587" t="inlineStr">
        <is>
          <t>2024-01-30 11:00:52</t>
        </is>
      </c>
      <c r="F587" t="inlineStr">
        <is>
          <t>666</t>
        </is>
      </c>
    </row>
    <row r="588">
      <c r="A588" t="inlineStr">
        <is>
          <t>ACUÑA MENACHO BRYAN LEONEL.pdf</t>
        </is>
      </c>
      <c r="B588">
        <f>HYPERLINK("C:\Users\lmonroy\Tema\ENERO\ALTAS\OTROS PROYECTOS\ACUÑA MENACHO BRYAN LEONEL.pdf", "Link")</f>
        <v/>
      </c>
      <c r="C588" t="n">
        <v>15200</v>
      </c>
      <c r="D588" t="inlineStr">
        <is>
          <t>2024-01-02 17:00:13</t>
        </is>
      </c>
      <c r="E588" t="inlineStr">
        <is>
          <t>2024-01-30 11:02:42</t>
        </is>
      </c>
      <c r="F588" t="inlineStr">
        <is>
          <t>666</t>
        </is>
      </c>
    </row>
    <row r="589">
      <c r="A589" t="inlineStr">
        <is>
          <t>ALVA VELA RODRIGO ALEXANDER.pdf</t>
        </is>
      </c>
      <c r="B589">
        <f>HYPERLINK("C:\Users\lmonroy\Tema\ENERO\ALTAS\OTROS PROYECTOS\ALVA VELA RODRIGO ALEXANDER.pdf", "Link")</f>
        <v/>
      </c>
      <c r="C589" t="n">
        <v>14153</v>
      </c>
      <c r="D589" t="inlineStr">
        <is>
          <t>2024-01-03 16:22:16</t>
        </is>
      </c>
      <c r="E589" t="inlineStr">
        <is>
          <t>2024-01-30 10:59:53</t>
        </is>
      </c>
      <c r="F589" t="inlineStr">
        <is>
          <t>666</t>
        </is>
      </c>
    </row>
    <row r="590">
      <c r="A590" t="inlineStr">
        <is>
          <t>AREVALO ROMERO EVERT.pdf</t>
        </is>
      </c>
      <c r="B590">
        <f>HYPERLINK("C:\Users\lmonroy\Tema\ENERO\ALTAS\OTROS PROYECTOS\AREVALO ROMERO EVERT.pdf", "Link")</f>
        <v/>
      </c>
      <c r="C590" t="n">
        <v>14077</v>
      </c>
      <c r="D590" t="inlineStr">
        <is>
          <t>2024-01-02 13:16:07</t>
        </is>
      </c>
      <c r="E590" t="inlineStr">
        <is>
          <t>2024-01-30 11:01:57</t>
        </is>
      </c>
      <c r="F590" t="inlineStr">
        <is>
          <t>666</t>
        </is>
      </c>
    </row>
    <row r="591">
      <c r="A591" t="inlineStr">
        <is>
          <t>BARRA MEZA STEVEN SERGIO.pdf</t>
        </is>
      </c>
      <c r="B591">
        <f>HYPERLINK("C:\Users\lmonroy\Tema\ENERO\ALTAS\OTROS PROYECTOS\BARRA MEZA STEVEN SERGIO.pdf", "Link")</f>
        <v/>
      </c>
      <c r="C591" t="n">
        <v>14123</v>
      </c>
      <c r="D591" t="inlineStr">
        <is>
          <t>2024-01-02 17:47:27</t>
        </is>
      </c>
      <c r="E591" t="inlineStr">
        <is>
          <t>2024-01-30 11:02:42</t>
        </is>
      </c>
      <c r="F591" t="inlineStr">
        <is>
          <t>666</t>
        </is>
      </c>
    </row>
    <row r="592">
      <c r="A592" t="inlineStr">
        <is>
          <t>BARRIENTOS FLORES SAUL ROBERTO.pdf</t>
        </is>
      </c>
      <c r="B592">
        <f>HYPERLINK("C:\Users\lmonroy\Tema\ENERO\ALTAS\OTROS PROYECTOS\BARRIENTOS FLORES SAUL ROBERTO.pdf", "Link")</f>
        <v/>
      </c>
      <c r="C592" t="n">
        <v>14158</v>
      </c>
      <c r="D592" t="inlineStr">
        <is>
          <t>2024-01-02 14:40:36</t>
        </is>
      </c>
      <c r="E592" t="inlineStr">
        <is>
          <t>2024-01-30 11:00:52</t>
        </is>
      </c>
      <c r="F592" t="inlineStr">
        <is>
          <t>666</t>
        </is>
      </c>
    </row>
    <row r="593">
      <c r="A593" t="inlineStr">
        <is>
          <t>BARRIOS SALAZAR FRANCO ZABDY.pdf</t>
        </is>
      </c>
      <c r="B593">
        <f>HYPERLINK("C:\Users\lmonroy\Tema\ENERO\ALTAS\OTROS PROYECTOS\BARRIOS SALAZAR FRANCO ZABDY.pdf", "Link")</f>
        <v/>
      </c>
      <c r="C593" t="n">
        <v>14562</v>
      </c>
      <c r="D593" t="inlineStr">
        <is>
          <t>2024-01-02 17:19:22</t>
        </is>
      </c>
      <c r="E593" t="inlineStr">
        <is>
          <t>2024-01-30 11:02:42</t>
        </is>
      </c>
      <c r="F593" t="inlineStr">
        <is>
          <t>666</t>
        </is>
      </c>
    </row>
    <row r="594">
      <c r="A594" t="inlineStr">
        <is>
          <t>BAZAN MATEO MICHAEL ERICSON.pdf</t>
        </is>
      </c>
      <c r="B594">
        <f>HYPERLINK("C:\Users\lmonroy\Tema\ENERO\ALTAS\OTROS PROYECTOS\BAZAN MATEO MICHAEL ERICSON.pdf", "Link")</f>
        <v/>
      </c>
      <c r="C594" t="n">
        <v>21240</v>
      </c>
      <c r="D594" t="inlineStr">
        <is>
          <t>2024-01-03 16:52:06</t>
        </is>
      </c>
      <c r="E594" t="inlineStr">
        <is>
          <t>2024-01-30 11:03:13</t>
        </is>
      </c>
      <c r="F594" t="inlineStr">
        <is>
          <t>666</t>
        </is>
      </c>
    </row>
    <row r="595">
      <c r="A595" t="inlineStr">
        <is>
          <t>BERMUDEZ NAPAN JUAN LUIS.pdf</t>
        </is>
      </c>
      <c r="B595">
        <f>HYPERLINK("C:\Users\lmonroy\Tema\ENERO\ALTAS\OTROS PROYECTOS\BERMUDEZ NAPAN JUAN LUIS.pdf", "Link")</f>
        <v/>
      </c>
      <c r="C595" t="n">
        <v>15465</v>
      </c>
      <c r="D595" t="inlineStr">
        <is>
          <t>2024-01-02 16:27:09</t>
        </is>
      </c>
      <c r="E595" t="inlineStr">
        <is>
          <t>2024-01-30 11:00:30</t>
        </is>
      </c>
      <c r="F595" t="inlineStr">
        <is>
          <t>666</t>
        </is>
      </c>
    </row>
    <row r="596">
      <c r="A596" t="inlineStr">
        <is>
          <t>BRAVO TOCAS CRISTIAN YOVIGILDO.pdf</t>
        </is>
      </c>
      <c r="B596">
        <f>HYPERLINK("C:\Users\lmonroy\Tema\ENERO\ALTAS\OTROS PROYECTOS\BRAVO TOCAS CRISTIAN YOVIGILDO.pdf", "Link")</f>
        <v/>
      </c>
      <c r="C596" t="n">
        <v>14161</v>
      </c>
      <c r="D596" t="inlineStr">
        <is>
          <t>2024-01-02 19:52:53</t>
        </is>
      </c>
      <c r="E596" t="inlineStr">
        <is>
          <t>2024-01-30 10:52:36</t>
        </is>
      </c>
      <c r="F596" t="inlineStr">
        <is>
          <t>666</t>
        </is>
      </c>
    </row>
    <row r="597">
      <c r="A597" t="inlineStr">
        <is>
          <t>BURGOS LOPEZ CRISTHIAN JORDY.pdf</t>
        </is>
      </c>
      <c r="B597">
        <f>HYPERLINK("C:\Users\lmonroy\Tema\ENERO\ALTAS\OTROS PROYECTOS\BURGOS LOPEZ CRISTHIAN JORDY.pdf", "Link")</f>
        <v/>
      </c>
      <c r="C597" t="n">
        <v>14142</v>
      </c>
      <c r="D597" t="inlineStr">
        <is>
          <t>2024-01-30 10:46:03</t>
        </is>
      </c>
      <c r="E597" t="inlineStr">
        <is>
          <t>2024-01-30 11:02:42</t>
        </is>
      </c>
      <c r="F597" t="inlineStr">
        <is>
          <t>666</t>
        </is>
      </c>
    </row>
    <row r="598">
      <c r="A598" t="inlineStr">
        <is>
          <t>CACERES TORRES KEYTEL FRANCELL.pdf</t>
        </is>
      </c>
      <c r="B598">
        <f>HYPERLINK("C:\Users\lmonroy\Tema\ENERO\ALTAS\OTROS PROYECTOS\CACERES TORRES KEYTEL FRANCELL.pdf", "Link")</f>
        <v/>
      </c>
      <c r="C598" t="n">
        <v>14806</v>
      </c>
      <c r="D598" t="inlineStr">
        <is>
          <t>2024-01-30 10:47:57</t>
        </is>
      </c>
      <c r="E598" t="inlineStr">
        <is>
          <t>2024-01-30 10:47:56</t>
        </is>
      </c>
      <c r="F598" t="inlineStr">
        <is>
          <t>666</t>
        </is>
      </c>
    </row>
    <row r="599">
      <c r="A599" t="inlineStr">
        <is>
          <t>CALDERON DE LA BARCA HUAIGUA ALESSANDRA FIORELLA.pdf</t>
        </is>
      </c>
      <c r="B599">
        <f>HYPERLINK("C:\Users\lmonroy\Tema\ENERO\ALTAS\OTROS PROYECTOS\CALDERON DE LA BARCA HUAIGUA ALESSANDRA FIORELLA.pdf", "Link")</f>
        <v/>
      </c>
      <c r="C599" t="n">
        <v>14581</v>
      </c>
      <c r="D599" t="inlineStr">
        <is>
          <t>2024-01-02 14:30:01</t>
        </is>
      </c>
      <c r="E599" t="inlineStr">
        <is>
          <t>2024-01-30 11:00:52</t>
        </is>
      </c>
      <c r="F599" t="inlineStr">
        <is>
          <t>666</t>
        </is>
      </c>
    </row>
    <row r="600">
      <c r="A600" t="inlineStr">
        <is>
          <t>CARDENAS GARCIA JORGE JEFFREY.pdf</t>
        </is>
      </c>
      <c r="B600">
        <f>HYPERLINK("C:\Users\lmonroy\Tema\ENERO\ALTAS\OTROS PROYECTOS\CARDENAS GARCIA JORGE JEFFREY.pdf", "Link")</f>
        <v/>
      </c>
      <c r="C600" t="n">
        <v>15196</v>
      </c>
      <c r="D600" t="inlineStr">
        <is>
          <t>2024-01-30 10:45:54</t>
        </is>
      </c>
      <c r="E600" t="inlineStr">
        <is>
          <t>2024-01-30 10:45:53</t>
        </is>
      </c>
      <c r="F600" t="inlineStr">
        <is>
          <t>666</t>
        </is>
      </c>
    </row>
    <row r="601">
      <c r="A601" t="inlineStr">
        <is>
          <t>CARI REYES MARTIN SEBASTIAN.pdf</t>
        </is>
      </c>
      <c r="B601">
        <f>HYPERLINK("C:\Users\lmonroy\Tema\ENERO\ALTAS\OTROS PROYECTOS\CARI REYES MARTIN SEBASTIAN.pdf", "Link")</f>
        <v/>
      </c>
      <c r="C601" t="n">
        <v>14150</v>
      </c>
      <c r="D601" t="inlineStr">
        <is>
          <t>2024-01-30 10:45:41</t>
        </is>
      </c>
      <c r="E601" t="inlineStr">
        <is>
          <t>2024-01-30 10:45:41</t>
        </is>
      </c>
      <c r="F601" t="inlineStr">
        <is>
          <t>666</t>
        </is>
      </c>
    </row>
    <row r="602">
      <c r="A602" t="inlineStr">
        <is>
          <t>CARRILLO ZAPATA CARLOS EDUARDO.pdf</t>
        </is>
      </c>
      <c r="B602">
        <f>HYPERLINK("C:\Users\lmonroy\Tema\ENERO\ALTAS\OTROS PROYECTOS\CARRILLO ZAPATA CARLOS EDUARDO.pdf", "Link")</f>
        <v/>
      </c>
      <c r="C602" t="n">
        <v>14101</v>
      </c>
      <c r="D602" t="inlineStr">
        <is>
          <t>2024-01-02 12:37:11</t>
        </is>
      </c>
      <c r="E602" t="inlineStr">
        <is>
          <t>2024-01-30 10:59:20</t>
        </is>
      </c>
      <c r="F602" t="inlineStr">
        <is>
          <t>666</t>
        </is>
      </c>
    </row>
    <row r="603">
      <c r="A603" t="inlineStr">
        <is>
          <t>CASTILLO AGUIRRE BRYAN JESUS.pdf</t>
        </is>
      </c>
      <c r="B603">
        <f>HYPERLINK("C:\Users\lmonroy\Tema\ENERO\ALTAS\OTROS PROYECTOS\CASTILLO AGUIRRE BRYAN JESUS.pdf", "Link")</f>
        <v/>
      </c>
      <c r="C603" t="n">
        <v>14507</v>
      </c>
      <c r="D603" t="inlineStr">
        <is>
          <t>2024-01-02 12:20:57</t>
        </is>
      </c>
      <c r="E603" t="inlineStr">
        <is>
          <t>2024-01-30 10:59:20</t>
        </is>
      </c>
      <c r="F603" t="inlineStr">
        <is>
          <t>666</t>
        </is>
      </c>
    </row>
    <row r="604">
      <c r="A604" t="inlineStr">
        <is>
          <t>CAYCHO CARPIO LUIS ANGEL.pdf</t>
        </is>
      </c>
      <c r="B604">
        <f>HYPERLINK("C:\Users\lmonroy\Tema\ENERO\ALTAS\OTROS PROYECTOS\CAYCHO CARPIO LUIS ANGEL.pdf", "Link")</f>
        <v/>
      </c>
      <c r="C604" t="n">
        <v>14112</v>
      </c>
      <c r="D604" t="inlineStr">
        <is>
          <t>2024-01-03 16:38:03</t>
        </is>
      </c>
      <c r="E604" t="inlineStr">
        <is>
          <t>2024-01-30 11:03:13</t>
        </is>
      </c>
      <c r="F604" t="inlineStr">
        <is>
          <t>666</t>
        </is>
      </c>
    </row>
    <row r="605">
      <c r="A605" t="inlineStr">
        <is>
          <t>CCASANI ARROYO NICOLAS MARCELO.pdf</t>
        </is>
      </c>
      <c r="B605">
        <f>HYPERLINK("C:\Users\lmonroy\Tema\ENERO\ALTAS\OTROS PROYECTOS\CCASANI ARROYO NICOLAS MARCELO.pdf", "Link")</f>
        <v/>
      </c>
      <c r="C605" t="n">
        <v>14642</v>
      </c>
      <c r="D605" t="inlineStr">
        <is>
          <t>2024-01-02 14:54:22</t>
        </is>
      </c>
      <c r="E605" t="inlineStr">
        <is>
          <t>2024-01-30 10:59:20</t>
        </is>
      </c>
      <c r="F605" t="inlineStr">
        <is>
          <t>666</t>
        </is>
      </c>
    </row>
    <row r="606">
      <c r="A606" t="inlineStr">
        <is>
          <t>CCASANI ARROYO SEBASTIAN FABRIZIO.pdf</t>
        </is>
      </c>
      <c r="B606">
        <f>HYPERLINK("C:\Users\lmonroy\Tema\ENERO\ALTAS\OTROS PROYECTOS\CCASANI ARROYO SEBASTIAN FABRIZIO.pdf", "Link")</f>
        <v/>
      </c>
      <c r="C606" t="n">
        <v>14577</v>
      </c>
      <c r="D606" t="inlineStr">
        <is>
          <t>2024-01-02 12:31:50</t>
        </is>
      </c>
      <c r="E606" t="inlineStr">
        <is>
          <t>2024-01-30 10:59:20</t>
        </is>
      </c>
      <c r="F606" t="inlineStr">
        <is>
          <t>666</t>
        </is>
      </c>
    </row>
    <row r="607">
      <c r="A607" t="inlineStr">
        <is>
          <t>CHAGRAY PALMA MIREYA MILAGROS STEPHANIE.pdf</t>
        </is>
      </c>
      <c r="B607">
        <f>HYPERLINK("C:\Users\lmonroy\Tema\ENERO\ALTAS\OTROS PROYECTOS\CHAGRAY PALMA MIREYA MILAGROS STEPHANIE.pdf", "Link")</f>
        <v/>
      </c>
      <c r="C607" t="n">
        <v>13894</v>
      </c>
      <c r="D607" t="inlineStr">
        <is>
          <t>2024-01-30 10:49:07</t>
        </is>
      </c>
      <c r="E607" t="inlineStr">
        <is>
          <t>2024-01-30 10:49:06</t>
        </is>
      </c>
      <c r="F607" t="inlineStr">
        <is>
          <t>666</t>
        </is>
      </c>
    </row>
    <row r="608">
      <c r="A608" t="inlineStr">
        <is>
          <t>CHAVEZ HUAPAYA BRIGGITH LYSSETT.pdf</t>
        </is>
      </c>
      <c r="B608">
        <f>HYPERLINK("C:\Users\lmonroy\Tema\ENERO\ALTAS\OTROS PROYECTOS\CHAVEZ HUAPAYA BRIGGITH LYSSETT.pdf", "Link")</f>
        <v/>
      </c>
      <c r="C608" t="n">
        <v>14108</v>
      </c>
      <c r="D608" t="inlineStr">
        <is>
          <t>2024-01-30 10:47:18</t>
        </is>
      </c>
      <c r="E608" t="inlineStr">
        <is>
          <t>2024-01-30 10:47:17</t>
        </is>
      </c>
      <c r="F608" t="inlineStr">
        <is>
          <t>666</t>
        </is>
      </c>
    </row>
    <row r="609">
      <c r="A609" t="inlineStr">
        <is>
          <t>CHAVEZ SALINAS MENNEN FREI.pdf</t>
        </is>
      </c>
      <c r="B609">
        <f>HYPERLINK("C:\Users\lmonroy\Tema\ENERO\ALTAS\OTROS PROYECTOS\CHAVEZ SALINAS MENNEN FREI.pdf", "Link")</f>
        <v/>
      </c>
      <c r="C609" t="n">
        <v>14142</v>
      </c>
      <c r="D609" t="inlineStr">
        <is>
          <t>2024-01-02 13:12:32</t>
        </is>
      </c>
      <c r="E609" t="inlineStr">
        <is>
          <t>2024-01-30 11:01:57</t>
        </is>
      </c>
      <c r="F609" t="inlineStr">
        <is>
          <t>666</t>
        </is>
      </c>
    </row>
    <row r="610">
      <c r="A610" t="inlineStr">
        <is>
          <t>CHERBELLINE SALAS RENATO ANTONIO.pdf</t>
        </is>
      </c>
      <c r="B610">
        <f>HYPERLINK("C:\Users\lmonroy\Tema\ENERO\ALTAS\OTROS PROYECTOS\CHERBELLINE SALAS RENATO ANTONIO.pdf", "Link")</f>
        <v/>
      </c>
      <c r="C610" t="n">
        <v>14089</v>
      </c>
      <c r="D610" t="inlineStr">
        <is>
          <t>2024-01-02 12:43:31</t>
        </is>
      </c>
      <c r="E610" t="inlineStr">
        <is>
          <t>2024-01-30 10:59:20</t>
        </is>
      </c>
      <c r="F610" t="inlineStr">
        <is>
          <t>666</t>
        </is>
      </c>
    </row>
    <row r="611">
      <c r="A611" t="inlineStr">
        <is>
          <t>CHERVELLINI YACTAYO HENRY CRISTOPHER.pdf</t>
        </is>
      </c>
      <c r="B611">
        <f>HYPERLINK("C:\Users\lmonroy\Tema\ENERO\ALTAS\OTROS PROYECTOS\CHERVELLINI YACTAYO HENRY CRISTOPHER.pdf", "Link")</f>
        <v/>
      </c>
      <c r="C611" t="n">
        <v>14577</v>
      </c>
      <c r="D611" t="inlineStr">
        <is>
          <t>2024-01-02 12:45:54</t>
        </is>
      </c>
      <c r="E611" t="inlineStr">
        <is>
          <t>2024-01-30 10:59:20</t>
        </is>
      </c>
      <c r="F611" t="inlineStr">
        <is>
          <t>666</t>
        </is>
      </c>
    </row>
    <row r="612">
      <c r="A612" t="inlineStr">
        <is>
          <t>CHIPANA YAUSIN GERARDO MIGUEL.pdf</t>
        </is>
      </c>
      <c r="B612">
        <f>HYPERLINK("C:\Users\lmonroy\Tema\ENERO\ALTAS\OTROS PROYECTOS\CHIPANA YAUSIN GERARDO MIGUEL.pdf", "Link")</f>
        <v/>
      </c>
      <c r="C612" t="n">
        <v>14856</v>
      </c>
      <c r="D612" t="inlineStr">
        <is>
          <t>2024-01-03 16:35:44</t>
        </is>
      </c>
      <c r="E612" t="inlineStr">
        <is>
          <t>2024-01-30 11:03:13</t>
        </is>
      </c>
      <c r="F612" t="inlineStr">
        <is>
          <t>666</t>
        </is>
      </c>
    </row>
    <row r="613">
      <c r="A613" t="inlineStr">
        <is>
          <t>CHISQUIPAMA YUIMACHI RAY WILLY.pdf</t>
        </is>
      </c>
      <c r="B613">
        <f>HYPERLINK("C:\Users\lmonroy\Tema\ENERO\ALTAS\OTROS PROYECTOS\CHISQUIPAMA YUIMACHI RAY WILLY.pdf", "Link")</f>
        <v/>
      </c>
      <c r="C613" t="n">
        <v>14574</v>
      </c>
      <c r="D613" t="inlineStr">
        <is>
          <t>2024-01-02 12:54:20</t>
        </is>
      </c>
      <c r="E613" t="inlineStr">
        <is>
          <t>2024-01-30 11:01:57</t>
        </is>
      </c>
      <c r="F613" t="inlineStr">
        <is>
          <t>666</t>
        </is>
      </c>
    </row>
    <row r="614">
      <c r="A614" t="inlineStr">
        <is>
          <t>CHU NOGUEIRA ROBIN ADOLFO.pdf</t>
        </is>
      </c>
      <c r="B614">
        <f>HYPERLINK("C:\Users\lmonroy\Tema\ENERO\ALTAS\OTROS PROYECTOS\CHU NOGUEIRA ROBIN ADOLFO.pdf", "Link")</f>
        <v/>
      </c>
      <c r="C614" t="n">
        <v>15816</v>
      </c>
      <c r="D614" t="inlineStr">
        <is>
          <t>2024-01-03 16:54:10</t>
        </is>
      </c>
      <c r="E614" t="inlineStr">
        <is>
          <t>2024-01-30 11:03:13</t>
        </is>
      </c>
      <c r="F614" t="inlineStr">
        <is>
          <t>666</t>
        </is>
      </c>
    </row>
    <row r="615">
      <c r="A615" t="inlineStr">
        <is>
          <t>CHUMBES ZACARIAS NALLELY BEATRIZ.pdf</t>
        </is>
      </c>
      <c r="B615">
        <f>HYPERLINK("C:\Users\lmonroy\Tema\ENERO\ALTAS\OTROS PROYECTOS\CHUMBES ZACARIAS NALLELY BEATRIZ.pdf", "Link")</f>
        <v/>
      </c>
      <c r="C615" t="n">
        <v>14088</v>
      </c>
      <c r="D615" t="inlineStr">
        <is>
          <t>2024-01-02 14:21:12</t>
        </is>
      </c>
      <c r="E615" t="inlineStr">
        <is>
          <t>2024-01-30 11:00:52</t>
        </is>
      </c>
      <c r="F615" t="inlineStr">
        <is>
          <t>666</t>
        </is>
      </c>
    </row>
    <row r="616">
      <c r="A616" t="inlineStr">
        <is>
          <t>COLLANTES SEGOVIA LESLIE EDITH.pdf</t>
        </is>
      </c>
      <c r="B616">
        <f>HYPERLINK("C:\Users\lmonroy\Tema\ENERO\ALTAS\OTROS PROYECTOS\COLLANTES SEGOVIA LESLIE EDITH.pdf", "Link")</f>
        <v/>
      </c>
      <c r="C616" t="n">
        <v>14771</v>
      </c>
      <c r="D616" t="inlineStr">
        <is>
          <t>2024-01-02 14:24:15</t>
        </is>
      </c>
      <c r="E616" t="inlineStr">
        <is>
          <t>2024-01-30 11:00:52</t>
        </is>
      </c>
      <c r="F616" t="inlineStr">
        <is>
          <t>666</t>
        </is>
      </c>
    </row>
    <row r="617">
      <c r="A617" t="inlineStr">
        <is>
          <t>CORONADO REYMUNDO ANGEL GERONIMO.pdf</t>
        </is>
      </c>
      <c r="B617">
        <f>HYPERLINK("C:\Users\lmonroy\Tema\ENERO\ALTAS\OTROS PROYECTOS\CORONADO REYMUNDO ANGEL GERONIMO.pdf", "Link")</f>
        <v/>
      </c>
      <c r="C617" t="n">
        <v>14164</v>
      </c>
      <c r="D617" t="inlineStr">
        <is>
          <t>2024-01-02 17:40:22</t>
        </is>
      </c>
      <c r="E617" t="inlineStr">
        <is>
          <t>2024-01-30 11:02:42</t>
        </is>
      </c>
      <c r="F617" t="inlineStr">
        <is>
          <t>666</t>
        </is>
      </c>
    </row>
    <row r="618">
      <c r="A618" t="inlineStr">
        <is>
          <t>DELGADO TORRES RAI IBRAHIM.pdf</t>
        </is>
      </c>
      <c r="B618">
        <f>HYPERLINK("C:\Users\lmonroy\Tema\ENERO\ALTAS\OTROS PROYECTOS\DELGADO TORRES RAI IBRAHIM.pdf", "Link")</f>
        <v/>
      </c>
      <c r="C618" t="n">
        <v>14535</v>
      </c>
      <c r="D618" t="inlineStr">
        <is>
          <t>2024-01-03 16:42:44</t>
        </is>
      </c>
      <c r="E618" t="inlineStr">
        <is>
          <t>2024-01-30 11:03:13</t>
        </is>
      </c>
      <c r="F618" t="inlineStr">
        <is>
          <t>666</t>
        </is>
      </c>
    </row>
    <row r="619">
      <c r="A619" t="inlineStr">
        <is>
          <t>DIAZ ALEJO DAVID.pdf</t>
        </is>
      </c>
      <c r="B619">
        <f>HYPERLINK("C:\Users\lmonroy\Tema\ENERO\ALTAS\OTROS PROYECTOS\DIAZ ALEJO DAVID.pdf", "Link")</f>
        <v/>
      </c>
      <c r="C619" t="n">
        <v>14130</v>
      </c>
      <c r="D619" t="inlineStr">
        <is>
          <t>2024-01-02 19:39:30</t>
        </is>
      </c>
      <c r="E619" t="inlineStr">
        <is>
          <t>2024-01-30 10:52:36</t>
        </is>
      </c>
      <c r="F619" t="inlineStr">
        <is>
          <t>666</t>
        </is>
      </c>
    </row>
    <row r="620">
      <c r="A620" t="inlineStr">
        <is>
          <t>ESPINOZA GOMEZ ALISON.pdf</t>
        </is>
      </c>
      <c r="B620">
        <f>HYPERLINK("C:\Users\lmonroy\Tema\ENERO\ALTAS\OTROS PROYECTOS\ESPINOZA GOMEZ ALISON.pdf", "Link")</f>
        <v/>
      </c>
      <c r="C620" t="n">
        <v>14808</v>
      </c>
      <c r="D620" t="inlineStr">
        <is>
          <t>2024-01-03 20:54:36</t>
        </is>
      </c>
      <c r="E620" t="inlineStr">
        <is>
          <t>2024-01-30 11:01:25</t>
        </is>
      </c>
      <c r="F620" t="inlineStr">
        <is>
          <t>666</t>
        </is>
      </c>
    </row>
    <row r="621">
      <c r="A621" t="inlineStr">
        <is>
          <t>ESPINOZA RODRIGUEZ ALONSO GABRIEL.pdf</t>
        </is>
      </c>
      <c r="B621">
        <f>HYPERLINK("C:\Users\lmonroy\Tema\ENERO\ALTAS\OTROS PROYECTOS\ESPINOZA RODRIGUEZ ALONSO GABRIEL.pdf", "Link")</f>
        <v/>
      </c>
      <c r="C621" t="n">
        <v>14808</v>
      </c>
      <c r="D621" t="inlineStr">
        <is>
          <t>2024-01-02 16:19:36</t>
        </is>
      </c>
      <c r="E621" t="inlineStr">
        <is>
          <t>2024-01-30 11:00:30</t>
        </is>
      </c>
      <c r="F621" t="inlineStr">
        <is>
          <t>666</t>
        </is>
      </c>
    </row>
    <row r="622">
      <c r="A622" t="inlineStr">
        <is>
          <t>ESPINOZA TORRES VIDAL ISAI.pdf</t>
        </is>
      </c>
      <c r="B622">
        <f>HYPERLINK("C:\Users\lmonroy\Tema\ENERO\ALTAS\OTROS PROYECTOS\ESPINOZA TORRES VIDAL ISAI.pdf", "Link")</f>
        <v/>
      </c>
      <c r="C622" t="n">
        <v>14729</v>
      </c>
      <c r="D622" t="inlineStr">
        <is>
          <t>2024-01-02 14:37:17</t>
        </is>
      </c>
      <c r="E622" t="inlineStr">
        <is>
          <t>2024-01-30 11:00:52</t>
        </is>
      </c>
      <c r="F622" t="inlineStr">
        <is>
          <t>666</t>
        </is>
      </c>
    </row>
    <row r="623">
      <c r="A623" t="inlineStr">
        <is>
          <t>ESTRELLA CONDEZO WILDER JORCH.pdf</t>
        </is>
      </c>
      <c r="B623">
        <f>HYPERLINK("C:\Users\lmonroy\Tema\ENERO\ALTAS\OTROS PROYECTOS\ESTRELLA CONDEZO WILDER JORCH.pdf", "Link")</f>
        <v/>
      </c>
      <c r="C623" t="n">
        <v>14538</v>
      </c>
      <c r="D623" t="inlineStr">
        <is>
          <t>2024-01-02 17:24:18</t>
        </is>
      </c>
      <c r="E623" t="inlineStr">
        <is>
          <t>2024-01-30 11:02:42</t>
        </is>
      </c>
      <c r="F623" t="inlineStr">
        <is>
          <t>666</t>
        </is>
      </c>
    </row>
    <row r="624">
      <c r="A624" t="inlineStr">
        <is>
          <t>FERNANDEZ RISSO MIGUEL ANGEL.pdf</t>
        </is>
      </c>
      <c r="B624">
        <f>HYPERLINK("C:\Users\lmonroy\Tema\ENERO\ALTAS\OTROS PROYECTOS\FERNANDEZ RISSO MIGUEL ANGEL.pdf", "Link")</f>
        <v/>
      </c>
      <c r="C624" t="n">
        <v>14562</v>
      </c>
      <c r="D624" t="inlineStr">
        <is>
          <t>2024-01-02 17:31:54</t>
        </is>
      </c>
      <c r="E624" t="inlineStr">
        <is>
          <t>2024-01-30 11:02:42</t>
        </is>
      </c>
      <c r="F624" t="inlineStr">
        <is>
          <t>666</t>
        </is>
      </c>
    </row>
    <row r="625">
      <c r="A625" t="inlineStr">
        <is>
          <t>GABRIEL MARCELO JEREMY SANDRO.pdf</t>
        </is>
      </c>
      <c r="B625">
        <f>HYPERLINK("C:\Users\lmonroy\Tema\ENERO\ALTAS\OTROS PROYECTOS\GABRIEL MARCELO JEREMY SANDRO.pdf", "Link")</f>
        <v/>
      </c>
      <c r="C625" t="n">
        <v>14110</v>
      </c>
      <c r="D625" t="inlineStr">
        <is>
          <t>2024-01-02 18:17:02</t>
        </is>
      </c>
      <c r="E625" t="inlineStr">
        <is>
          <t>2024-01-30 11:02:42</t>
        </is>
      </c>
      <c r="F625" t="inlineStr">
        <is>
          <t>666</t>
        </is>
      </c>
    </row>
    <row r="626">
      <c r="A626" t="inlineStr">
        <is>
          <t>GALARZA BALDEON JOSE ENRIQUE.pdf</t>
        </is>
      </c>
      <c r="B626">
        <f>HYPERLINK("C:\Users\lmonroy\Tema\ENERO\ALTAS\OTROS PROYECTOS\GALARZA BALDEON JOSE ENRIQUE.pdf", "Link")</f>
        <v/>
      </c>
      <c r="C626" t="n">
        <v>14091</v>
      </c>
      <c r="D626" t="inlineStr">
        <is>
          <t>2024-01-02 19:10:41</t>
        </is>
      </c>
      <c r="E626" t="inlineStr">
        <is>
          <t>2024-01-30 10:52:36</t>
        </is>
      </c>
      <c r="F626" t="inlineStr">
        <is>
          <t>666</t>
        </is>
      </c>
    </row>
    <row r="627">
      <c r="A627" t="inlineStr">
        <is>
          <t>GARAY LOYOLA RONALD JHONATAN.pdf</t>
        </is>
      </c>
      <c r="B627">
        <f>HYPERLINK("C:\Users\lmonroy\Tema\ENERO\ALTAS\OTROS PROYECTOS\GARAY LOYOLA RONALD JHONATAN.pdf", "Link")</f>
        <v/>
      </c>
      <c r="C627" t="n">
        <v>15201</v>
      </c>
      <c r="D627" t="inlineStr">
        <is>
          <t>2024-01-02 16:32:05</t>
        </is>
      </c>
      <c r="E627" t="inlineStr">
        <is>
          <t>2024-01-30 11:00:30</t>
        </is>
      </c>
      <c r="F627" t="inlineStr">
        <is>
          <t>666</t>
        </is>
      </c>
    </row>
    <row r="628">
      <c r="A628" t="inlineStr">
        <is>
          <t>GARCIA MUÑOZ HENRY.pdf</t>
        </is>
      </c>
      <c r="B628">
        <f>HYPERLINK("C:\Users\lmonroy\Tema\ENERO\ALTAS\OTROS PROYECTOS\GARCIA MUÑOZ HENRY.pdf", "Link")</f>
        <v/>
      </c>
      <c r="C628" t="n">
        <v>14650</v>
      </c>
      <c r="D628" t="inlineStr">
        <is>
          <t>2024-01-02 19:28:36</t>
        </is>
      </c>
      <c r="E628" t="inlineStr">
        <is>
          <t>2024-01-30 10:52:36</t>
        </is>
      </c>
      <c r="F628" t="inlineStr">
        <is>
          <t>666</t>
        </is>
      </c>
    </row>
    <row r="629">
      <c r="A629" t="inlineStr">
        <is>
          <t>GARCIA MUÑOZ JOSEP ALDAIR.pdf</t>
        </is>
      </c>
      <c r="B629">
        <f>HYPERLINK("C:\Users\lmonroy\Tema\ENERO\ALTAS\OTROS PROYECTOS\GARCIA MUÑOZ JOSEP ALDAIR.pdf", "Link")</f>
        <v/>
      </c>
      <c r="C629" t="n">
        <v>14580</v>
      </c>
      <c r="D629" t="inlineStr">
        <is>
          <t>2024-01-02 18:34:00</t>
        </is>
      </c>
      <c r="E629" t="inlineStr">
        <is>
          <t>2024-01-30 11:02:42</t>
        </is>
      </c>
      <c r="F629" t="inlineStr">
        <is>
          <t>666</t>
        </is>
      </c>
    </row>
    <row r="630">
      <c r="A630" t="inlineStr">
        <is>
          <t>GAVIRIA GARCIA HUGO MANASES.pdf</t>
        </is>
      </c>
      <c r="B630">
        <f>HYPERLINK("C:\Users\lmonroy\Tema\ENERO\ALTAS\OTROS PROYECTOS\GAVIRIA GARCIA HUGO MANASES.pdf", "Link")</f>
        <v/>
      </c>
      <c r="C630" t="n">
        <v>14080</v>
      </c>
      <c r="D630" t="inlineStr">
        <is>
          <t>2024-01-02 12:58:24</t>
        </is>
      </c>
      <c r="E630" t="inlineStr">
        <is>
          <t>2024-01-30 11:01:57</t>
        </is>
      </c>
      <c r="F630" t="inlineStr">
        <is>
          <t>666</t>
        </is>
      </c>
    </row>
    <row r="631">
      <c r="A631" t="inlineStr">
        <is>
          <t>GODOY ARANGO CLAUDIA TANIA.pdf</t>
        </is>
      </c>
      <c r="B631">
        <f>HYPERLINK("C:\Users\lmonroy\Tema\ENERO\ALTAS\OTROS PROYECTOS\GODOY ARANGO CLAUDIA TANIA.pdf", "Link")</f>
        <v/>
      </c>
      <c r="C631" t="n">
        <v>15452</v>
      </c>
      <c r="D631" t="inlineStr">
        <is>
          <t>2024-01-02 16:46:44</t>
        </is>
      </c>
      <c r="E631" t="inlineStr">
        <is>
          <t>2024-01-30 11:00:30</t>
        </is>
      </c>
      <c r="F631" t="inlineStr">
        <is>
          <t>666</t>
        </is>
      </c>
    </row>
    <row r="632">
      <c r="A632" t="inlineStr">
        <is>
          <t>GODOY CASTILLO CHRISTOPHER MICHAEL ALEXANDER.pdf</t>
        </is>
      </c>
      <c r="B632">
        <f>HYPERLINK("C:\Users\lmonroy\Tema\ENERO\ALTAS\OTROS PROYECTOS\GODOY CASTILLO CHRISTOPHER MICHAEL ALEXANDER.pdf", "Link")</f>
        <v/>
      </c>
      <c r="C632" t="n">
        <v>14081</v>
      </c>
      <c r="D632" t="inlineStr">
        <is>
          <t>2024-01-02 18:22:08</t>
        </is>
      </c>
      <c r="E632" t="inlineStr">
        <is>
          <t>2024-01-30 11:02:42</t>
        </is>
      </c>
      <c r="F632" t="inlineStr">
        <is>
          <t>666</t>
        </is>
      </c>
    </row>
    <row r="633">
      <c r="A633" t="inlineStr">
        <is>
          <t>GOMEZ MEZA AUGUSTO OSWALDO.pdf</t>
        </is>
      </c>
      <c r="B633">
        <f>HYPERLINK("C:\Users\lmonroy\Tema\ENERO\ALTAS\OTROS PROYECTOS\GOMEZ MEZA AUGUSTO OSWALDO.pdf", "Link")</f>
        <v/>
      </c>
      <c r="C633" t="n">
        <v>14731</v>
      </c>
      <c r="D633" t="inlineStr">
        <is>
          <t>2024-01-02 19:47:02</t>
        </is>
      </c>
      <c r="E633" t="inlineStr">
        <is>
          <t>2024-01-30 10:52:36</t>
        </is>
      </c>
      <c r="F633" t="inlineStr">
        <is>
          <t>666</t>
        </is>
      </c>
    </row>
    <row r="634">
      <c r="A634" t="inlineStr">
        <is>
          <t>GONZÁLES RUIZ KARINA JASMÍN.pdf</t>
        </is>
      </c>
      <c r="B634">
        <f>HYPERLINK("C:\Users\lmonroy\Tema\ENERO\ALTAS\OTROS PROYECTOS\GONZÁLES RUIZ KARINA JASMÍN.pdf", "Link")</f>
        <v/>
      </c>
      <c r="C634" t="n">
        <v>15625</v>
      </c>
      <c r="D634" t="inlineStr">
        <is>
          <t>2024-01-03 16:21:07</t>
        </is>
      </c>
      <c r="E634" t="inlineStr">
        <is>
          <t>2024-01-30 10:59:53</t>
        </is>
      </c>
      <c r="F634" t="inlineStr">
        <is>
          <t>666</t>
        </is>
      </c>
    </row>
    <row r="635">
      <c r="A635" t="inlineStr">
        <is>
          <t>GUERRERO CHAVEZ JHONATAN LUISIN.pdf</t>
        </is>
      </c>
      <c r="B635">
        <f>HYPERLINK("C:\Users\lmonroy\Tema\ENERO\ALTAS\OTROS PROYECTOS\GUERRERO CHAVEZ JHONATAN LUISIN.pdf", "Link")</f>
        <v/>
      </c>
      <c r="C635" t="n">
        <v>14156</v>
      </c>
      <c r="D635" t="inlineStr">
        <is>
          <t>2024-01-02 12:40:32</t>
        </is>
      </c>
      <c r="E635" t="inlineStr">
        <is>
          <t>2024-01-30 10:59:20</t>
        </is>
      </c>
      <c r="F635" t="inlineStr">
        <is>
          <t>666</t>
        </is>
      </c>
    </row>
    <row r="636">
      <c r="A636" t="inlineStr">
        <is>
          <t>GUEVARA MOGROVEJO ALEJANDRO.pdf</t>
        </is>
      </c>
      <c r="B636">
        <f>HYPERLINK("C:\Users\lmonroy\Tema\ENERO\ALTAS\OTROS PROYECTOS\GUEVARA MOGROVEJO ALEJANDRO.pdf", "Link")</f>
        <v/>
      </c>
      <c r="C636" t="n">
        <v>14794</v>
      </c>
      <c r="D636" t="inlineStr">
        <is>
          <t>2024-01-02 16:29:43</t>
        </is>
      </c>
      <c r="E636" t="inlineStr">
        <is>
          <t>2024-01-30 11:00:30</t>
        </is>
      </c>
      <c r="F636" t="inlineStr">
        <is>
          <t>666</t>
        </is>
      </c>
    </row>
    <row r="637">
      <c r="A637" t="inlineStr">
        <is>
          <t>GUEVARA PACHECO LUIS FERNANDO.pdf</t>
        </is>
      </c>
      <c r="B637">
        <f>HYPERLINK("C:\Users\lmonroy\Tema\ENERO\ALTAS\OTROS PROYECTOS\GUEVARA PACHECO LUIS FERNANDO.pdf", "Link")</f>
        <v/>
      </c>
      <c r="C637" t="n">
        <v>14158</v>
      </c>
      <c r="D637" t="inlineStr">
        <is>
          <t>2024-01-30 10:45:38</t>
        </is>
      </c>
      <c r="E637" t="inlineStr">
        <is>
          <t>2024-01-30 10:45:37</t>
        </is>
      </c>
      <c r="F637" t="inlineStr">
        <is>
          <t>666</t>
        </is>
      </c>
    </row>
    <row r="638">
      <c r="A638" t="inlineStr">
        <is>
          <t>HANCCO CORDOVA ADALBERTO SATURNINO.pdf</t>
        </is>
      </c>
      <c r="B638">
        <f>HYPERLINK("C:\Users\lmonroy\Tema\ENERO\ALTAS\OTROS PROYECTOS\HANCCO CORDOVA ADALBERTO SATURNINO.pdf", "Link")</f>
        <v/>
      </c>
      <c r="C638" t="n">
        <v>14188</v>
      </c>
      <c r="D638" t="inlineStr">
        <is>
          <t>2024-01-30 10:45:02</t>
        </is>
      </c>
      <c r="E638" t="inlineStr">
        <is>
          <t>2024-01-30 10:45:02</t>
        </is>
      </c>
      <c r="F638" t="inlineStr">
        <is>
          <t>666</t>
        </is>
      </c>
    </row>
    <row r="639">
      <c r="A639" t="inlineStr">
        <is>
          <t>HERRERA ALVA VALIA ESTHER.pdf</t>
        </is>
      </c>
      <c r="B639">
        <f>HYPERLINK("C:\Users\lmonroy\Tema\ENERO\ALTAS\OTROS PROYECTOS\HERRERA ALVA VALIA ESTHER.pdf", "Link")</f>
        <v/>
      </c>
      <c r="C639" t="n">
        <v>14485</v>
      </c>
      <c r="D639" t="inlineStr">
        <is>
          <t>2024-01-03 16:44:42</t>
        </is>
      </c>
      <c r="E639" t="inlineStr">
        <is>
          <t>2024-01-30 11:03:13</t>
        </is>
      </c>
      <c r="F639" t="inlineStr">
        <is>
          <t>666</t>
        </is>
      </c>
    </row>
    <row r="640">
      <c r="A640" t="inlineStr">
        <is>
          <t>HOYOS TINCOPA LUIS ALEJANDRO.pdf</t>
        </is>
      </c>
      <c r="B640">
        <f>HYPERLINK("C:\Users\lmonroy\Tema\ENERO\ALTAS\OTROS PROYECTOS\HOYOS TINCOPA LUIS ALEJANDRO.pdf", "Link")</f>
        <v/>
      </c>
      <c r="C640" t="n">
        <v>14537</v>
      </c>
      <c r="D640" t="inlineStr">
        <is>
          <t>2024-01-30 10:45:27</t>
        </is>
      </c>
      <c r="E640" t="inlineStr">
        <is>
          <t>2024-01-30 10:45:26</t>
        </is>
      </c>
      <c r="F640" t="inlineStr">
        <is>
          <t>666</t>
        </is>
      </c>
    </row>
    <row r="641">
      <c r="A641" t="inlineStr">
        <is>
          <t>HUAMANRAIME MAQUIN JHOEL MANUEL.pdf</t>
        </is>
      </c>
      <c r="B641">
        <f>HYPERLINK("C:\Users\lmonroy\Tema\ENERO\ALTAS\OTROS PROYECTOS\HUAMANRAIME MAQUIN JHOEL MANUEL.pdf", "Link")</f>
        <v/>
      </c>
      <c r="C641" t="n">
        <v>15196</v>
      </c>
      <c r="D641" t="inlineStr">
        <is>
          <t>2024-01-02 16:44:02</t>
        </is>
      </c>
      <c r="E641" t="inlineStr">
        <is>
          <t>2024-01-30 11:00:30</t>
        </is>
      </c>
      <c r="F641" t="inlineStr">
        <is>
          <t>666</t>
        </is>
      </c>
    </row>
    <row r="642">
      <c r="A642" t="inlineStr">
        <is>
          <t>LARA DE COSSIO FABIO DAVID.pdf</t>
        </is>
      </c>
      <c r="B642">
        <f>HYPERLINK("C:\Users\lmonroy\Tema\ENERO\ALTAS\OTROS PROYECTOS\LARA DE COSSIO FABIO DAVID.pdf", "Link")</f>
        <v/>
      </c>
      <c r="C642" t="n">
        <v>14571</v>
      </c>
      <c r="D642" t="inlineStr">
        <is>
          <t>2024-01-02 19:32:57</t>
        </is>
      </c>
      <c r="E642" t="inlineStr">
        <is>
          <t>2024-01-30 10:52:36</t>
        </is>
      </c>
      <c r="F642" t="inlineStr">
        <is>
          <t>666</t>
        </is>
      </c>
    </row>
    <row r="643">
      <c r="A643" t="inlineStr">
        <is>
          <t>LEANDRO HUISAYAURI IBETH STEFANY.pdf</t>
        </is>
      </c>
      <c r="B643">
        <f>HYPERLINK("C:\Users\lmonroy\Tema\ENERO\ALTAS\OTROS PROYECTOS\LEANDRO HUISAYAURI IBETH STEFANY.pdf", "Link")</f>
        <v/>
      </c>
      <c r="C643" t="n">
        <v>14144</v>
      </c>
      <c r="D643" t="inlineStr">
        <is>
          <t>2024-01-03 20:57:59</t>
        </is>
      </c>
      <c r="E643" t="inlineStr">
        <is>
          <t>2024-01-30 11:01:33</t>
        </is>
      </c>
      <c r="F643" t="inlineStr">
        <is>
          <t>666</t>
        </is>
      </c>
    </row>
    <row r="644">
      <c r="A644" t="inlineStr">
        <is>
          <t>LEON ALBERTO JUAN CARLOS.pdf</t>
        </is>
      </c>
      <c r="B644">
        <f>HYPERLINK("C:\Users\lmonroy\Tema\ENERO\ALTAS\OTROS PROYECTOS\LEON ALBERTO JUAN CARLOS.pdf", "Link")</f>
        <v/>
      </c>
      <c r="C644" t="n">
        <v>14138</v>
      </c>
      <c r="D644" t="inlineStr">
        <is>
          <t>2024-01-30 10:44:52</t>
        </is>
      </c>
      <c r="E644" t="inlineStr">
        <is>
          <t>2024-01-30 10:44:52</t>
        </is>
      </c>
      <c r="F644" t="inlineStr">
        <is>
          <t>666</t>
        </is>
      </c>
    </row>
    <row r="645">
      <c r="A645" t="inlineStr">
        <is>
          <t>LINGAN ASTOQUILCA LUIS ALBERTO.pdf</t>
        </is>
      </c>
      <c r="B645">
        <f>HYPERLINK("C:\Users\lmonroy\Tema\ENERO\ALTAS\OTROS PROYECTOS\LINGAN ASTOQUILCA LUIS ALBERTO.pdf", "Link")</f>
        <v/>
      </c>
      <c r="C645" t="n">
        <v>15109</v>
      </c>
      <c r="D645" t="inlineStr">
        <is>
          <t>2024-01-02 16:06:45</t>
        </is>
      </c>
      <c r="E645" t="inlineStr">
        <is>
          <t>2024-01-30 11:00:30</t>
        </is>
      </c>
      <c r="F645" t="inlineStr">
        <is>
          <t>666</t>
        </is>
      </c>
    </row>
    <row r="646">
      <c r="A646" t="inlineStr">
        <is>
          <t>MAMANI PAUCAR ELSA EULOGIA.pdf</t>
        </is>
      </c>
      <c r="B646">
        <f>HYPERLINK("C:\Users\lmonroy\Tema\ENERO\ALTAS\OTROS PROYECTOS\MAMANI PAUCAR ELSA EULOGIA.pdf", "Link")</f>
        <v/>
      </c>
      <c r="C646" t="n">
        <v>15517</v>
      </c>
      <c r="D646" t="inlineStr">
        <is>
          <t>2024-01-03 16:43:42</t>
        </is>
      </c>
      <c r="E646" t="inlineStr">
        <is>
          <t>2024-01-30 11:03:13</t>
        </is>
      </c>
      <c r="F646" t="inlineStr">
        <is>
          <t>666</t>
        </is>
      </c>
    </row>
    <row r="647">
      <c r="A647" t="inlineStr">
        <is>
          <t>MENDOZA DELGADO ROBINZON JESUS.pdf</t>
        </is>
      </c>
      <c r="B647">
        <f>HYPERLINK("C:\Users\lmonroy\Tema\ENERO\ALTAS\OTROS PROYECTOS\MENDOZA DELGADO ROBINZON JESUS.pdf", "Link")</f>
        <v/>
      </c>
      <c r="C647" t="n">
        <v>14839</v>
      </c>
      <c r="D647" t="inlineStr">
        <is>
          <t>2024-01-02 16:24:45</t>
        </is>
      </c>
      <c r="E647" t="inlineStr">
        <is>
          <t>2024-01-30 11:00:30</t>
        </is>
      </c>
      <c r="F647" t="inlineStr">
        <is>
          <t>666</t>
        </is>
      </c>
    </row>
    <row r="648">
      <c r="A648" t="inlineStr">
        <is>
          <t>MENDOZA MOTA IVAN.pdf</t>
        </is>
      </c>
      <c r="B648">
        <f>HYPERLINK("C:\Users\lmonroy\Tema\ENERO\ALTAS\OTROS PROYECTOS\MENDOZA MOTA IVAN.pdf", "Link")</f>
        <v/>
      </c>
      <c r="C648" t="n">
        <v>14110</v>
      </c>
      <c r="D648" t="inlineStr">
        <is>
          <t>2024-01-02 13:36:28</t>
        </is>
      </c>
      <c r="E648" t="inlineStr">
        <is>
          <t>2024-01-30 11:01:57</t>
        </is>
      </c>
      <c r="F648" t="inlineStr">
        <is>
          <t>666</t>
        </is>
      </c>
    </row>
    <row r="649">
      <c r="A649" t="inlineStr">
        <is>
          <t>MIGUEL ESTRADA EDSON PIT.pdf</t>
        </is>
      </c>
      <c r="B649">
        <f>HYPERLINK("C:\Users\lmonroy\Tema\ENERO\ALTAS\OTROS PROYECTOS\MIGUEL ESTRADA EDSON PIT.pdf", "Link")</f>
        <v/>
      </c>
      <c r="C649" t="n">
        <v>14096</v>
      </c>
      <c r="D649" t="inlineStr">
        <is>
          <t>2024-01-02 17:14:50</t>
        </is>
      </c>
      <c r="E649" t="inlineStr">
        <is>
          <t>2024-01-30 11:02:42</t>
        </is>
      </c>
      <c r="F649" t="inlineStr">
        <is>
          <t>666</t>
        </is>
      </c>
    </row>
    <row r="650">
      <c r="A650" t="inlineStr">
        <is>
          <t>MINAYA DIAZ JESUS FABRIZZIO.pdf</t>
        </is>
      </c>
      <c r="B650">
        <f>HYPERLINK("C:\Users\lmonroy\Tema\ENERO\ALTAS\OTROS PROYECTOS\MINAYA DIAZ JESUS FABRIZZIO.pdf", "Link")</f>
        <v/>
      </c>
      <c r="C650" t="n">
        <v>15156</v>
      </c>
      <c r="D650" t="inlineStr">
        <is>
          <t>2024-01-02 16:22:10</t>
        </is>
      </c>
      <c r="E650" t="inlineStr">
        <is>
          <t>2024-01-30 11:00:30</t>
        </is>
      </c>
      <c r="F650" t="inlineStr">
        <is>
          <t>666</t>
        </is>
      </c>
    </row>
    <row r="651">
      <c r="A651" t="inlineStr">
        <is>
          <t>MOGOLLON CALLE PIERO CHANEL.pdf</t>
        </is>
      </c>
      <c r="B651">
        <f>HYPERLINK("C:\Users\lmonroy\Tema\ENERO\ALTAS\OTROS PROYECTOS\MOGOLLON CALLE PIERO CHANEL.pdf", "Link")</f>
        <v/>
      </c>
      <c r="C651" t="n">
        <v>14553</v>
      </c>
      <c r="D651" t="inlineStr">
        <is>
          <t>2024-01-02 12:18:27</t>
        </is>
      </c>
      <c r="E651" t="inlineStr">
        <is>
          <t>2024-01-30 10:59:20</t>
        </is>
      </c>
      <c r="F651" t="inlineStr">
        <is>
          <t>666</t>
        </is>
      </c>
    </row>
    <row r="652">
      <c r="A652" t="inlineStr">
        <is>
          <t>MONTESINOS MOLINA LUIS ANGEL.pdf</t>
        </is>
      </c>
      <c r="B652">
        <f>HYPERLINK("C:\Users\lmonroy\Tema\ENERO\ALTAS\OTROS PROYECTOS\MONTESINOS MOLINA LUIS ANGEL.pdf", "Link")</f>
        <v/>
      </c>
      <c r="C652" t="n">
        <v>14720</v>
      </c>
      <c r="D652" t="inlineStr">
        <is>
          <t>2024-01-30 10:47:43</t>
        </is>
      </c>
      <c r="E652" t="inlineStr">
        <is>
          <t>2024-01-30 10:47:42</t>
        </is>
      </c>
      <c r="F652" t="inlineStr">
        <is>
          <t>666</t>
        </is>
      </c>
    </row>
    <row r="653">
      <c r="A653" t="inlineStr">
        <is>
          <t>MONTESINOS NIEVES PEDRO JUNIOR.pdf</t>
        </is>
      </c>
      <c r="B653">
        <f>HYPERLINK("C:\Users\lmonroy\Tema\ENERO\ALTAS\OTROS PROYECTOS\MONTESINOS NIEVES PEDRO JUNIOR.pdf", "Link")</f>
        <v/>
      </c>
      <c r="C653" t="n">
        <v>14075</v>
      </c>
      <c r="D653" t="inlineStr">
        <is>
          <t>2024-01-02 18:19:25</t>
        </is>
      </c>
      <c r="E653" t="inlineStr">
        <is>
          <t>2024-01-30 11:02:42</t>
        </is>
      </c>
      <c r="F653" t="inlineStr">
        <is>
          <t>666</t>
        </is>
      </c>
    </row>
    <row r="654">
      <c r="A654" t="inlineStr">
        <is>
          <t>MORALES PUELLES ALEJANDRO ANDRE.pdf</t>
        </is>
      </c>
      <c r="B654">
        <f>HYPERLINK("C:\Users\lmonroy\Tema\ENERO\ALTAS\OTROS PROYECTOS\MORALES PUELLES ALEJANDRO ANDRE.pdf", "Link")</f>
        <v/>
      </c>
      <c r="C654" t="n">
        <v>14114</v>
      </c>
      <c r="D654" t="inlineStr">
        <is>
          <t>2024-01-02 18:13:41</t>
        </is>
      </c>
      <c r="E654" t="inlineStr">
        <is>
          <t>2024-01-30 11:02:42</t>
        </is>
      </c>
      <c r="F654" t="inlineStr">
        <is>
          <t>666</t>
        </is>
      </c>
    </row>
    <row r="655">
      <c r="A655" t="inlineStr">
        <is>
          <t>MORAN VALVERDE JENYFFER JOHANNA.pdf</t>
        </is>
      </c>
      <c r="B655">
        <f>HYPERLINK("C:\Users\lmonroy\Tema\ENERO\ALTAS\OTROS PROYECTOS\MORAN VALVERDE JENYFFER JOHANNA.pdf", "Link")</f>
        <v/>
      </c>
      <c r="C655" t="n">
        <v>14525</v>
      </c>
      <c r="D655" t="inlineStr">
        <is>
          <t>2024-01-02 16:38:49</t>
        </is>
      </c>
      <c r="E655" t="inlineStr">
        <is>
          <t>2024-01-30 11:00:30</t>
        </is>
      </c>
      <c r="F655" t="inlineStr">
        <is>
          <t>666</t>
        </is>
      </c>
    </row>
    <row r="656">
      <c r="A656" t="inlineStr">
        <is>
          <t>MOTA SOTELO TONI CARLOS.pdf</t>
        </is>
      </c>
      <c r="B656">
        <f>HYPERLINK("C:\Users\lmonroy\Tema\ENERO\ALTAS\OTROS PROYECTOS\MOTA SOTELO TONI CARLOS.pdf", "Link")</f>
        <v/>
      </c>
      <c r="C656" t="n">
        <v>14152</v>
      </c>
      <c r="D656" t="inlineStr">
        <is>
          <t>2024-01-30 10:44:52</t>
        </is>
      </c>
      <c r="E656" t="inlineStr">
        <is>
          <t>2024-01-30 10:44:52</t>
        </is>
      </c>
      <c r="F656" t="inlineStr">
        <is>
          <t>666</t>
        </is>
      </c>
    </row>
    <row r="657">
      <c r="A657" t="inlineStr">
        <is>
          <t>MUÑOZ SALCEDO PIERO JHOYNNER.pdf</t>
        </is>
      </c>
      <c r="B657">
        <f>HYPERLINK("C:\Users\lmonroy\Tema\ENERO\ALTAS\OTROS PROYECTOS\MUÑOZ SALCEDO PIERO JHOYNNER.pdf", "Link")</f>
        <v/>
      </c>
      <c r="C657" t="n">
        <v>14580</v>
      </c>
      <c r="D657" t="inlineStr">
        <is>
          <t>2024-01-02 18:00:45</t>
        </is>
      </c>
      <c r="E657" t="inlineStr">
        <is>
          <t>2024-01-30 11:02:42</t>
        </is>
      </c>
      <c r="F657" t="inlineStr">
        <is>
          <t>666</t>
        </is>
      </c>
    </row>
    <row r="658">
      <c r="A658" t="inlineStr">
        <is>
          <t>NAZARIO BEGAZO RENATO AAROM.pdf</t>
        </is>
      </c>
      <c r="B658">
        <f>HYPERLINK("C:\Users\lmonroy\Tema\ENERO\ALTAS\OTROS PROYECTOS\NAZARIO BEGAZO RENATO AAROM.pdf", "Link")</f>
        <v/>
      </c>
      <c r="C658" t="n">
        <v>14128</v>
      </c>
      <c r="D658" t="inlineStr">
        <is>
          <t>2024-01-02 17:28:31</t>
        </is>
      </c>
      <c r="E658" t="inlineStr">
        <is>
          <t>2024-01-30 11:02:42</t>
        </is>
      </c>
      <c r="F658" t="inlineStr">
        <is>
          <t>666</t>
        </is>
      </c>
    </row>
    <row r="659">
      <c r="A659" t="inlineStr">
        <is>
          <t>OCAMPO MACEDA ANA TERESA.pdf</t>
        </is>
      </c>
      <c r="B659">
        <f>HYPERLINK("C:\Users\lmonroy\Tema\ENERO\ALTAS\OTROS PROYECTOS\OCAMPO MACEDA ANA TERESA.pdf", "Link")</f>
        <v/>
      </c>
      <c r="C659" t="n">
        <v>15146</v>
      </c>
      <c r="D659" t="inlineStr">
        <is>
          <t>2024-01-02 16:41:50</t>
        </is>
      </c>
      <c r="E659" t="inlineStr">
        <is>
          <t>2024-01-30 11:00:30</t>
        </is>
      </c>
      <c r="F659" t="inlineStr">
        <is>
          <t>666</t>
        </is>
      </c>
    </row>
    <row r="660">
      <c r="A660" t="inlineStr">
        <is>
          <t>OLIVERA ESPINOZA ROBINSON RAFAEL.pdf</t>
        </is>
      </c>
      <c r="B660">
        <f>HYPERLINK("C:\Users\lmonroy\Tema\ENERO\ALTAS\OTROS PROYECTOS\OLIVERA ESPINOZA ROBINSON RAFAEL.pdf", "Link")</f>
        <v/>
      </c>
      <c r="C660" t="n">
        <v>15372</v>
      </c>
      <c r="D660" t="inlineStr">
        <is>
          <t>2024-01-03 16:41:29</t>
        </is>
      </c>
      <c r="E660" t="inlineStr">
        <is>
          <t>2024-01-30 11:03:13</t>
        </is>
      </c>
      <c r="F660" t="inlineStr">
        <is>
          <t>666</t>
        </is>
      </c>
    </row>
    <row r="661">
      <c r="A661" t="inlineStr">
        <is>
          <t>OSCANOA GOMEZ JOSE ALEXANDER.pdf</t>
        </is>
      </c>
      <c r="B661">
        <f>HYPERLINK("C:\Users\lmonroy\Tema\ENERO\ALTAS\OTROS PROYECTOS\OSCANOA GOMEZ JOSE ALEXANDER.pdf", "Link")</f>
        <v/>
      </c>
      <c r="C661" t="n">
        <v>14100</v>
      </c>
      <c r="D661" t="inlineStr">
        <is>
          <t>2024-01-02 18:04:00</t>
        </is>
      </c>
      <c r="E661" t="inlineStr">
        <is>
          <t>2024-01-30 11:02:42</t>
        </is>
      </c>
      <c r="F661" t="inlineStr">
        <is>
          <t>666</t>
        </is>
      </c>
    </row>
    <row r="662">
      <c r="A662" t="inlineStr">
        <is>
          <t>PACHECO CASTILLO JAIME ARTURO.pdf</t>
        </is>
      </c>
      <c r="B662">
        <f>HYPERLINK("C:\Users\lmonroy\Tema\ENERO\ALTAS\OTROS PROYECTOS\PACHECO CASTILLO JAIME ARTURO.pdf", "Link")</f>
        <v/>
      </c>
      <c r="C662" t="n">
        <v>14771</v>
      </c>
      <c r="D662" t="inlineStr">
        <is>
          <t>2024-01-03 16:53:03</t>
        </is>
      </c>
      <c r="E662" t="inlineStr">
        <is>
          <t>2024-01-30 11:03:13</t>
        </is>
      </c>
      <c r="F662" t="inlineStr">
        <is>
          <t>666</t>
        </is>
      </c>
    </row>
    <row r="663">
      <c r="A663" t="inlineStr">
        <is>
          <t>PAJUELO EVANGELISTA LUIS EDUARDO.pdf</t>
        </is>
      </c>
      <c r="B663">
        <f>HYPERLINK("C:\Users\lmonroy\Tema\ENERO\ALTAS\OTROS PROYECTOS\PAJUELO EVANGELISTA LUIS EDUARDO.pdf", "Link")</f>
        <v/>
      </c>
      <c r="C663" t="n">
        <v>20448</v>
      </c>
      <c r="D663" t="inlineStr">
        <is>
          <t>2024-01-02 19:06:44</t>
        </is>
      </c>
      <c r="E663" t="inlineStr">
        <is>
          <t>2024-01-30 10:52:36</t>
        </is>
      </c>
      <c r="F663" t="inlineStr">
        <is>
          <t>666</t>
        </is>
      </c>
    </row>
    <row r="664">
      <c r="A664" t="inlineStr">
        <is>
          <t>PARIONA ICOCHEA ERNESTO PEDRO.pdf</t>
        </is>
      </c>
      <c r="B664">
        <f>HYPERLINK("C:\Users\lmonroy\Tema\ENERO\ALTAS\OTROS PROYECTOS\PARIONA ICOCHEA ERNESTO PEDRO.pdf", "Link")</f>
        <v/>
      </c>
      <c r="C664" t="n">
        <v>15739</v>
      </c>
      <c r="D664" t="inlineStr">
        <is>
          <t>2024-01-03 16:40:18</t>
        </is>
      </c>
      <c r="E664" t="inlineStr">
        <is>
          <t>2024-01-30 11:03:13</t>
        </is>
      </c>
      <c r="F664" t="inlineStr">
        <is>
          <t>666</t>
        </is>
      </c>
    </row>
    <row r="665">
      <c r="A665" t="inlineStr">
        <is>
          <t>PAYANO PAYANO MARCO ANTONIO.pdf</t>
        </is>
      </c>
      <c r="B665">
        <f>HYPERLINK("C:\Users\lmonroy\Tema\ENERO\ALTAS\OTROS PROYECTOS\PAYANO PAYANO MARCO ANTONIO.pdf", "Link")</f>
        <v/>
      </c>
      <c r="C665" t="n">
        <v>14550</v>
      </c>
      <c r="D665" t="inlineStr">
        <is>
          <t>2024-01-02 16:34:50</t>
        </is>
      </c>
      <c r="E665" t="inlineStr">
        <is>
          <t>2024-01-30 11:00:30</t>
        </is>
      </c>
      <c r="F665" t="inlineStr">
        <is>
          <t>666</t>
        </is>
      </c>
    </row>
    <row r="666">
      <c r="A666" t="inlineStr">
        <is>
          <t>PEREZ BRAMONT CARLOS ENRIQUE MIGUEL.pdf</t>
        </is>
      </c>
      <c r="B666">
        <f>HYPERLINK("C:\Users\lmonroy\Tema\ENERO\ALTAS\OTROS PROYECTOS\PEREZ BRAMONT CARLOS ENRIQUE MIGUEL.pdf", "Link")</f>
        <v/>
      </c>
      <c r="C666" t="n">
        <v>14116</v>
      </c>
      <c r="D666" t="inlineStr">
        <is>
          <t>2024-01-02 18:25:48</t>
        </is>
      </c>
      <c r="E666" t="inlineStr">
        <is>
          <t>2024-01-30 11:02:42</t>
        </is>
      </c>
      <c r="F666" t="inlineStr">
        <is>
          <t>666</t>
        </is>
      </c>
    </row>
    <row r="667">
      <c r="A667" t="inlineStr">
        <is>
          <t>PEÑA RAMOS KEVIN ARNOLD.pdf</t>
        </is>
      </c>
      <c r="B667">
        <f>HYPERLINK("C:\Users\lmonroy\Tema\ENERO\ALTAS\OTROS PROYECTOS\PEÑA RAMOS KEVIN ARNOLD.pdf", "Link")</f>
        <v/>
      </c>
      <c r="C667" t="n">
        <v>14783</v>
      </c>
      <c r="D667" t="inlineStr">
        <is>
          <t>2024-01-30 10:47:41</t>
        </is>
      </c>
      <c r="E667" t="inlineStr">
        <is>
          <t>2024-01-30 10:47:40</t>
        </is>
      </c>
      <c r="F667" t="inlineStr">
        <is>
          <t>666</t>
        </is>
      </c>
    </row>
    <row r="668">
      <c r="A668" t="inlineStr">
        <is>
          <t>PRESENTACION DIAZ DANIEL ALCIDES.pdf</t>
        </is>
      </c>
      <c r="B668">
        <f>HYPERLINK("C:\Users\lmonroy\Tema\ENERO\ALTAS\OTROS PROYECTOS\PRESENTACION DIAZ DANIEL ALCIDES.pdf", "Link")</f>
        <v/>
      </c>
      <c r="C668" t="n">
        <v>14110</v>
      </c>
      <c r="D668" t="inlineStr">
        <is>
          <t>2024-01-02 13:33:19</t>
        </is>
      </c>
      <c r="E668" t="inlineStr">
        <is>
          <t>2024-01-30 11:01:57</t>
        </is>
      </c>
      <c r="F668" t="inlineStr">
        <is>
          <t>666</t>
        </is>
      </c>
    </row>
    <row r="669">
      <c r="A669" t="inlineStr">
        <is>
          <t>QUEZADA DIAZ MANUEL ANTONIO.pdf</t>
        </is>
      </c>
      <c r="B669">
        <f>HYPERLINK("C:\Users\lmonroy\Tema\ENERO\ALTAS\OTROS PROYECTOS\QUEZADA DIAZ MANUEL ANTONIO.pdf", "Link")</f>
        <v/>
      </c>
      <c r="C669" t="n">
        <v>14109</v>
      </c>
      <c r="D669" t="inlineStr">
        <is>
          <t>2024-01-02 17:43:51</t>
        </is>
      </c>
      <c r="E669" t="inlineStr">
        <is>
          <t>2024-01-30 11:02:42</t>
        </is>
      </c>
      <c r="F669" t="inlineStr">
        <is>
          <t>666</t>
        </is>
      </c>
    </row>
    <row r="670">
      <c r="A670" t="inlineStr">
        <is>
          <t>QUISPE CONDORI CESAR ROLANDO.pdf</t>
        </is>
      </c>
      <c r="B670">
        <f>HYPERLINK("C:\Users\lmonroy\Tema\ENERO\ALTAS\OTROS PROYECTOS\QUISPE CONDORI CESAR ROLANDO.pdf", "Link")</f>
        <v/>
      </c>
      <c r="C670" t="n">
        <v>14083</v>
      </c>
      <c r="D670" t="inlineStr">
        <is>
          <t>2024-01-02 12:51:20</t>
        </is>
      </c>
      <c r="E670" t="inlineStr">
        <is>
          <t>2024-01-30 11:01:57</t>
        </is>
      </c>
      <c r="F670" t="inlineStr">
        <is>
          <t>666</t>
        </is>
      </c>
    </row>
    <row r="671">
      <c r="A671" t="inlineStr">
        <is>
          <t>QUISPE DIAZ GYVER ANTHONY.pdf</t>
        </is>
      </c>
      <c r="B671">
        <f>HYPERLINK("C:\Users\lmonroy\Tema\ENERO\ALTAS\OTROS PROYECTOS\QUISPE DIAZ GYVER ANTHONY.pdf", "Link")</f>
        <v/>
      </c>
      <c r="C671" t="n">
        <v>14160</v>
      </c>
      <c r="D671" t="inlineStr">
        <is>
          <t>2024-01-02 17:35:45</t>
        </is>
      </c>
      <c r="E671" t="inlineStr">
        <is>
          <t>2024-01-30 11:02:42</t>
        </is>
      </c>
      <c r="F671" t="inlineStr">
        <is>
          <t>666</t>
        </is>
      </c>
    </row>
    <row r="672">
      <c r="A672" t="inlineStr">
        <is>
          <t>RAMIREZ PASTOR DARIO FELIX.pdf</t>
        </is>
      </c>
      <c r="B672">
        <f>HYPERLINK("C:\Users\lmonroy\Tema\ENERO\ALTAS\OTROS PROYECTOS\RAMIREZ PASTOR DARIO FELIX.pdf", "Link")</f>
        <v/>
      </c>
      <c r="C672" t="n">
        <v>14123</v>
      </c>
      <c r="D672" t="inlineStr">
        <is>
          <t>2024-01-30 10:47:15</t>
        </is>
      </c>
      <c r="E672" t="inlineStr">
        <is>
          <t>2024-01-30 10:47:14</t>
        </is>
      </c>
      <c r="F672" t="inlineStr">
        <is>
          <t>666</t>
        </is>
      </c>
    </row>
    <row r="673">
      <c r="A673" t="inlineStr">
        <is>
          <t>RAMOS ALBINES LUIGUI ALEXANDER.pdf</t>
        </is>
      </c>
      <c r="B673">
        <f>HYPERLINK("C:\Users\lmonroy\Tema\ENERO\ALTAS\OTROS PROYECTOS\RAMOS ALBINES LUIGUI ALEXANDER.pdf", "Link")</f>
        <v/>
      </c>
      <c r="C673" t="n">
        <v>14576</v>
      </c>
      <c r="D673" t="inlineStr">
        <is>
          <t>2024-01-02 13:38:53</t>
        </is>
      </c>
      <c r="E673" t="inlineStr">
        <is>
          <t>2024-01-30 11:01:57</t>
        </is>
      </c>
      <c r="F673" t="inlineStr">
        <is>
          <t>666</t>
        </is>
      </c>
    </row>
    <row r="674">
      <c r="A674" t="inlineStr">
        <is>
          <t>RAMOS TACUCHI FRANCO GENARO.pdf</t>
        </is>
      </c>
      <c r="B674">
        <f>HYPERLINK("C:\Users\lmonroy\Tema\ENERO\ALTAS\OTROS PROYECTOS\RAMOS TACUCHI FRANCO GENARO.pdf", "Link")</f>
        <v/>
      </c>
      <c r="C674" t="n">
        <v>14113</v>
      </c>
      <c r="D674" t="inlineStr">
        <is>
          <t>2024-01-02 17:04:40</t>
        </is>
      </c>
      <c r="E674" t="inlineStr">
        <is>
          <t>2024-01-30 11:02:42</t>
        </is>
      </c>
      <c r="F674" t="inlineStr">
        <is>
          <t>666</t>
        </is>
      </c>
    </row>
    <row r="675">
      <c r="A675" t="inlineStr">
        <is>
          <t>REYES ALBINO ROSEYSELA SARAI.pdf</t>
        </is>
      </c>
      <c r="B675">
        <f>HYPERLINK("C:\Users\lmonroy\Tema\ENERO\ALTAS\OTROS PROYECTOS\REYES ALBINO ROSEYSELA SARAI.pdf", "Link")</f>
        <v/>
      </c>
      <c r="C675" t="n">
        <v>14107</v>
      </c>
      <c r="D675" t="inlineStr">
        <is>
          <t>2024-01-03 16:39:00</t>
        </is>
      </c>
      <c r="E675" t="inlineStr">
        <is>
          <t>2024-01-30 11:03:13</t>
        </is>
      </c>
      <c r="F675" t="inlineStr">
        <is>
          <t>666</t>
        </is>
      </c>
    </row>
    <row r="676">
      <c r="A676" t="inlineStr">
        <is>
          <t>REYES OTOYA ARIANA MILAGROS.pdf</t>
        </is>
      </c>
      <c r="B676">
        <f>HYPERLINK("C:\Users\lmonroy\Tema\ENERO\ALTAS\OTROS PROYECTOS\REYES OTOYA ARIANA MILAGROS.pdf", "Link")</f>
        <v/>
      </c>
      <c r="C676" t="n">
        <v>14146</v>
      </c>
      <c r="D676" t="inlineStr">
        <is>
          <t>2024-01-02 17:09:51</t>
        </is>
      </c>
      <c r="E676" t="inlineStr">
        <is>
          <t>2024-01-30 11:02:42</t>
        </is>
      </c>
      <c r="F676" t="inlineStr">
        <is>
          <t>666</t>
        </is>
      </c>
    </row>
    <row r="677">
      <c r="A677" t="inlineStr">
        <is>
          <t>RICRA CHAVEZ WATSON.pdf</t>
        </is>
      </c>
      <c r="B677">
        <f>HYPERLINK("C:\Users\lmonroy\Tema\ENERO\ALTAS\OTROS PROYECTOS\RICRA CHAVEZ WATSON.pdf", "Link")</f>
        <v/>
      </c>
      <c r="C677" t="n">
        <v>14085</v>
      </c>
      <c r="D677" t="inlineStr">
        <is>
          <t>2024-01-02 13:01:38</t>
        </is>
      </c>
      <c r="E677" t="inlineStr">
        <is>
          <t>2024-01-30 11:01:57</t>
        </is>
      </c>
      <c r="F677" t="inlineStr">
        <is>
          <t>666</t>
        </is>
      </c>
    </row>
    <row r="678">
      <c r="A678" t="inlineStr">
        <is>
          <t>RIVAS MOGOLLON EMIL LUDWIN.pdf</t>
        </is>
      </c>
      <c r="B678">
        <f>HYPERLINK("C:\Users\lmonroy\Tema\ENERO\ALTAS\OTROS PROYECTOS\RIVAS MOGOLLON EMIL LUDWIN.pdf", "Link")</f>
        <v/>
      </c>
      <c r="C678" t="n">
        <v>14147</v>
      </c>
      <c r="D678" t="inlineStr">
        <is>
          <t>2024-01-30 10:47:39</t>
        </is>
      </c>
      <c r="E678" t="inlineStr">
        <is>
          <t>2024-01-30 10:47:39</t>
        </is>
      </c>
      <c r="F678" t="inlineStr">
        <is>
          <t>666</t>
        </is>
      </c>
    </row>
    <row r="679">
      <c r="A679" t="inlineStr">
        <is>
          <t>RIVAS SALINAS MARIA FE.pdf</t>
        </is>
      </c>
      <c r="B679">
        <f>HYPERLINK("C:\Users\lmonroy\Tema\ENERO\ALTAS\OTROS PROYECTOS\RIVAS SALINAS MARIA FE.pdf", "Link")</f>
        <v/>
      </c>
      <c r="C679" t="n">
        <v>14162</v>
      </c>
      <c r="D679" t="inlineStr">
        <is>
          <t>2024-01-03 16:23:31</t>
        </is>
      </c>
      <c r="E679" t="inlineStr">
        <is>
          <t>2024-01-30 10:59:53</t>
        </is>
      </c>
      <c r="F679" t="inlineStr">
        <is>
          <t>666</t>
        </is>
      </c>
    </row>
    <row r="680">
      <c r="A680" t="inlineStr">
        <is>
          <t>ROJAS PIÑAS MARICIELO MILAGROS.pdf</t>
        </is>
      </c>
      <c r="B680">
        <f>HYPERLINK("C:\Users\lmonroy\Tema\ENERO\ALTAS\OTROS PROYECTOS\ROJAS PIÑAS MARICIELO MILAGROS.pdf", "Link")</f>
        <v/>
      </c>
      <c r="C680" t="n">
        <v>14094</v>
      </c>
      <c r="D680" t="inlineStr">
        <is>
          <t>2024-01-02 14:46:21</t>
        </is>
      </c>
      <c r="E680" t="inlineStr">
        <is>
          <t>2024-01-30 11:00:52</t>
        </is>
      </c>
      <c r="F680" t="inlineStr">
        <is>
          <t>666</t>
        </is>
      </c>
    </row>
    <row r="681">
      <c r="A681" t="inlineStr">
        <is>
          <t>ROMAN VERA ROBERT FERNANDO.pdf</t>
        </is>
      </c>
      <c r="B681">
        <f>HYPERLINK("C:\Users\lmonroy\Tema\ENERO\ALTAS\OTROS PROYECTOS\ROMAN VERA ROBERT FERNANDO.pdf", "Link")</f>
        <v/>
      </c>
      <c r="C681" t="n">
        <v>14141</v>
      </c>
      <c r="D681" t="inlineStr">
        <is>
          <t>2024-01-02 13:29:09</t>
        </is>
      </c>
      <c r="E681" t="inlineStr">
        <is>
          <t>2024-01-30 11:01:57</t>
        </is>
      </c>
      <c r="F681" t="inlineStr">
        <is>
          <t>666</t>
        </is>
      </c>
    </row>
    <row r="682">
      <c r="A682" t="inlineStr">
        <is>
          <t>ROMERO ALFARO CRHISTOPHER AYMAR.pdf</t>
        </is>
      </c>
      <c r="B682">
        <f>HYPERLINK("C:\Users\lmonroy\Tema\ENERO\ALTAS\OTROS PROYECTOS\ROMERO ALFARO CRHISTOPHER AYMAR.pdf", "Link")</f>
        <v/>
      </c>
      <c r="C682" t="n">
        <v>14598</v>
      </c>
      <c r="D682" t="inlineStr">
        <is>
          <t>2024-01-02 19:49:29</t>
        </is>
      </c>
      <c r="E682" t="inlineStr">
        <is>
          <t>2024-01-30 10:52:36</t>
        </is>
      </c>
      <c r="F682" t="inlineStr">
        <is>
          <t>666</t>
        </is>
      </c>
    </row>
    <row r="683">
      <c r="A683" t="inlineStr">
        <is>
          <t>ROMERO CHIPANA BRAYAM JORDY.pdf</t>
        </is>
      </c>
      <c r="B683">
        <f>HYPERLINK("C:\Users\lmonroy\Tema\ENERO\ALTAS\OTROS PROYECTOS\ROMERO CHIPANA BRAYAM JORDY.pdf", "Link")</f>
        <v/>
      </c>
      <c r="C683" t="n">
        <v>14800</v>
      </c>
      <c r="D683" t="inlineStr">
        <is>
          <t>2024-01-02 20:07:03</t>
        </is>
      </c>
      <c r="E683" t="inlineStr">
        <is>
          <t>2024-01-30 10:52:36</t>
        </is>
      </c>
      <c r="F683" t="inlineStr">
        <is>
          <t>666</t>
        </is>
      </c>
    </row>
    <row r="684">
      <c r="A684" t="inlineStr">
        <is>
          <t>ROMERO RAMIREZ XIMENA ALEXANDRA.pdf</t>
        </is>
      </c>
      <c r="B684">
        <f>HYPERLINK("C:\Users\lmonroy\Tema\ENERO\ALTAS\OTROS PROYECTOS\ROMERO RAMIREZ XIMENA ALEXANDRA.pdf", "Link")</f>
        <v/>
      </c>
      <c r="C684" t="n">
        <v>14589</v>
      </c>
      <c r="D684" t="inlineStr">
        <is>
          <t>2024-01-02 18:29:37</t>
        </is>
      </c>
      <c r="E684" t="inlineStr">
        <is>
          <t>2024-01-30 11:02:42</t>
        </is>
      </c>
      <c r="F684" t="inlineStr">
        <is>
          <t>666</t>
        </is>
      </c>
    </row>
    <row r="685">
      <c r="A685" t="inlineStr">
        <is>
          <t>RONDON BRITO ELYAN JOSE.pdf</t>
        </is>
      </c>
      <c r="B685">
        <f>HYPERLINK("C:\Users\lmonroy\Tema\ENERO\ALTAS\OTROS PROYECTOS\RONDON BRITO ELYAN JOSE.pdf", "Link")</f>
        <v/>
      </c>
      <c r="C685" t="n">
        <v>14519</v>
      </c>
      <c r="D685" t="inlineStr">
        <is>
          <t>2024-01-30 10:47:09</t>
        </is>
      </c>
      <c r="E685" t="inlineStr">
        <is>
          <t>2024-01-30 10:47:09</t>
        </is>
      </c>
      <c r="F685" t="inlineStr">
        <is>
          <t>666</t>
        </is>
      </c>
    </row>
    <row r="686">
      <c r="A686" t="inlineStr">
        <is>
          <t>ROQUE VENTURA ALDO EUGENIO.pdf</t>
        </is>
      </c>
      <c r="B686">
        <f>HYPERLINK("C:\Users\lmonroy\Tema\ENERO\ALTAS\OTROS PROYECTOS\ROQUE VENTURA ALDO EUGENIO.pdf", "Link")</f>
        <v/>
      </c>
      <c r="C686" t="n">
        <v>15178</v>
      </c>
      <c r="D686" t="inlineStr">
        <is>
          <t>2024-01-03 16:29:29</t>
        </is>
      </c>
      <c r="E686" t="inlineStr">
        <is>
          <t>2024-01-30 11:03:13</t>
        </is>
      </c>
      <c r="F686" t="inlineStr">
        <is>
          <t>666</t>
        </is>
      </c>
    </row>
    <row r="687">
      <c r="A687" t="inlineStr">
        <is>
          <t>ROSAS ROJAS JACOB.pdf</t>
        </is>
      </c>
      <c r="B687">
        <f>HYPERLINK("C:\Users\lmonroy\Tema\ENERO\ALTAS\OTROS PROYECTOS\ROSAS ROJAS JACOB.pdf", "Link")</f>
        <v/>
      </c>
      <c r="C687" t="n">
        <v>6323</v>
      </c>
      <c r="D687" t="inlineStr">
        <is>
          <t>2024-01-30 10:46:46</t>
        </is>
      </c>
      <c r="E687" t="inlineStr">
        <is>
          <t>2024-01-30 10:46:45</t>
        </is>
      </c>
      <c r="F687" t="inlineStr">
        <is>
          <t>666</t>
        </is>
      </c>
    </row>
    <row r="688">
      <c r="A688" t="inlineStr">
        <is>
          <t>RUIZ LEVEAU JORGE NELSON.pdf</t>
        </is>
      </c>
      <c r="B688">
        <f>HYPERLINK("C:\Users\lmonroy\Tema\ENERO\ALTAS\OTROS PROYECTOS\RUIZ LEVEAU JORGE NELSON.pdf", "Link")</f>
        <v/>
      </c>
      <c r="C688" t="n">
        <v>22596</v>
      </c>
      <c r="D688" t="inlineStr">
        <is>
          <t>2024-01-03 16:47:35</t>
        </is>
      </c>
      <c r="E688" t="inlineStr">
        <is>
          <t>2024-01-30 11:03:13</t>
        </is>
      </c>
      <c r="F688" t="inlineStr">
        <is>
          <t>666</t>
        </is>
      </c>
    </row>
    <row r="689">
      <c r="A689" t="inlineStr">
        <is>
          <t>SANTOS VELIZ CARLOS PIERO.pdf</t>
        </is>
      </c>
      <c r="B689">
        <f>HYPERLINK("C:\Users\lmonroy\Tema\ENERO\ALTAS\OTROS PROYECTOS\SANTOS VELIZ CARLOS PIERO.pdf", "Link")</f>
        <v/>
      </c>
      <c r="C689" t="n">
        <v>14158</v>
      </c>
      <c r="D689" t="inlineStr">
        <is>
          <t>2024-01-03 16:25:27</t>
        </is>
      </c>
      <c r="E689" t="inlineStr">
        <is>
          <t>2024-01-30 10:59:53</t>
        </is>
      </c>
      <c r="F689" t="inlineStr">
        <is>
          <t>666</t>
        </is>
      </c>
    </row>
    <row r="690">
      <c r="A690" t="inlineStr">
        <is>
          <t>SEBASTIAN MAÑANGO EDUARDO.pdf</t>
        </is>
      </c>
      <c r="B690">
        <f>HYPERLINK("C:\Users\lmonroy\Tema\ENERO\ALTAS\OTROS PROYECTOS\SEBASTIAN MAÑANGO EDUARDO.pdf", "Link")</f>
        <v/>
      </c>
      <c r="C690" t="n">
        <v>14096</v>
      </c>
      <c r="D690" t="inlineStr">
        <is>
          <t>2024-01-02 19:21:36</t>
        </is>
      </c>
      <c r="E690" t="inlineStr">
        <is>
          <t>2024-01-30 10:52:36</t>
        </is>
      </c>
      <c r="F690" t="inlineStr">
        <is>
          <t>666</t>
        </is>
      </c>
    </row>
    <row r="691">
      <c r="A691" t="inlineStr">
        <is>
          <t>SEGURA RODRIGUEZ BREYDHI ERICK.pdf</t>
        </is>
      </c>
      <c r="B691">
        <f>HYPERLINK("C:\Users\lmonroy\Tema\ENERO\ALTAS\OTROS PROYECTOS\SEGURA RODRIGUEZ BREYDHI ERICK.pdf", "Link")</f>
        <v/>
      </c>
      <c r="C691" t="n">
        <v>14175</v>
      </c>
      <c r="D691" t="inlineStr">
        <is>
          <t>2024-01-03 16:34:35</t>
        </is>
      </c>
      <c r="E691" t="inlineStr">
        <is>
          <t>2024-01-30 11:03:13</t>
        </is>
      </c>
      <c r="F691" t="inlineStr">
        <is>
          <t>666</t>
        </is>
      </c>
    </row>
    <row r="692">
      <c r="A692" t="inlineStr">
        <is>
          <t>SHIGA NUÑEZ KENZO ALEJANDRO.pdf</t>
        </is>
      </c>
      <c r="B692">
        <f>HYPERLINK("C:\Users\lmonroy\Tema\ENERO\ALTAS\OTROS PROYECTOS\SHIGA NUÑEZ KENZO ALEJANDRO.pdf", "Link")</f>
        <v/>
      </c>
      <c r="C692" t="n">
        <v>14092</v>
      </c>
      <c r="D692" t="inlineStr">
        <is>
          <t>2024-01-02 14:33:31</t>
        </is>
      </c>
      <c r="E692" t="inlineStr">
        <is>
          <t>2024-01-30 11:00:52</t>
        </is>
      </c>
      <c r="F692" t="inlineStr">
        <is>
          <t>666</t>
        </is>
      </c>
    </row>
    <row r="693">
      <c r="A693" t="inlineStr">
        <is>
          <t>SIERRA VEGA CELIA EMILIA.pdf</t>
        </is>
      </c>
      <c r="B693">
        <f>HYPERLINK("C:\Users\lmonroy\Tema\ENERO\ALTAS\OTROS PROYECTOS\SIERRA VEGA CELIA EMILIA.pdf", "Link")</f>
        <v/>
      </c>
      <c r="C693" t="n">
        <v>14115</v>
      </c>
      <c r="D693" t="inlineStr">
        <is>
          <t>2024-01-03 16:46:30</t>
        </is>
      </c>
      <c r="E693" t="inlineStr">
        <is>
          <t>2024-01-30 11:03:13</t>
        </is>
      </c>
      <c r="F693" t="inlineStr">
        <is>
          <t>666</t>
        </is>
      </c>
    </row>
    <row r="694">
      <c r="A694" t="inlineStr">
        <is>
          <t>SOLÍS BENITES JOSÉ AUGUSTO.pdf</t>
        </is>
      </c>
      <c r="B694">
        <f>HYPERLINK("C:\Users\lmonroy\Tema\ENERO\ALTAS\OTROS PROYECTOS\SOLÍS BENITES JOSÉ AUGUSTO.pdf", "Link")</f>
        <v/>
      </c>
      <c r="C694" t="n">
        <v>14162</v>
      </c>
      <c r="D694" t="inlineStr">
        <is>
          <t>2024-01-03 16:36:51</t>
        </is>
      </c>
      <c r="E694" t="inlineStr">
        <is>
          <t>2024-01-30 11:03:13</t>
        </is>
      </c>
      <c r="F694" t="inlineStr">
        <is>
          <t>666</t>
        </is>
      </c>
    </row>
    <row r="695">
      <c r="A695" t="inlineStr">
        <is>
          <t>SORIANO CANTARO VLADIMIR GERONIMO.pdf</t>
        </is>
      </c>
      <c r="B695">
        <f>HYPERLINK("C:\Users\lmonroy\Tema\ENERO\ALTAS\OTROS PROYECTOS\SORIANO CANTARO VLADIMIR GERONIMO.pdf", "Link")</f>
        <v/>
      </c>
      <c r="C695" t="n">
        <v>15771</v>
      </c>
      <c r="D695" t="inlineStr">
        <is>
          <t>2024-01-02 16:02:28</t>
        </is>
      </c>
      <c r="E695" t="inlineStr">
        <is>
          <t>2024-01-30 11:00:30</t>
        </is>
      </c>
      <c r="F695" t="inlineStr">
        <is>
          <t>666</t>
        </is>
      </c>
    </row>
    <row r="696">
      <c r="A696" t="inlineStr">
        <is>
          <t>TAPIA TORRES TITO HERSON.pdf</t>
        </is>
      </c>
      <c r="B696">
        <f>HYPERLINK("C:\Users\lmonroy\Tema\ENERO\ALTAS\OTROS PROYECTOS\TAPIA TORRES TITO HERSON.pdf", "Link")</f>
        <v/>
      </c>
      <c r="C696" t="n">
        <v>14786</v>
      </c>
      <c r="D696" t="inlineStr">
        <is>
          <t>2024-01-02 16:12:24</t>
        </is>
      </c>
      <c r="E696" t="inlineStr">
        <is>
          <t>2024-01-30 11:00:30</t>
        </is>
      </c>
      <c r="F696" t="inlineStr">
        <is>
          <t>666</t>
        </is>
      </c>
    </row>
    <row r="697">
      <c r="A697" t="inlineStr">
        <is>
          <t>TRAVEZAÑO AMBROSIO MARIELLA ALEJANDRA.pdf</t>
        </is>
      </c>
      <c r="B697">
        <f>HYPERLINK("C:\Users\lmonroy\Tema\ENERO\ALTAS\OTROS PROYECTOS\TRAVEZAÑO AMBROSIO MARIELLA ALEJANDRA.pdf", "Link")</f>
        <v/>
      </c>
      <c r="C697" t="n">
        <v>14754</v>
      </c>
      <c r="D697" t="inlineStr">
        <is>
          <t>2024-01-03 16:30:46</t>
        </is>
      </c>
      <c r="E697" t="inlineStr">
        <is>
          <t>2024-01-30 11:03:13</t>
        </is>
      </c>
      <c r="F697" t="inlineStr">
        <is>
          <t>666</t>
        </is>
      </c>
    </row>
    <row r="698">
      <c r="A698" t="inlineStr">
        <is>
          <t>TUCTO CUEVA EDWAR.pdf</t>
        </is>
      </c>
      <c r="B698">
        <f>HYPERLINK("C:\Users\lmonroy\Tema\ENERO\ALTAS\OTROS PROYECTOS\TUCTO CUEVA EDWAR.pdf", "Link")</f>
        <v/>
      </c>
      <c r="C698" t="n">
        <v>14776</v>
      </c>
      <c r="D698" t="inlineStr">
        <is>
          <t>2024-01-02 14:50:13</t>
        </is>
      </c>
      <c r="E698" t="inlineStr">
        <is>
          <t>2024-01-30 11:00:52</t>
        </is>
      </c>
      <c r="F698" t="inlineStr">
        <is>
          <t>666</t>
        </is>
      </c>
    </row>
    <row r="699">
      <c r="A699" t="inlineStr">
        <is>
          <t>UTURUNCO PEÑA ANGIE CHRISTIE JANNINE.pdf</t>
        </is>
      </c>
      <c r="B699">
        <f>HYPERLINK("C:\Users\lmonroy\Tema\ENERO\ALTAS\OTROS PROYECTOS\UTURUNCO PEÑA ANGIE CHRISTIE JANNINE.pdf", "Link")</f>
        <v/>
      </c>
      <c r="C699" t="n">
        <v>15291</v>
      </c>
      <c r="D699" t="inlineStr">
        <is>
          <t>2024-01-30 10:47:44</t>
        </is>
      </c>
      <c r="E699" t="inlineStr">
        <is>
          <t>2024-01-30 10:47:44</t>
        </is>
      </c>
      <c r="F699" t="inlineStr">
        <is>
          <t>666</t>
        </is>
      </c>
    </row>
    <row r="700">
      <c r="A700" t="inlineStr">
        <is>
          <t>VALDIVIEZO ALVARADO DAVID.pdf</t>
        </is>
      </c>
      <c r="B700">
        <f>HYPERLINK("C:\Users\lmonroy\Tema\ENERO\ALTAS\OTROS PROYECTOS\VALDIVIEZO ALVARADO DAVID.pdf", "Link")</f>
        <v/>
      </c>
      <c r="C700" t="n">
        <v>14841</v>
      </c>
      <c r="D700" t="inlineStr">
        <is>
          <t>2024-01-02 16:15:54</t>
        </is>
      </c>
      <c r="E700" t="inlineStr">
        <is>
          <t>2024-01-30 11:00:30</t>
        </is>
      </c>
      <c r="F700" t="inlineStr">
        <is>
          <t>666</t>
        </is>
      </c>
    </row>
    <row r="701">
      <c r="A701" t="inlineStr">
        <is>
          <t>VALENTIN DELGADO DAVID ALONZO.pdf</t>
        </is>
      </c>
      <c r="B701">
        <f>HYPERLINK("C:\Users\lmonroy\Tema\ENERO\ALTAS\OTROS PROYECTOS\VALENTIN DELGADO DAVID ALONZO.pdf", "Link")</f>
        <v/>
      </c>
      <c r="C701" t="n">
        <v>15438</v>
      </c>
      <c r="D701" t="inlineStr">
        <is>
          <t>2024-01-02 16:50:48</t>
        </is>
      </c>
      <c r="E701" t="inlineStr">
        <is>
          <t>2024-01-30 11:02:42</t>
        </is>
      </c>
      <c r="F701" t="inlineStr">
        <is>
          <t>666</t>
        </is>
      </c>
    </row>
    <row r="702">
      <c r="A702" t="inlineStr">
        <is>
          <t>VALLE EFFIO ESTHER MILY.pdf</t>
        </is>
      </c>
      <c r="B702">
        <f>HYPERLINK("C:\Users\lmonroy\Tema\ENERO\ALTAS\OTROS PROYECTOS\VALLE EFFIO ESTHER MILY.pdf", "Link")</f>
        <v/>
      </c>
      <c r="C702" t="n">
        <v>15441</v>
      </c>
      <c r="D702" t="inlineStr">
        <is>
          <t>2024-01-03 16:28:31</t>
        </is>
      </c>
      <c r="E702" t="inlineStr">
        <is>
          <t>2024-01-30 11:03:13</t>
        </is>
      </c>
      <c r="F702" t="inlineStr">
        <is>
          <t>666</t>
        </is>
      </c>
    </row>
    <row r="703">
      <c r="A703" t="inlineStr">
        <is>
          <t>VARGAS ROMAN AUGUSTO EMILIO.pdf</t>
        </is>
      </c>
      <c r="B703">
        <f>HYPERLINK("C:\Users\lmonroy\Tema\ENERO\ALTAS\OTROS PROYECTOS\VARGAS ROMAN AUGUSTO EMILIO.pdf", "Link")</f>
        <v/>
      </c>
      <c r="C703" t="n">
        <v>14841</v>
      </c>
      <c r="D703" t="inlineStr">
        <is>
          <t>2024-01-03 16:33:27</t>
        </is>
      </c>
      <c r="E703" t="inlineStr">
        <is>
          <t>2024-01-30 11:03:13</t>
        </is>
      </c>
      <c r="F703" t="inlineStr">
        <is>
          <t>666</t>
        </is>
      </c>
    </row>
    <row r="704">
      <c r="A704" t="inlineStr">
        <is>
          <t>VILLEGAS MENDRO PETER.pdf</t>
        </is>
      </c>
      <c r="B704">
        <f>HYPERLINK("C:\Users\lmonroy\Tema\ENERO\ALTAS\OTROS PROYECTOS\VILLEGAS MENDRO PETER.pdf", "Link")</f>
        <v/>
      </c>
      <c r="C704" t="n">
        <v>14143</v>
      </c>
      <c r="D704" t="inlineStr">
        <is>
          <t>2024-01-02 19:36:14</t>
        </is>
      </c>
      <c r="E704" t="inlineStr">
        <is>
          <t>2024-01-30 10:52:36</t>
        </is>
      </c>
      <c r="F704" t="inlineStr">
        <is>
          <t>666</t>
        </is>
      </c>
    </row>
    <row r="705">
      <c r="A705" t="inlineStr">
        <is>
          <t>VIZCARRA BEDOYA CARLOS ENRIQUE.pdf</t>
        </is>
      </c>
      <c r="B705">
        <f>HYPERLINK("C:\Users\lmonroy\Tema\ENERO\ALTAS\OTROS PROYECTOS\VIZCARRA BEDOYA CARLOS ENRIQUE.pdf", "Link")</f>
        <v/>
      </c>
      <c r="C705" t="n">
        <v>15595</v>
      </c>
      <c r="D705" t="inlineStr">
        <is>
          <t>2024-01-03 16:26:44</t>
        </is>
      </c>
      <c r="E705" t="inlineStr">
        <is>
          <t>2024-01-30 10:59:53</t>
        </is>
      </c>
      <c r="F705" t="inlineStr">
        <is>
          <t>666</t>
        </is>
      </c>
    </row>
    <row r="706">
      <c r="A706" t="inlineStr">
        <is>
          <t>YACILA BARRETO RAUL JUNIOR.pdf</t>
        </is>
      </c>
      <c r="B706">
        <f>HYPERLINK("C:\Users\lmonroy\Tema\ENERO\ALTAS\OTROS PROYECTOS\YACILA BARRETO RAUL JUNIOR.pdf", "Link")</f>
        <v/>
      </c>
      <c r="C706" t="n">
        <v>21957</v>
      </c>
      <c r="D706" t="inlineStr">
        <is>
          <t>2024-01-02 12:15:46</t>
        </is>
      </c>
      <c r="E706" t="inlineStr">
        <is>
          <t>2024-01-30 10:59:20</t>
        </is>
      </c>
      <c r="F706" t="inlineStr">
        <is>
          <t>666</t>
        </is>
      </c>
    </row>
    <row r="707">
      <c r="A707" t="inlineStr">
        <is>
          <t>ZAVALETA MATOS ALEJANDRO ELEODORO.pdf</t>
        </is>
      </c>
      <c r="B707">
        <f>HYPERLINK("C:\Users\lmonroy\Tema\ENERO\ALTAS\OTROS PROYECTOS\ZAVALETA MATOS ALEJANDRO ELEODORO.pdf", "Link")</f>
        <v/>
      </c>
      <c r="C707" t="n">
        <v>14175</v>
      </c>
      <c r="D707" t="inlineStr">
        <is>
          <t>2024-01-03 16:32:19</t>
        </is>
      </c>
      <c r="E707" t="inlineStr">
        <is>
          <t>2024-01-30 11:03:13</t>
        </is>
      </c>
      <c r="F707" t="inlineStr">
        <is>
          <t>666</t>
        </is>
      </c>
    </row>
    <row r="708">
      <c r="A708" t="inlineStr">
        <is>
          <t>ARVILDO ROJAS, JHONY LIMBER.pdf</t>
        </is>
      </c>
      <c r="B708">
        <f>HYPERLINK("C:\Users\lmonroy\Tema\ENERO\ALTAS\PROYECTO 62531\ARVILDO ROJAS, JHONY LIMBER.pdf", "Link")</f>
        <v/>
      </c>
      <c r="C708" t="n">
        <v>34964</v>
      </c>
      <c r="D708" t="inlineStr">
        <is>
          <t>2024-01-30 11:18:44</t>
        </is>
      </c>
      <c r="E708" t="inlineStr">
        <is>
          <t>2024-01-30 11:18:44</t>
        </is>
      </c>
      <c r="F708" t="inlineStr">
        <is>
          <t>666</t>
        </is>
      </c>
    </row>
    <row r="709">
      <c r="A709" t="inlineStr">
        <is>
          <t>ASIPALI IRARICA, EVIL MIGUEL.pdf</t>
        </is>
      </c>
      <c r="B709">
        <f>HYPERLINK("C:\Users\lmonroy\Tema\ENERO\ALTAS\PROYECTO 62531\ASIPALI IRARICA, EVIL MIGUEL.pdf", "Link")</f>
        <v/>
      </c>
      <c r="C709" t="n">
        <v>35455</v>
      </c>
      <c r="D709" t="inlineStr">
        <is>
          <t>2024-01-02 20:50:37</t>
        </is>
      </c>
      <c r="E709" t="inlineStr">
        <is>
          <t>2024-01-30 11:15:44</t>
        </is>
      </c>
      <c r="F709" t="inlineStr">
        <is>
          <t>666</t>
        </is>
      </c>
    </row>
    <row r="710">
      <c r="A710" t="inlineStr">
        <is>
          <t>ASIPALI IRARICA, PERSEO SALOMON.pdf</t>
        </is>
      </c>
      <c r="B710">
        <f>HYPERLINK("C:\Users\lmonroy\Tema\ENERO\ALTAS\PROYECTO 62531\ASIPALI IRARICA, PERSEO SALOMON.pdf", "Link")</f>
        <v/>
      </c>
      <c r="C710" t="n">
        <v>35022</v>
      </c>
      <c r="D710" t="inlineStr">
        <is>
          <t>2024-01-02 20:50:37</t>
        </is>
      </c>
      <c r="E710" t="inlineStr">
        <is>
          <t>2024-01-30 11:15:44</t>
        </is>
      </c>
      <c r="F710" t="inlineStr">
        <is>
          <t>666</t>
        </is>
      </c>
    </row>
    <row r="711">
      <c r="A711" t="inlineStr">
        <is>
          <t>ASIPALI IRARICA, PETER ISRAEL.pdf</t>
        </is>
      </c>
      <c r="B711">
        <f>HYPERLINK("C:\Users\lmonroy\Tema\ENERO\ALTAS\PROYECTO 62531\ASIPALI IRARICA, PETER ISRAEL.pdf", "Link")</f>
        <v/>
      </c>
      <c r="C711" t="n">
        <v>35019</v>
      </c>
      <c r="D711" t="inlineStr">
        <is>
          <t>2024-01-02 20:50:39</t>
        </is>
      </c>
      <c r="E711" t="inlineStr">
        <is>
          <t>2024-01-30 11:15:44</t>
        </is>
      </c>
      <c r="F711" t="inlineStr">
        <is>
          <t>666</t>
        </is>
      </c>
    </row>
    <row r="712">
      <c r="A712" t="inlineStr">
        <is>
          <t>ASIPALI ZAMBRANO, JUAN MIGUEL.pdf</t>
        </is>
      </c>
      <c r="B712">
        <f>HYPERLINK("C:\Users\lmonroy\Tema\ENERO\ALTAS\PROYECTO 62531\ASIPALI ZAMBRANO, JUAN MIGUEL.pdf", "Link")</f>
        <v/>
      </c>
      <c r="C712" t="n">
        <v>35446</v>
      </c>
      <c r="D712" t="inlineStr">
        <is>
          <t>2024-01-02 20:50:40</t>
        </is>
      </c>
      <c r="E712" t="inlineStr">
        <is>
          <t>2024-01-30 11:15:44</t>
        </is>
      </c>
      <c r="F712" t="inlineStr">
        <is>
          <t>666</t>
        </is>
      </c>
    </row>
    <row r="713">
      <c r="A713" t="inlineStr">
        <is>
          <t>CASERIO OLLANTA LORETO-LORETO-URARINAS.pdf</t>
        </is>
      </c>
      <c r="B713">
        <f>HYPERLINK("C:\Users\lmonroy\Tema\ENERO\ALTAS\PROYECTO 62531\CASERIO OLLANTA LORETO-LORETO-URARINAS.pdf", "Link")</f>
        <v/>
      </c>
      <c r="C713" t="n">
        <v>34958</v>
      </c>
      <c r="D713" t="inlineStr">
        <is>
          <t>2024-01-02 20:50:51</t>
        </is>
      </c>
      <c r="E713" t="inlineStr">
        <is>
          <t>2024-01-30 11:15:44</t>
        </is>
      </c>
      <c r="F713" t="inlineStr">
        <is>
          <t>666</t>
        </is>
      </c>
    </row>
    <row r="714">
      <c r="A714" t="inlineStr">
        <is>
          <t>CATASHUNGA PAREDES ADRIAN ANDERSON (1).pdf</t>
        </is>
      </c>
      <c r="B714">
        <f>HYPERLINK("C:\Users\lmonroy\Tema\ENERO\ALTAS\PROYECTO 62531\CATASHUNGA PAREDES ADRIAN ANDERSON (1).pdf", "Link")</f>
        <v/>
      </c>
      <c r="C714" t="n">
        <v>14564</v>
      </c>
      <c r="D714" t="inlineStr">
        <is>
          <t>2024-01-30 11:18:21</t>
        </is>
      </c>
      <c r="E714" t="inlineStr">
        <is>
          <t>2024-01-30 11:18:21</t>
        </is>
      </c>
      <c r="F714" t="inlineStr">
        <is>
          <t>666</t>
        </is>
      </c>
    </row>
    <row r="715">
      <c r="A715" t="inlineStr">
        <is>
          <t>CHISTAMA GARCIA, CECILIO.pdf</t>
        </is>
      </c>
      <c r="B715">
        <f>HYPERLINK("C:\Users\lmonroy\Tema\ENERO\ALTAS\PROYECTO 62531\CHISTAMA GARCIA, CECILIO.pdf", "Link")</f>
        <v/>
      </c>
      <c r="C715" t="n">
        <v>35393</v>
      </c>
      <c r="D715" t="inlineStr">
        <is>
          <t>2024-01-02 20:50:41</t>
        </is>
      </c>
      <c r="E715" t="inlineStr">
        <is>
          <t>2024-01-30 11:15:44</t>
        </is>
      </c>
      <c r="F715" t="inlineStr">
        <is>
          <t>666</t>
        </is>
      </c>
    </row>
    <row r="716">
      <c r="A716" t="inlineStr">
        <is>
          <t>CUNAYA MACUSI, JORGE.pdf</t>
        </is>
      </c>
      <c r="B716">
        <f>HYPERLINK("C:\Users\lmonroy\Tema\ENERO\ALTAS\PROYECTO 62531\CUNAYA MACUSI, JORGE.pdf", "Link")</f>
        <v/>
      </c>
      <c r="C716" t="n">
        <v>35016</v>
      </c>
      <c r="D716" t="inlineStr">
        <is>
          <t>2024-01-02 20:50:42</t>
        </is>
      </c>
      <c r="E716" t="inlineStr">
        <is>
          <t>2024-01-30 11:15:44</t>
        </is>
      </c>
      <c r="F716" t="inlineStr">
        <is>
          <t>666</t>
        </is>
      </c>
    </row>
    <row r="717">
      <c r="A717" t="inlineStr">
        <is>
          <t>DEL AGUILA APAGUEÑO, CRISTIAN JESUS.pdf</t>
        </is>
      </c>
      <c r="B717">
        <f>HYPERLINK("C:\Users\lmonroy\Tema\ENERO\ALTAS\PROYECTO 62531\DEL AGUILA APAGUEÑO, CRISTIAN JESUS.pdf", "Link")</f>
        <v/>
      </c>
      <c r="C717" t="n">
        <v>34962</v>
      </c>
      <c r="D717" t="inlineStr">
        <is>
          <t>2024-01-02 20:50:43</t>
        </is>
      </c>
      <c r="E717" t="inlineStr">
        <is>
          <t>2024-01-30 11:15:44</t>
        </is>
      </c>
      <c r="F717" t="inlineStr">
        <is>
          <t>666</t>
        </is>
      </c>
    </row>
    <row r="718">
      <c r="A718" t="inlineStr">
        <is>
          <t>DONAYRE LOPEZ, EDSON PAOLO.pdf</t>
        </is>
      </c>
      <c r="B718">
        <f>HYPERLINK("C:\Users\lmonroy\Tema\ENERO\ALTAS\PROYECTO 62531\DONAYRE LOPEZ, EDSON PAOLO.pdf", "Link")</f>
        <v/>
      </c>
      <c r="C718" t="n">
        <v>34971</v>
      </c>
      <c r="D718" t="inlineStr">
        <is>
          <t>2024-01-02 21:18:27</t>
        </is>
      </c>
      <c r="E718" t="inlineStr">
        <is>
          <t>2024-01-30 11:15:44</t>
        </is>
      </c>
      <c r="F718" t="inlineStr">
        <is>
          <t>666</t>
        </is>
      </c>
    </row>
    <row r="719">
      <c r="A719" t="inlineStr">
        <is>
          <t>FASABI SHUPINGAHUA KERMAN.pdf</t>
        </is>
      </c>
      <c r="B719">
        <f>HYPERLINK("C:\Users\lmonroy\Tema\ENERO\ALTAS\PROYECTO 62531\FASABI SHUPINGAHUA KERMAN.pdf", "Link")</f>
        <v/>
      </c>
      <c r="C719" t="n">
        <v>14113</v>
      </c>
      <c r="D719" t="inlineStr">
        <is>
          <t>2024-01-30 11:28:24</t>
        </is>
      </c>
      <c r="E719" t="inlineStr">
        <is>
          <t>2024-01-30 11:28:23</t>
        </is>
      </c>
      <c r="F719" t="inlineStr">
        <is>
          <t>666</t>
        </is>
      </c>
    </row>
    <row r="720">
      <c r="A720" t="inlineStr">
        <is>
          <t>FASANANDO TUESTA, ARQUIMIDES.pdf</t>
        </is>
      </c>
      <c r="B720">
        <f>HYPERLINK("C:\Users\lmonroy\Tema\ENERO\ALTAS\PROYECTO 62531\FASANANDO TUESTA, ARQUIMIDES.pdf", "Link")</f>
        <v/>
      </c>
      <c r="C720" t="n">
        <v>35460</v>
      </c>
      <c r="D720" t="inlineStr">
        <is>
          <t>2024-01-02 20:50:44</t>
        </is>
      </c>
      <c r="E720" t="inlineStr">
        <is>
          <t>2024-01-30 11:15:44</t>
        </is>
      </c>
      <c r="F720" t="inlineStr">
        <is>
          <t>666</t>
        </is>
      </c>
    </row>
    <row r="721">
      <c r="A721" t="inlineStr">
        <is>
          <t>GALAN ROJAS, EDWIN PETER.pdf</t>
        </is>
      </c>
      <c r="B721">
        <f>HYPERLINK("C:\Users\lmonroy\Tema\ENERO\ALTAS\PROYECTO 62531\GALAN ROJAS, EDWIN PETER.pdf", "Link")</f>
        <v/>
      </c>
      <c r="C721" t="n">
        <v>35011</v>
      </c>
      <c r="D721" t="inlineStr">
        <is>
          <t>2024-01-02 20:50:45</t>
        </is>
      </c>
      <c r="E721" t="inlineStr">
        <is>
          <t>2024-01-30 11:15:44</t>
        </is>
      </c>
      <c r="F721" t="inlineStr">
        <is>
          <t>666</t>
        </is>
      </c>
    </row>
    <row r="722">
      <c r="A722" t="inlineStr">
        <is>
          <t>HUIÑAPI DEL CASTILLO, HILTER.pdf</t>
        </is>
      </c>
      <c r="B722">
        <f>HYPERLINK("C:\Users\lmonroy\Tema\ENERO\ALTAS\PROYECTO 62531\HUIÑAPI DEL CASTILLO, HILTER.pdf", "Link")</f>
        <v/>
      </c>
      <c r="C722" t="n">
        <v>35458</v>
      </c>
      <c r="D722" t="inlineStr">
        <is>
          <t>2024-01-02 20:50:46</t>
        </is>
      </c>
      <c r="E722" t="inlineStr">
        <is>
          <t>2024-01-30 11:15:44</t>
        </is>
      </c>
      <c r="F722" t="inlineStr">
        <is>
          <t>666</t>
        </is>
      </c>
    </row>
    <row r="723">
      <c r="A723" t="inlineStr">
        <is>
          <t>IGNACIO VICTORIANO ROBINSON.pdf</t>
        </is>
      </c>
      <c r="B723">
        <f>HYPERLINK("C:\Users\lmonroy\Tema\ENERO\ALTAS\PROYECTO 62531\IGNACIO VICTORIANO ROBINSON.pdf", "Link")</f>
        <v/>
      </c>
      <c r="C723" t="n">
        <v>14553</v>
      </c>
      <c r="D723" t="inlineStr">
        <is>
          <t>2024-01-30 11:18:19</t>
        </is>
      </c>
      <c r="E723" t="inlineStr">
        <is>
          <t>2024-01-30 11:18:19</t>
        </is>
      </c>
      <c r="F723" t="inlineStr">
        <is>
          <t>666</t>
        </is>
      </c>
    </row>
    <row r="724">
      <c r="A724" t="inlineStr">
        <is>
          <t>JIMENEZ VASQUEZ, RICHAR.pdf</t>
        </is>
      </c>
      <c r="B724">
        <f>HYPERLINK("C:\Users\lmonroy\Tema\ENERO\ALTAS\PROYECTO 62531\JIMENEZ VASQUEZ, RICHAR.pdf", "Link")</f>
        <v/>
      </c>
      <c r="C724" t="n">
        <v>35455</v>
      </c>
      <c r="D724" t="inlineStr">
        <is>
          <t>2024-01-02 20:50:47</t>
        </is>
      </c>
      <c r="E724" t="inlineStr">
        <is>
          <t>2024-01-30 11:15:44</t>
        </is>
      </c>
      <c r="F724" t="inlineStr">
        <is>
          <t>666</t>
        </is>
      </c>
    </row>
    <row r="725">
      <c r="A725" t="inlineStr">
        <is>
          <t>MALAFAYA RENGIFO LORENZO.pdf</t>
        </is>
      </c>
      <c r="B725">
        <f>HYPERLINK("C:\Users\lmonroy\Tema\ENERO\ALTAS\PROYECTO 62531\MALAFAYA RENGIFO LORENZO.pdf", "Link")</f>
        <v/>
      </c>
      <c r="C725" t="n">
        <v>14099</v>
      </c>
      <c r="D725" t="inlineStr">
        <is>
          <t>2024-01-30 11:37:21</t>
        </is>
      </c>
      <c r="E725" t="inlineStr">
        <is>
          <t>2024-01-30 11:37:20</t>
        </is>
      </c>
      <c r="F725" t="inlineStr">
        <is>
          <t>666</t>
        </is>
      </c>
    </row>
    <row r="726">
      <c r="A726" t="inlineStr">
        <is>
          <t>MENDOZA CUEVA EDINSON.pdf</t>
        </is>
      </c>
      <c r="B726">
        <f>HYPERLINK("C:\Users\lmonroy\Tema\ENERO\ALTAS\PROYECTO 62531\MENDOZA CUEVA EDINSON.pdf", "Link")</f>
        <v/>
      </c>
      <c r="C726" t="n">
        <v>14488</v>
      </c>
      <c r="D726" t="inlineStr">
        <is>
          <t>2024-01-22 12:38:50</t>
        </is>
      </c>
      <c r="E726" t="inlineStr">
        <is>
          <t>2024-01-30 11:37:04</t>
        </is>
      </c>
      <c r="F726" t="inlineStr">
        <is>
          <t>666</t>
        </is>
      </c>
    </row>
    <row r="727">
      <c r="A727" t="inlineStr">
        <is>
          <t>MOZOMBITE RODRIGUEZ, SEGUNDO SERAPIO.pdf</t>
        </is>
      </c>
      <c r="B727">
        <f>HYPERLINK("C:\Users\lmonroy\Tema\ENERO\ALTAS\PROYECTO 62531\MOZOMBITE RODRIGUEZ, SEGUNDO SERAPIO.pdf", "Link")</f>
        <v/>
      </c>
      <c r="C727" t="n">
        <v>34962</v>
      </c>
      <c r="D727" t="inlineStr">
        <is>
          <t>2024-01-02 20:50:48</t>
        </is>
      </c>
      <c r="E727" t="inlineStr">
        <is>
          <t>2024-01-30 11:15:44</t>
        </is>
      </c>
      <c r="F727" t="inlineStr">
        <is>
          <t>666</t>
        </is>
      </c>
    </row>
    <row r="728">
      <c r="A728" t="inlineStr">
        <is>
          <t>NUÑEZ IRARICA, ALDER JHONI.pdf</t>
        </is>
      </c>
      <c r="B728">
        <f>HYPERLINK("C:\Users\lmonroy\Tema\ENERO\ALTAS\PROYECTO 62531\NUÑEZ IRARICA, ALDER JHONI.pdf", "Link")</f>
        <v/>
      </c>
      <c r="C728" t="n">
        <v>35456</v>
      </c>
      <c r="D728" t="inlineStr">
        <is>
          <t>2024-01-02 20:50:49</t>
        </is>
      </c>
      <c r="E728" t="inlineStr">
        <is>
          <t>2024-01-30 11:15:44</t>
        </is>
      </c>
      <c r="F728" t="inlineStr">
        <is>
          <t>666</t>
        </is>
      </c>
    </row>
    <row r="729">
      <c r="A729" t="inlineStr">
        <is>
          <t>PANDURO MARAPARA PATSY YESSABELA.pdf</t>
        </is>
      </c>
      <c r="B729">
        <f>HYPERLINK("C:\Users\lmonroy\Tema\ENERO\ALTAS\PROYECTO 62531\PANDURO MARAPARA PATSY YESSABELA.pdf", "Link")</f>
        <v/>
      </c>
      <c r="C729" t="n">
        <v>14043</v>
      </c>
      <c r="D729" t="inlineStr">
        <is>
          <t>2024-01-30 11:38:13</t>
        </is>
      </c>
      <c r="E729" t="inlineStr">
        <is>
          <t>2024-01-30 11:38:12</t>
        </is>
      </c>
      <c r="F729" t="inlineStr">
        <is>
          <t>666</t>
        </is>
      </c>
    </row>
    <row r="730">
      <c r="A730" t="inlineStr">
        <is>
          <t>PARDO GONZALES, JOSE LUIS.pdf</t>
        </is>
      </c>
      <c r="B730">
        <f>HYPERLINK("C:\Users\lmonroy\Tema\ENERO\ALTAS\PROYECTO 62531\PARDO GONZALES, JOSE LUIS.pdf", "Link")</f>
        <v/>
      </c>
      <c r="C730" t="n">
        <v>34963</v>
      </c>
      <c r="D730" t="inlineStr">
        <is>
          <t>2024-01-30 11:18:42</t>
        </is>
      </c>
      <c r="E730" t="inlineStr">
        <is>
          <t>2024-01-30 11:18:42</t>
        </is>
      </c>
      <c r="F730" t="inlineStr">
        <is>
          <t>666</t>
        </is>
      </c>
    </row>
    <row r="731">
      <c r="A731" t="inlineStr">
        <is>
          <t>PAREDES PARANA, JOSE LUIS.pdf</t>
        </is>
      </c>
      <c r="B731">
        <f>HYPERLINK("C:\Users\lmonroy\Tema\ENERO\ALTAS\PROYECTO 62531\PAREDES PARANA, JOSE LUIS.pdf", "Link")</f>
        <v/>
      </c>
      <c r="C731" t="n">
        <v>35472</v>
      </c>
      <c r="D731" t="inlineStr">
        <is>
          <t>2024-01-02 20:50:50</t>
        </is>
      </c>
      <c r="E731" t="inlineStr">
        <is>
          <t>2024-01-30 11:15:44</t>
        </is>
      </c>
      <c r="F731" t="inlineStr">
        <is>
          <t>666</t>
        </is>
      </c>
    </row>
    <row r="732">
      <c r="A732" t="inlineStr">
        <is>
          <t>PEREZ GARCIA JUNIOR OLIVER.pdf</t>
        </is>
      </c>
      <c r="B732">
        <f>HYPERLINK("C:\Users\lmonroy\Tema\ENERO\ALTAS\PROYECTO 62531\PEREZ GARCIA JUNIOR OLIVER.pdf", "Link")</f>
        <v/>
      </c>
      <c r="C732" t="n">
        <v>34965</v>
      </c>
      <c r="D732" t="inlineStr">
        <is>
          <t>2024-01-22 12:39:54</t>
        </is>
      </c>
      <c r="E732" t="inlineStr">
        <is>
          <t>2024-01-30 11:37:04</t>
        </is>
      </c>
      <c r="F732" t="inlineStr">
        <is>
          <t>666</t>
        </is>
      </c>
    </row>
    <row r="733">
      <c r="A733" t="inlineStr">
        <is>
          <t>RENGIFO BARBOZA, KENGI (1).pdf</t>
        </is>
      </c>
      <c r="B733">
        <f>HYPERLINK("C:\Users\lmonroy\Tema\ENERO\ALTAS\PROYECTO 62531\RENGIFO BARBOZA, KENGI (1).pdf", "Link")</f>
        <v/>
      </c>
      <c r="C733" t="n">
        <v>34942</v>
      </c>
      <c r="D733" t="inlineStr">
        <is>
          <t>2024-01-30 11:18:41</t>
        </is>
      </c>
      <c r="E733" t="inlineStr">
        <is>
          <t>2024-01-30 11:18:41</t>
        </is>
      </c>
      <c r="F733" t="inlineStr">
        <is>
          <t>666</t>
        </is>
      </c>
    </row>
    <row r="734">
      <c r="A734" t="inlineStr">
        <is>
          <t>RENGIFO CARDENAS TITO.pdf</t>
        </is>
      </c>
      <c r="B734">
        <f>HYPERLINK("C:\Users\lmonroy\Tema\ENERO\ALTAS\PROYECTO 62531\RENGIFO CARDENAS TITO.pdf", "Link")</f>
        <v/>
      </c>
      <c r="C734" t="n">
        <v>34969</v>
      </c>
      <c r="D734" t="inlineStr">
        <is>
          <t>2024-01-22 12:39:30</t>
        </is>
      </c>
      <c r="E734" t="inlineStr">
        <is>
          <t>2024-01-30 11:37:04</t>
        </is>
      </c>
      <c r="F734" t="inlineStr">
        <is>
          <t>666</t>
        </is>
      </c>
    </row>
    <row r="735">
      <c r="A735" t="inlineStr">
        <is>
          <t>RUCOBA SAENZ HERMAN ABEL.pdf</t>
        </is>
      </c>
      <c r="B735">
        <f>HYPERLINK("C:\Users\lmonroy\Tema\ENERO\ALTAS\PROYECTO 62531\RUCOBA SAENZ HERMAN ABEL.pdf", "Link")</f>
        <v/>
      </c>
      <c r="C735" t="n">
        <v>34956</v>
      </c>
      <c r="D735" t="inlineStr">
        <is>
          <t>2024-01-22 12:39:14</t>
        </is>
      </c>
      <c r="E735" t="inlineStr">
        <is>
          <t>2024-01-30 11:37:04</t>
        </is>
      </c>
      <c r="F735" t="inlineStr">
        <is>
          <t>666</t>
        </is>
      </c>
    </row>
    <row r="736">
      <c r="A736" t="inlineStr">
        <is>
          <t>SANCHEZ PEZO JHON BRANDO.pdf</t>
        </is>
      </c>
      <c r="B736">
        <f>HYPERLINK("C:\Users\lmonroy\Tema\ENERO\ALTAS\PROYECTO 62531\SANCHEZ PEZO JHON BRANDO.pdf", "Link")</f>
        <v/>
      </c>
      <c r="C736" t="n">
        <v>35013</v>
      </c>
      <c r="D736" t="inlineStr">
        <is>
          <t>2024-01-22 12:39:43</t>
        </is>
      </c>
      <c r="E736" t="inlineStr">
        <is>
          <t>2024-01-30 11:37:04</t>
        </is>
      </c>
      <c r="F736" t="inlineStr">
        <is>
          <t>666</t>
        </is>
      </c>
    </row>
    <row r="737">
      <c r="A737" t="inlineStr">
        <is>
          <t>SILVANO MURAYARI, WILER.pdf</t>
        </is>
      </c>
      <c r="B737">
        <f>HYPERLINK("C:\Users\lmonroy\Tema\ENERO\ALTAS\PROYECTO 62531\SILVANO MURAYARI, WILER.pdf", "Link")</f>
        <v/>
      </c>
      <c r="C737" t="n">
        <v>35462</v>
      </c>
      <c r="D737" t="inlineStr">
        <is>
          <t>2024-01-02 20:50:52</t>
        </is>
      </c>
      <c r="E737" t="inlineStr">
        <is>
          <t>2024-01-30 11:15:44</t>
        </is>
      </c>
      <c r="F737" t="inlineStr">
        <is>
          <t>666</t>
        </is>
      </c>
    </row>
    <row r="738">
      <c r="A738" t="inlineStr">
        <is>
          <t>TUESTA GONZALES, LENIN.pdf</t>
        </is>
      </c>
      <c r="B738">
        <f>HYPERLINK("C:\Users\lmonroy\Tema\ENERO\ALTAS\PROYECTO 62531\TUESTA GONZALES, LENIN.pdf", "Link")</f>
        <v/>
      </c>
      <c r="C738" t="n">
        <v>35468</v>
      </c>
      <c r="D738" t="inlineStr">
        <is>
          <t>2024-01-02 20:50:53</t>
        </is>
      </c>
      <c r="E738" t="inlineStr">
        <is>
          <t>2024-01-30 11:15:44</t>
        </is>
      </c>
      <c r="F738" t="inlineStr">
        <is>
          <t>666</t>
        </is>
      </c>
    </row>
    <row r="739">
      <c r="A739" t="inlineStr">
        <is>
          <t>TUESTA GONZALES, WINSTON.pdf</t>
        </is>
      </c>
      <c r="B739">
        <f>HYPERLINK("C:\Users\lmonroy\Tema\ENERO\ALTAS\PROYECTO 62531\TUESTA GONZALES, WINSTON.pdf", "Link")</f>
        <v/>
      </c>
      <c r="C739" t="n">
        <v>35008</v>
      </c>
      <c r="D739" t="inlineStr">
        <is>
          <t>2024-01-02 20:50:53</t>
        </is>
      </c>
      <c r="E739" t="inlineStr">
        <is>
          <t>2024-01-30 11:15:44</t>
        </is>
      </c>
      <c r="F739" t="inlineStr">
        <is>
          <t>666</t>
        </is>
      </c>
    </row>
    <row r="740">
      <c r="A740" t="inlineStr">
        <is>
          <t>ABARCA CHAVEZ GREGORIO ALFREDO.pdf</t>
        </is>
      </c>
      <c r="B740">
        <f>HYPERLINK("C:\Users\lmonroy\Tema\ENERO\BAJAS\OTROS PROYECTOS\ABARCA CHAVEZ GREGORIO ALFREDO.pdf", "Link")</f>
        <v/>
      </c>
      <c r="C740" t="n">
        <v>27184</v>
      </c>
      <c r="D740" t="inlineStr">
        <is>
          <t>2024-01-29 10:00:21</t>
        </is>
      </c>
      <c r="E740" t="inlineStr">
        <is>
          <t>2024-01-30 11:09:07</t>
        </is>
      </c>
      <c r="F740" t="inlineStr">
        <is>
          <t>666</t>
        </is>
      </c>
    </row>
    <row r="741">
      <c r="A741" t="inlineStr">
        <is>
          <t>ABURTO SANTIAGO JESUS ALEXANDER.pdf</t>
        </is>
      </c>
      <c r="B741">
        <f>HYPERLINK("C:\Users\lmonroy\Tema\ENERO\BAJAS\OTROS PROYECTOS\ABURTO SANTIAGO JESUS ALEXANDER.pdf", "Link")</f>
        <v/>
      </c>
      <c r="C741" t="n">
        <v>27187</v>
      </c>
      <c r="D741" t="inlineStr">
        <is>
          <t>2024-01-29 10:00:19</t>
        </is>
      </c>
      <c r="E741" t="inlineStr">
        <is>
          <t>2024-01-30 11:09:07</t>
        </is>
      </c>
      <c r="F741" t="inlineStr">
        <is>
          <t>666</t>
        </is>
      </c>
    </row>
    <row r="742">
      <c r="A742" t="inlineStr">
        <is>
          <t>ACUÑA MENACHO BRYAN LEONEL.pdf</t>
        </is>
      </c>
      <c r="B742">
        <f>HYPERLINK("C:\Users\lmonroy\Tema\ENERO\BAJAS\OTROS PROYECTOS\ACUÑA MENACHO BRYAN LEONEL.pdf", "Link")</f>
        <v/>
      </c>
      <c r="C742" t="n">
        <v>27181</v>
      </c>
      <c r="D742" t="inlineStr">
        <is>
          <t>2024-01-29 10:05:15</t>
        </is>
      </c>
      <c r="E742" t="inlineStr">
        <is>
          <t>2024-01-30 11:09:07</t>
        </is>
      </c>
      <c r="F742" t="inlineStr">
        <is>
          <t>666</t>
        </is>
      </c>
    </row>
    <row r="743">
      <c r="A743" t="inlineStr">
        <is>
          <t>ACUÑA TARAZONA MARGOTH ELIZABETH.pdf</t>
        </is>
      </c>
      <c r="B743">
        <f>HYPERLINK("C:\Users\lmonroy\Tema\ENERO\BAJAS\OTROS PROYECTOS\ACUÑA TARAZONA MARGOTH ELIZABETH.pdf", "Link")</f>
        <v/>
      </c>
      <c r="C743" t="n">
        <v>6340</v>
      </c>
      <c r="D743" t="inlineStr">
        <is>
          <t>2024-01-30 10:43:52</t>
        </is>
      </c>
      <c r="E743" t="inlineStr">
        <is>
          <t>2024-01-30 10:43:52</t>
        </is>
      </c>
      <c r="F743" t="inlineStr">
        <is>
          <t>666</t>
        </is>
      </c>
    </row>
    <row r="744">
      <c r="A744" t="inlineStr">
        <is>
          <t>AQUINO SEMINARIO MANUEL JESUS.pdf</t>
        </is>
      </c>
      <c r="B744">
        <f>HYPERLINK("C:\Users\lmonroy\Tema\ENERO\BAJAS\OTROS PROYECTOS\AQUINO SEMINARIO MANUEL JESUS.pdf", "Link")</f>
        <v/>
      </c>
      <c r="C744" t="n">
        <v>27180</v>
      </c>
      <c r="D744" t="inlineStr">
        <is>
          <t>2024-01-29 10:05:12</t>
        </is>
      </c>
      <c r="E744" t="inlineStr">
        <is>
          <t>2024-01-30 11:09:07</t>
        </is>
      </c>
      <c r="F744" t="inlineStr">
        <is>
          <t>666</t>
        </is>
      </c>
    </row>
    <row r="745">
      <c r="A745" t="inlineStr">
        <is>
          <t>ARAGON TORRES ANDREA SOLEDAD.pdf</t>
        </is>
      </c>
      <c r="B745">
        <f>HYPERLINK("C:\Users\lmonroy\Tema\ENERO\BAJAS\OTROS PROYECTOS\ARAGON TORRES ANDREA SOLEDAD.pdf", "Link")</f>
        <v/>
      </c>
      <c r="C745" t="n">
        <v>6334</v>
      </c>
      <c r="D745" t="inlineStr">
        <is>
          <t>2024-01-30 10:43:51</t>
        </is>
      </c>
      <c r="E745" t="inlineStr">
        <is>
          <t>2024-01-30 10:43:50</t>
        </is>
      </c>
      <c r="F745" t="inlineStr">
        <is>
          <t>666</t>
        </is>
      </c>
    </row>
    <row r="746">
      <c r="A746" t="inlineStr">
        <is>
          <t>AREVALO ROMERO EVERT.pdf</t>
        </is>
      </c>
      <c r="B746">
        <f>HYPERLINK("C:\Users\lmonroy\Tema\ENERO\BAJAS\OTROS PROYECTOS\AREVALO ROMERO EVERT.pdf", "Link")</f>
        <v/>
      </c>
      <c r="C746" t="n">
        <v>27169</v>
      </c>
      <c r="D746" t="inlineStr">
        <is>
          <t>2024-01-29 09:58:47</t>
        </is>
      </c>
      <c r="E746" t="inlineStr">
        <is>
          <t>2024-01-30 11:09:07</t>
        </is>
      </c>
      <c r="F746" t="inlineStr">
        <is>
          <t>666</t>
        </is>
      </c>
    </row>
    <row r="747">
      <c r="A747" t="inlineStr">
        <is>
          <t>ARRUNATEGUI CARRASCO NICOLAS JOSHUA.pdf</t>
        </is>
      </c>
      <c r="B747">
        <f>HYPERLINK("C:\Users\lmonroy\Tema\ENERO\BAJAS\OTROS PROYECTOS\ARRUNATEGUI CARRASCO NICOLAS JOSHUA.pdf", "Link")</f>
        <v/>
      </c>
      <c r="C747" t="n">
        <v>27187</v>
      </c>
      <c r="D747" t="inlineStr">
        <is>
          <t>2024-01-29 10:05:20</t>
        </is>
      </c>
      <c r="E747" t="inlineStr">
        <is>
          <t>2024-01-30 11:09:07</t>
        </is>
      </c>
      <c r="F747" t="inlineStr">
        <is>
          <t>666</t>
        </is>
      </c>
    </row>
    <row r="748">
      <c r="A748" t="inlineStr">
        <is>
          <t>BARRA MEZA STEVEN SERGIO.pdf</t>
        </is>
      </c>
      <c r="B748">
        <f>HYPERLINK("C:\Users\lmonroy\Tema\ENERO\BAJAS\OTROS PROYECTOS\BARRA MEZA STEVEN SERGIO.pdf", "Link")</f>
        <v/>
      </c>
      <c r="C748" t="n">
        <v>27174</v>
      </c>
      <c r="D748" t="inlineStr">
        <is>
          <t>2024-01-29 09:58:49</t>
        </is>
      </c>
      <c r="E748" t="inlineStr">
        <is>
          <t>2024-01-30 11:09:07</t>
        </is>
      </c>
      <c r="F748" t="inlineStr">
        <is>
          <t>666</t>
        </is>
      </c>
    </row>
    <row r="749">
      <c r="A749" t="inlineStr">
        <is>
          <t>BARRIENTOS FLORES SAUL ROBERTO.pdf</t>
        </is>
      </c>
      <c r="B749">
        <f>HYPERLINK("C:\Users\lmonroy\Tema\ENERO\BAJAS\OTROS PROYECTOS\BARRIENTOS FLORES SAUL ROBERTO.pdf", "Link")</f>
        <v/>
      </c>
      <c r="C749" t="n">
        <v>27180</v>
      </c>
      <c r="D749" t="inlineStr">
        <is>
          <t>2024-01-30 09:09:35</t>
        </is>
      </c>
      <c r="E749" t="inlineStr">
        <is>
          <t>2024-01-30 11:10:07</t>
        </is>
      </c>
      <c r="F749" t="inlineStr">
        <is>
          <t>666</t>
        </is>
      </c>
    </row>
    <row r="750">
      <c r="A750" t="inlineStr">
        <is>
          <t>BARRIOS SALAZAR FRANCO ZABDY.pdf</t>
        </is>
      </c>
      <c r="B750">
        <f>HYPERLINK("C:\Users\lmonroy\Tema\ENERO\BAJAS\OTROS PROYECTOS\BARRIOS SALAZAR FRANCO ZABDY.pdf", "Link")</f>
        <v/>
      </c>
      <c r="C750" t="n">
        <v>27183</v>
      </c>
      <c r="D750" t="inlineStr">
        <is>
          <t>2024-01-29 10:00:25</t>
        </is>
      </c>
      <c r="E750" t="inlineStr">
        <is>
          <t>2024-01-30 11:09:07</t>
        </is>
      </c>
      <c r="F750" t="inlineStr">
        <is>
          <t>666</t>
        </is>
      </c>
    </row>
    <row r="751">
      <c r="A751" t="inlineStr">
        <is>
          <t>BAZAN MATEO MICHAEL ERICSON.pdf</t>
        </is>
      </c>
      <c r="B751">
        <f>HYPERLINK("C:\Users\lmonroy\Tema\ENERO\BAJAS\OTROS PROYECTOS\BAZAN MATEO MICHAEL ERICSON.pdf", "Link")</f>
        <v/>
      </c>
      <c r="C751" t="n">
        <v>27181</v>
      </c>
      <c r="D751" t="inlineStr">
        <is>
          <t>2024-01-29 09:59:17</t>
        </is>
      </c>
      <c r="E751" t="inlineStr">
        <is>
          <t>2024-01-30 11:09:07</t>
        </is>
      </c>
      <c r="F751" t="inlineStr">
        <is>
          <t>666</t>
        </is>
      </c>
    </row>
    <row r="752">
      <c r="A752" t="inlineStr">
        <is>
          <t>BERMUDEZ NAPAN JUAN LUIS.pdf</t>
        </is>
      </c>
      <c r="B752">
        <f>HYPERLINK("C:\Users\lmonroy\Tema\ENERO\BAJAS\OTROS PROYECTOS\BERMUDEZ NAPAN JUAN LUIS.pdf", "Link")</f>
        <v/>
      </c>
      <c r="C752" t="n">
        <v>27177</v>
      </c>
      <c r="D752" t="inlineStr">
        <is>
          <t>2024-01-29 10:04:37</t>
        </is>
      </c>
      <c r="E752" t="inlineStr">
        <is>
          <t>2024-01-30 11:09:07</t>
        </is>
      </c>
      <c r="F752" t="inlineStr">
        <is>
          <t>666</t>
        </is>
      </c>
    </row>
    <row r="753">
      <c r="A753" t="inlineStr">
        <is>
          <t>BRAVO TOCAS CRISTIAN YOVIGILDO.pdf</t>
        </is>
      </c>
      <c r="B753">
        <f>HYPERLINK("C:\Users\lmonroy\Tema\ENERO\BAJAS\OTROS PROYECTOS\BRAVO TOCAS CRISTIAN YOVIGILDO.pdf", "Link")</f>
        <v/>
      </c>
      <c r="C753" t="n">
        <v>27179</v>
      </c>
      <c r="D753" t="inlineStr">
        <is>
          <t>2024-01-29 09:59:10</t>
        </is>
      </c>
      <c r="E753" t="inlineStr">
        <is>
          <t>2024-01-30 11:09:07</t>
        </is>
      </c>
      <c r="F753" t="inlineStr">
        <is>
          <t>666</t>
        </is>
      </c>
    </row>
    <row r="754">
      <c r="A754" t="inlineStr">
        <is>
          <t>BURGOS LOPEZ CRISTHIAN JORDY.pdf</t>
        </is>
      </c>
      <c r="B754">
        <f>HYPERLINK("C:\Users\lmonroy\Tema\ENERO\BAJAS\OTROS PROYECTOS\BURGOS LOPEZ CRISTHIAN JORDY.pdf", "Link")</f>
        <v/>
      </c>
      <c r="C754" t="n">
        <v>27185</v>
      </c>
      <c r="D754" t="inlineStr">
        <is>
          <t>2024-01-29 10:05:02</t>
        </is>
      </c>
      <c r="E754" t="inlineStr">
        <is>
          <t>2024-01-30 11:09:07</t>
        </is>
      </c>
      <c r="F754" t="inlineStr">
        <is>
          <t>666</t>
        </is>
      </c>
    </row>
    <row r="755">
      <c r="A755" t="inlineStr">
        <is>
          <t>CALDERON BARRETO GUSTAVO ANIBAL.pdf</t>
        </is>
      </c>
      <c r="B755">
        <f>HYPERLINK("C:\Users\lmonroy\Tema\ENERO\BAJAS\OTROS PROYECTOS\CALDERON BARRETO GUSTAVO ANIBAL.pdf", "Link")</f>
        <v/>
      </c>
      <c r="C755" t="n">
        <v>27181</v>
      </c>
      <c r="D755" t="inlineStr">
        <is>
          <t>2024-01-29 10:04:17</t>
        </is>
      </c>
      <c r="E755" t="inlineStr">
        <is>
          <t>2024-01-30 11:09:07</t>
        </is>
      </c>
      <c r="F755" t="inlineStr">
        <is>
          <t>666</t>
        </is>
      </c>
    </row>
    <row r="756">
      <c r="A756" t="inlineStr">
        <is>
          <t>CANO VILA ROXANA ELIZABETH.pdf</t>
        </is>
      </c>
      <c r="B756">
        <f>HYPERLINK("C:\Users\lmonroy\Tema\ENERO\BAJAS\OTROS PROYECTOS\CANO VILA ROXANA ELIZABETH.pdf", "Link")</f>
        <v/>
      </c>
      <c r="C756" t="n">
        <v>27181</v>
      </c>
      <c r="D756" t="inlineStr">
        <is>
          <t>2024-01-29 10:00:03</t>
        </is>
      </c>
      <c r="E756" t="inlineStr">
        <is>
          <t>2024-01-30 11:09:07</t>
        </is>
      </c>
      <c r="F756" t="inlineStr">
        <is>
          <t>666</t>
        </is>
      </c>
    </row>
    <row r="757">
      <c r="A757" t="inlineStr">
        <is>
          <t>CARDENAS GARCIA JORGE JEFFREY.pdf</t>
        </is>
      </c>
      <c r="B757">
        <f>HYPERLINK("C:\Users\lmonroy\Tema\ENERO\BAJAS\OTROS PROYECTOS\CARDENAS GARCIA JORGE JEFFREY.pdf", "Link")</f>
        <v/>
      </c>
      <c r="C757" t="n">
        <v>27182</v>
      </c>
      <c r="D757" t="inlineStr">
        <is>
          <t>2024-01-29 10:00:34</t>
        </is>
      </c>
      <c r="E757" t="inlineStr">
        <is>
          <t>2024-01-30 11:09:07</t>
        </is>
      </c>
      <c r="F757" t="inlineStr">
        <is>
          <t>666</t>
        </is>
      </c>
    </row>
    <row r="758">
      <c r="A758" t="inlineStr">
        <is>
          <t>CARI REYES MARTIN SEBASTIAN.pdf</t>
        </is>
      </c>
      <c r="B758">
        <f>HYPERLINK("C:\Users\lmonroy\Tema\ENERO\BAJAS\OTROS PROYECTOS\CARI REYES MARTIN SEBASTIAN.pdf", "Link")</f>
        <v/>
      </c>
      <c r="C758" t="n">
        <v>27179</v>
      </c>
      <c r="D758" t="inlineStr">
        <is>
          <t>2024-01-29 10:03:47</t>
        </is>
      </c>
      <c r="E758" t="inlineStr">
        <is>
          <t>2024-01-30 11:09:07</t>
        </is>
      </c>
      <c r="F758" t="inlineStr">
        <is>
          <t>666</t>
        </is>
      </c>
    </row>
    <row r="759">
      <c r="A759" t="inlineStr">
        <is>
          <t>CARRILLO ZAPATA CARLOS EDUARDO.pdf</t>
        </is>
      </c>
      <c r="B759">
        <f>HYPERLINK("C:\Users\lmonroy\Tema\ENERO\BAJAS\OTROS PROYECTOS\CARRILLO ZAPATA CARLOS EDUARDO.pdf", "Link")</f>
        <v/>
      </c>
      <c r="C759" t="n">
        <v>27182</v>
      </c>
      <c r="D759" t="inlineStr">
        <is>
          <t>2024-01-30 09:09:33</t>
        </is>
      </c>
      <c r="E759" t="inlineStr">
        <is>
          <t>2024-01-30 11:10:07</t>
        </is>
      </c>
      <c r="F759" t="inlineStr">
        <is>
          <t>666</t>
        </is>
      </c>
    </row>
    <row r="760">
      <c r="A760" t="inlineStr">
        <is>
          <t>CASTILLO AGUIRRE BRYAN JESUS.pdf</t>
        </is>
      </c>
      <c r="B760">
        <f>HYPERLINK("C:\Users\lmonroy\Tema\ENERO\BAJAS\OTROS PROYECTOS\CASTILLO AGUIRRE BRYAN JESUS.pdf", "Link")</f>
        <v/>
      </c>
      <c r="C760" t="n">
        <v>27182</v>
      </c>
      <c r="D760" t="inlineStr">
        <is>
          <t>2024-01-29 10:00:06</t>
        </is>
      </c>
      <c r="E760" t="inlineStr">
        <is>
          <t>2024-01-30 11:09:07</t>
        </is>
      </c>
      <c r="F760" t="inlineStr">
        <is>
          <t>666</t>
        </is>
      </c>
    </row>
    <row r="761">
      <c r="A761" t="inlineStr">
        <is>
          <t>CAVERO BERAUN MARITZA JANETH.pdf</t>
        </is>
      </c>
      <c r="B761">
        <f>HYPERLINK("C:\Users\lmonroy\Tema\ENERO\BAJAS\OTROS PROYECTOS\CAVERO BERAUN MARITZA JANETH.pdf", "Link")</f>
        <v/>
      </c>
      <c r="C761" t="n">
        <v>27181</v>
      </c>
      <c r="D761" t="inlineStr">
        <is>
          <t>2024-01-29 09:59:34</t>
        </is>
      </c>
      <c r="E761" t="inlineStr">
        <is>
          <t>2024-01-30 11:09:07</t>
        </is>
      </c>
      <c r="F761" t="inlineStr">
        <is>
          <t>666</t>
        </is>
      </c>
    </row>
    <row r="762">
      <c r="A762" t="inlineStr">
        <is>
          <t>CAYCHO CARPIO LUIS ANGEL.pdf</t>
        </is>
      </c>
      <c r="B762">
        <f>HYPERLINK("C:\Users\lmonroy\Tema\ENERO\BAJAS\OTROS PROYECTOS\CAYCHO CARPIO LUIS ANGEL.pdf", "Link")</f>
        <v/>
      </c>
      <c r="C762" t="n">
        <v>27179</v>
      </c>
      <c r="D762" t="inlineStr">
        <is>
          <t>2024-01-29 10:05:04</t>
        </is>
      </c>
      <c r="E762" t="inlineStr">
        <is>
          <t>2024-01-30 11:09:07</t>
        </is>
      </c>
      <c r="F762" t="inlineStr">
        <is>
          <t>666</t>
        </is>
      </c>
    </row>
    <row r="763">
      <c r="A763" t="inlineStr">
        <is>
          <t>CCASANI ARROYO NICOLAS MARCELO.pdf</t>
        </is>
      </c>
      <c r="B763">
        <f>HYPERLINK("C:\Users\lmonroy\Tema\ENERO\BAJAS\OTROS PROYECTOS\CCASANI ARROYO NICOLAS MARCELO.pdf", "Link")</f>
        <v/>
      </c>
      <c r="C763" t="n">
        <v>27183</v>
      </c>
      <c r="D763" t="inlineStr">
        <is>
          <t>2024-01-29 10:00:07</t>
        </is>
      </c>
      <c r="E763" t="inlineStr">
        <is>
          <t>2024-01-30 11:09:07</t>
        </is>
      </c>
      <c r="F763" t="inlineStr">
        <is>
          <t>666</t>
        </is>
      </c>
    </row>
    <row r="764">
      <c r="A764" t="inlineStr">
        <is>
          <t>CHAVEZ SALINAS MENNEN FREI.pdf</t>
        </is>
      </c>
      <c r="B764">
        <f>HYPERLINK("C:\Users\lmonroy\Tema\ENERO\BAJAS\OTROS PROYECTOS\CHAVEZ SALINAS MENNEN FREI.pdf", "Link")</f>
        <v/>
      </c>
      <c r="C764" t="n">
        <v>27179</v>
      </c>
      <c r="D764" t="inlineStr">
        <is>
          <t>2024-01-29 10:03:38</t>
        </is>
      </c>
      <c r="E764" t="inlineStr">
        <is>
          <t>2024-01-30 11:09:07</t>
        </is>
      </c>
      <c r="F764" t="inlineStr">
        <is>
          <t>666</t>
        </is>
      </c>
    </row>
    <row r="765">
      <c r="A765" t="inlineStr">
        <is>
          <t>CHERVELLINI YACTAYO HENRY CRISTOPHER.pdf</t>
        </is>
      </c>
      <c r="B765">
        <f>HYPERLINK("C:\Users\lmonroy\Tema\ENERO\BAJAS\OTROS PROYECTOS\CHERVELLINI YACTAYO HENRY CRISTOPHER.pdf", "Link")</f>
        <v/>
      </c>
      <c r="C765" t="n">
        <v>27186</v>
      </c>
      <c r="D765" t="inlineStr">
        <is>
          <t>2024-01-30 09:09:42</t>
        </is>
      </c>
      <c r="E765" t="inlineStr">
        <is>
          <t>2024-01-30 11:10:07</t>
        </is>
      </c>
      <c r="F765" t="inlineStr">
        <is>
          <t>666</t>
        </is>
      </c>
    </row>
    <row r="766">
      <c r="A766" t="inlineStr">
        <is>
          <t>CHIPANA YAUSIN GERARDO MIGUEL.pdf</t>
        </is>
      </c>
      <c r="B766">
        <f>HYPERLINK("C:\Users\lmonroy\Tema\ENERO\BAJAS\OTROS PROYECTOS\CHIPANA YAUSIN GERARDO MIGUEL.pdf", "Link")</f>
        <v/>
      </c>
      <c r="C766" t="n">
        <v>27183</v>
      </c>
      <c r="D766" t="inlineStr">
        <is>
          <t>2024-01-29 10:04:11</t>
        </is>
      </c>
      <c r="E766" t="inlineStr">
        <is>
          <t>2024-01-30 11:09:07</t>
        </is>
      </c>
      <c r="F766" t="inlineStr">
        <is>
          <t>666</t>
        </is>
      </c>
    </row>
    <row r="767">
      <c r="A767" t="inlineStr">
        <is>
          <t>CHOQUEAPAZA GARCES LUCIANO GERMAN NASSIP.pdf</t>
        </is>
      </c>
      <c r="B767">
        <f>HYPERLINK("C:\Users\lmonroy\Tema\ENERO\BAJAS\OTROS PROYECTOS\CHOQUEAPAZA GARCES LUCIANO GERMAN NASSIP.pdf", "Link")</f>
        <v/>
      </c>
      <c r="C767" t="n">
        <v>27190</v>
      </c>
      <c r="D767" t="inlineStr">
        <is>
          <t>2024-01-29 10:03:34</t>
        </is>
      </c>
      <c r="E767" t="inlineStr">
        <is>
          <t>2024-01-30 11:09:07</t>
        </is>
      </c>
      <c r="F767" t="inlineStr">
        <is>
          <t>666</t>
        </is>
      </c>
    </row>
    <row r="768">
      <c r="A768" t="inlineStr">
        <is>
          <t>CHU NOGUEIRA ROBIN ADOLFO.pdf</t>
        </is>
      </c>
      <c r="B768">
        <f>HYPERLINK("C:\Users\lmonroy\Tema\ENERO\BAJAS\OTROS PROYECTOS\CHU NOGUEIRA ROBIN ADOLFO.pdf", "Link")</f>
        <v/>
      </c>
      <c r="C768" t="n">
        <v>27180</v>
      </c>
      <c r="D768" t="inlineStr">
        <is>
          <t>2024-01-29 09:59:27</t>
        </is>
      </c>
      <c r="E768" t="inlineStr">
        <is>
          <t>2024-01-30 11:09:07</t>
        </is>
      </c>
      <c r="F768" t="inlineStr">
        <is>
          <t>666</t>
        </is>
      </c>
    </row>
    <row r="769">
      <c r="A769" t="inlineStr">
        <is>
          <t>CHUMBES ZACARIAS NALLELY BEATRIZ.pdf</t>
        </is>
      </c>
      <c r="B769">
        <f>HYPERLINK("C:\Users\lmonroy\Tema\ENERO\BAJAS\OTROS PROYECTOS\CHUMBES ZACARIAS NALLELY BEATRIZ.pdf", "Link")</f>
        <v/>
      </c>
      <c r="C769" t="n">
        <v>27184</v>
      </c>
      <c r="D769" t="inlineStr">
        <is>
          <t>2024-01-29 10:03:25</t>
        </is>
      </c>
      <c r="E769" t="inlineStr">
        <is>
          <t>2024-01-30 11:09:07</t>
        </is>
      </c>
      <c r="F769" t="inlineStr">
        <is>
          <t>666</t>
        </is>
      </c>
    </row>
    <row r="770">
      <c r="A770" t="inlineStr">
        <is>
          <t>CHUQUIZUTA PERALTA CINTHIA MARJHORY.pdf</t>
        </is>
      </c>
      <c r="B770">
        <f>HYPERLINK("C:\Users\lmonroy\Tema\ENERO\BAJAS\OTROS PROYECTOS\CHUQUIZUTA PERALTA CINTHIA MARJHORY.pdf", "Link")</f>
        <v/>
      </c>
      <c r="C770" t="n">
        <v>27137</v>
      </c>
      <c r="D770" t="inlineStr">
        <is>
          <t>2024-01-30 09:09:45</t>
        </is>
      </c>
      <c r="E770" t="inlineStr">
        <is>
          <t>2024-01-30 11:10:07</t>
        </is>
      </c>
      <c r="F770" t="inlineStr">
        <is>
          <t>666</t>
        </is>
      </c>
    </row>
    <row r="771">
      <c r="A771" t="inlineStr">
        <is>
          <t>COLLANTES SEGOVIA LESLIE EDITH.pdf</t>
        </is>
      </c>
      <c r="B771">
        <f>HYPERLINK("C:\Users\lmonroy\Tema\ENERO\BAJAS\OTROS PROYECTOS\COLLANTES SEGOVIA LESLIE EDITH.pdf", "Link")</f>
        <v/>
      </c>
      <c r="C771" t="n">
        <v>27182</v>
      </c>
      <c r="D771" t="inlineStr">
        <is>
          <t>2024-01-29 10:00:09</t>
        </is>
      </c>
      <c r="E771" t="inlineStr">
        <is>
          <t>2024-01-30 11:09:07</t>
        </is>
      </c>
      <c r="F771" t="inlineStr">
        <is>
          <t>666</t>
        </is>
      </c>
    </row>
    <row r="772">
      <c r="A772" t="inlineStr">
        <is>
          <t>CORONADO REYMUNDO ANGEL GERONIMO.pdf</t>
        </is>
      </c>
      <c r="B772">
        <f>HYPERLINK("C:\Users\lmonroy\Tema\ENERO\BAJAS\OTROS PROYECTOS\CORONADO REYMUNDO ANGEL GERONIMO.pdf", "Link")</f>
        <v/>
      </c>
      <c r="C772" t="n">
        <v>27178</v>
      </c>
      <c r="D772" t="inlineStr">
        <is>
          <t>2024-01-29 09:59:08</t>
        </is>
      </c>
      <c r="E772" t="inlineStr">
        <is>
          <t>2024-01-30 11:09:07</t>
        </is>
      </c>
      <c r="F772" t="inlineStr">
        <is>
          <t>666</t>
        </is>
      </c>
    </row>
    <row r="773">
      <c r="A773" t="inlineStr">
        <is>
          <t>CUADROS LA ROSA ANTONELLA LILIANA.pdf</t>
        </is>
      </c>
      <c r="B773">
        <f>HYPERLINK("C:\Users\lmonroy\Tema\ENERO\BAJAS\OTROS PROYECTOS\CUADROS LA ROSA ANTONELLA LILIANA.pdf", "Link")</f>
        <v/>
      </c>
      <c r="C773" t="n">
        <v>27181</v>
      </c>
      <c r="D773" t="inlineStr">
        <is>
          <t>2024-01-29 09:59:35</t>
        </is>
      </c>
      <c r="E773" t="inlineStr">
        <is>
          <t>2024-01-30 11:09:07</t>
        </is>
      </c>
      <c r="F773" t="inlineStr">
        <is>
          <t>666</t>
        </is>
      </c>
    </row>
    <row r="774">
      <c r="A774" t="inlineStr">
        <is>
          <t>DELGADO GONZALES RUGGERI MANUEL.pdf</t>
        </is>
      </c>
      <c r="B774">
        <f>HYPERLINK("C:\Users\lmonroy\Tema\ENERO\BAJAS\OTROS PROYECTOS\DELGADO GONZALES RUGGERI MANUEL.pdf", "Link")</f>
        <v/>
      </c>
      <c r="C774" t="n">
        <v>27184</v>
      </c>
      <c r="D774" t="inlineStr">
        <is>
          <t>2024-01-29 10:00:05</t>
        </is>
      </c>
      <c r="E774" t="inlineStr">
        <is>
          <t>2024-01-30 11:09:07</t>
        </is>
      </c>
      <c r="F774" t="inlineStr">
        <is>
          <t>666</t>
        </is>
      </c>
    </row>
    <row r="775">
      <c r="A775" t="inlineStr">
        <is>
          <t>DELGADO TORRES RAI IBRAHIM.pdf</t>
        </is>
      </c>
      <c r="B775">
        <f>HYPERLINK("C:\Users\lmonroy\Tema\ENERO\BAJAS\OTROS PROYECTOS\DELGADO TORRES RAI IBRAHIM.pdf", "Link")</f>
        <v/>
      </c>
      <c r="C775" t="n">
        <v>27178</v>
      </c>
      <c r="D775" t="inlineStr">
        <is>
          <t>2024-01-29 09:59:48</t>
        </is>
      </c>
      <c r="E775" t="inlineStr">
        <is>
          <t>2024-01-30 11:09:07</t>
        </is>
      </c>
      <c r="F775" t="inlineStr">
        <is>
          <t>666</t>
        </is>
      </c>
    </row>
    <row r="776">
      <c r="A776" t="inlineStr">
        <is>
          <t>ESPINOZA GOMEZ ALISON.pdf</t>
        </is>
      </c>
      <c r="B776">
        <f>HYPERLINK("C:\Users\lmonroy\Tema\ENERO\BAJAS\OTROS PROYECTOS\ESPINOZA GOMEZ ALISON.pdf", "Link")</f>
        <v/>
      </c>
      <c r="C776" t="n">
        <v>27177</v>
      </c>
      <c r="D776" t="inlineStr">
        <is>
          <t>2024-01-29 10:05:29</t>
        </is>
      </c>
      <c r="E776" t="inlineStr">
        <is>
          <t>2024-01-30 11:09:07</t>
        </is>
      </c>
      <c r="F776" t="inlineStr">
        <is>
          <t>666</t>
        </is>
      </c>
    </row>
    <row r="777">
      <c r="A777" t="inlineStr">
        <is>
          <t>ESPINOZA RODRIGUEZ ALONSO GABRIEL.pdf</t>
        </is>
      </c>
      <c r="B777">
        <f>HYPERLINK("C:\Users\lmonroy\Tema\ENERO\BAJAS\OTROS PROYECTOS\ESPINOZA RODRIGUEZ ALONSO GABRIEL.pdf", "Link")</f>
        <v/>
      </c>
      <c r="C777" t="n">
        <v>27186</v>
      </c>
      <c r="D777" t="inlineStr">
        <is>
          <t>2024-01-29 10:03:51</t>
        </is>
      </c>
      <c r="E777" t="inlineStr">
        <is>
          <t>2024-01-30 11:09:07</t>
        </is>
      </c>
      <c r="F777" t="inlineStr">
        <is>
          <t>666</t>
        </is>
      </c>
    </row>
    <row r="778">
      <c r="A778" t="inlineStr">
        <is>
          <t>ESTRELLA CONDEZO WILDER JORCH.pdf</t>
        </is>
      </c>
      <c r="B778">
        <f>HYPERLINK("C:\Users\lmonroy\Tema\ENERO\BAJAS\OTROS PROYECTOS\ESTRELLA CONDEZO WILDER JORCH.pdf", "Link")</f>
        <v/>
      </c>
      <c r="C778" t="n">
        <v>27183</v>
      </c>
      <c r="D778" t="inlineStr">
        <is>
          <t>2024-01-29 10:04:28</t>
        </is>
      </c>
      <c r="E778" t="inlineStr">
        <is>
          <t>2024-01-30 11:09:07</t>
        </is>
      </c>
      <c r="F778" t="inlineStr">
        <is>
          <t>666</t>
        </is>
      </c>
    </row>
    <row r="779">
      <c r="A779" t="inlineStr">
        <is>
          <t>ESTRELLA LOPEZ EDGAR EDWIN.pdf</t>
        </is>
      </c>
      <c r="B779">
        <f>HYPERLINK("C:\Users\lmonroy\Tema\ENERO\BAJAS\OTROS PROYECTOS\ESTRELLA LOPEZ EDGAR EDWIN.pdf", "Link")</f>
        <v/>
      </c>
      <c r="C779" t="n">
        <v>6337</v>
      </c>
      <c r="D779" t="inlineStr">
        <is>
          <t>2024-01-26 17:18:47</t>
        </is>
      </c>
      <c r="E779" t="inlineStr">
        <is>
          <t>2024-01-30 10:46:44</t>
        </is>
      </c>
      <c r="F779" t="inlineStr">
        <is>
          <t>666</t>
        </is>
      </c>
    </row>
    <row r="780">
      <c r="A780" t="inlineStr">
        <is>
          <t>FARINAS CARRERA JOSE JESUS.pdf</t>
        </is>
      </c>
      <c r="B780">
        <f>HYPERLINK("C:\Users\lmonroy\Tema\ENERO\BAJAS\OTROS PROYECTOS\FARINAS CARRERA JOSE JESUS.pdf", "Link")</f>
        <v/>
      </c>
      <c r="C780" t="n">
        <v>6333</v>
      </c>
      <c r="D780" t="inlineStr">
        <is>
          <t>2024-01-26 17:20:03</t>
        </is>
      </c>
      <c r="E780" t="inlineStr">
        <is>
          <t>2024-01-30 10:46:38</t>
        </is>
      </c>
      <c r="F780" t="inlineStr">
        <is>
          <t>666</t>
        </is>
      </c>
    </row>
    <row r="781">
      <c r="A781" t="inlineStr">
        <is>
          <t>FERNANDEZ RISSO MIGUEL ANGEL.pdf</t>
        </is>
      </c>
      <c r="B781">
        <f>HYPERLINK("C:\Users\lmonroy\Tema\ENERO\BAJAS\OTROS PROYECTOS\FERNANDEZ RISSO MIGUEL ANGEL.pdf", "Link")</f>
        <v/>
      </c>
      <c r="C781" t="n">
        <v>27181</v>
      </c>
      <c r="D781" t="inlineStr">
        <is>
          <t>2024-01-29 10:04:29</t>
        </is>
      </c>
      <c r="E781" t="inlineStr">
        <is>
          <t>2024-01-30 11:09:09</t>
        </is>
      </c>
      <c r="F781" t="inlineStr">
        <is>
          <t>666</t>
        </is>
      </c>
    </row>
    <row r="782">
      <c r="A782" t="inlineStr">
        <is>
          <t>FIGUERES LARA NATALY LEISEL.pdf</t>
        </is>
      </c>
      <c r="B782">
        <f>HYPERLINK("C:\Users\lmonroy\Tema\ENERO\BAJAS\OTROS PROYECTOS\FIGUERES LARA NATALY LEISEL.pdf", "Link")</f>
        <v/>
      </c>
      <c r="C782" t="n">
        <v>27181</v>
      </c>
      <c r="D782" t="inlineStr">
        <is>
          <t>2024-01-29 09:59:37</t>
        </is>
      </c>
      <c r="E782" t="inlineStr">
        <is>
          <t>2024-01-30 11:09:09</t>
        </is>
      </c>
      <c r="F782" t="inlineStr">
        <is>
          <t>666</t>
        </is>
      </c>
    </row>
    <row r="783">
      <c r="A783" t="inlineStr">
        <is>
          <t>FLORES MIRAVAL JULIO CESAR.pdf</t>
        </is>
      </c>
      <c r="B783">
        <f>HYPERLINK("C:\Users\lmonroy\Tema\ENERO\BAJAS\OTROS PROYECTOS\FLORES MIRAVAL JULIO CESAR.pdf", "Link")</f>
        <v/>
      </c>
      <c r="C783" t="n">
        <v>27180</v>
      </c>
      <c r="D783" t="inlineStr">
        <is>
          <t>2024-01-29 10:03:35</t>
        </is>
      </c>
      <c r="E783" t="inlineStr">
        <is>
          <t>2024-01-30 11:09:09</t>
        </is>
      </c>
      <c r="F783" t="inlineStr">
        <is>
          <t>666</t>
        </is>
      </c>
    </row>
    <row r="784">
      <c r="A784" t="inlineStr">
        <is>
          <t>GABRIEL MARCELO JEREMY SANDRO.pdf</t>
        </is>
      </c>
      <c r="B784">
        <f>HYPERLINK("C:\Users\lmonroy\Tema\ENERO\BAJAS\OTROS PROYECTOS\GABRIEL MARCELO JEREMY SANDRO.pdf", "Link")</f>
        <v/>
      </c>
      <c r="C784" t="n">
        <v>27179</v>
      </c>
      <c r="D784" t="inlineStr">
        <is>
          <t>2024-01-29 10:04:07</t>
        </is>
      </c>
      <c r="E784" t="inlineStr">
        <is>
          <t>2024-01-30 11:09:09</t>
        </is>
      </c>
      <c r="F784" t="inlineStr">
        <is>
          <t>666</t>
        </is>
      </c>
    </row>
    <row r="785">
      <c r="A785" t="inlineStr">
        <is>
          <t>GALARZA BALDEON JOSE ENRIQUE.pdf</t>
        </is>
      </c>
      <c r="B785">
        <f>HYPERLINK("C:\Users\lmonroy\Tema\ENERO\BAJAS\OTROS PROYECTOS\GALARZA BALDEON JOSE ENRIQUE.pdf", "Link")</f>
        <v/>
      </c>
      <c r="C785" t="n">
        <v>6335</v>
      </c>
      <c r="D785" t="inlineStr">
        <is>
          <t>2024-01-26 17:15:43</t>
        </is>
      </c>
      <c r="E785" t="inlineStr">
        <is>
          <t>2024-01-30 10:46:47</t>
        </is>
      </c>
      <c r="F785" t="inlineStr">
        <is>
          <t>666</t>
        </is>
      </c>
    </row>
    <row r="786">
      <c r="A786" t="inlineStr">
        <is>
          <t>GARAY LOYOLA RONALD JHONATAN.pdf</t>
        </is>
      </c>
      <c r="B786">
        <f>HYPERLINK("C:\Users\lmonroy\Tema\ENERO\BAJAS\OTROS PROYECTOS\GARAY LOYOLA RONALD JHONATAN.pdf", "Link")</f>
        <v/>
      </c>
      <c r="C786" t="n">
        <v>27182</v>
      </c>
      <c r="D786" t="inlineStr">
        <is>
          <t>2024-01-29 10:05:03</t>
        </is>
      </c>
      <c r="E786" t="inlineStr">
        <is>
          <t>2024-01-30 11:09:09</t>
        </is>
      </c>
      <c r="F786" t="inlineStr">
        <is>
          <t>666</t>
        </is>
      </c>
    </row>
    <row r="787">
      <c r="A787" t="inlineStr">
        <is>
          <t>GARCIA MUÑOZ HENRY.pdf</t>
        </is>
      </c>
      <c r="B787">
        <f>HYPERLINK("C:\Users\lmonroy\Tema\ENERO\BAJAS\OTROS PROYECTOS\GARCIA MUÑOZ HENRY.pdf", "Link")</f>
        <v/>
      </c>
      <c r="C787" t="n">
        <v>27178</v>
      </c>
      <c r="D787" t="inlineStr">
        <is>
          <t>2024-01-30 09:09:43</t>
        </is>
      </c>
      <c r="E787" t="inlineStr">
        <is>
          <t>2024-01-30 11:10:07</t>
        </is>
      </c>
      <c r="F787" t="inlineStr">
        <is>
          <t>666</t>
        </is>
      </c>
    </row>
    <row r="788">
      <c r="A788" t="inlineStr">
        <is>
          <t>GARCIA MUÑOZ JOSEP ALDAIR.pdf</t>
        </is>
      </c>
      <c r="B788">
        <f>HYPERLINK("C:\Users\lmonroy\Tema\ENERO\BAJAS\OTROS PROYECTOS\GARCIA MUÑOZ JOSEP ALDAIR.pdf", "Link")</f>
        <v/>
      </c>
      <c r="C788" t="n">
        <v>27181</v>
      </c>
      <c r="D788" t="inlineStr">
        <is>
          <t>2024-01-29 10:04:30</t>
        </is>
      </c>
      <c r="E788" t="inlineStr">
        <is>
          <t>2024-01-30 11:09:09</t>
        </is>
      </c>
      <c r="F788" t="inlineStr">
        <is>
          <t>666</t>
        </is>
      </c>
    </row>
    <row r="789">
      <c r="A789" t="inlineStr">
        <is>
          <t>GODOY ARANGO CLAUDIA TANIA.pdf</t>
        </is>
      </c>
      <c r="B789">
        <f>HYPERLINK("C:\Users\lmonroy\Tema\ENERO\BAJAS\OTROS PROYECTOS\GODOY ARANGO CLAUDIA TANIA.pdf", "Link")</f>
        <v/>
      </c>
      <c r="C789" t="n">
        <v>27180</v>
      </c>
      <c r="D789" t="inlineStr">
        <is>
          <t>2024-01-29 10:04:23</t>
        </is>
      </c>
      <c r="E789" t="inlineStr">
        <is>
          <t>2024-01-30 11:09:09</t>
        </is>
      </c>
      <c r="F789" t="inlineStr">
        <is>
          <t>666</t>
        </is>
      </c>
    </row>
    <row r="790">
      <c r="A790" t="inlineStr">
        <is>
          <t>GODOY CASTILLO CHRISTOPHER MICHAEL ALEXANDER.pdf</t>
        </is>
      </c>
      <c r="B790">
        <f>HYPERLINK("C:\Users\lmonroy\Tema\ENERO\BAJAS\OTROS PROYECTOS\GODOY CASTILLO CHRISTOPHER MICHAEL ALEXANDER.pdf", "Link")</f>
        <v/>
      </c>
      <c r="C790" t="n">
        <v>27193</v>
      </c>
      <c r="D790" t="inlineStr">
        <is>
          <t>2024-01-29 09:58:57</t>
        </is>
      </c>
      <c r="E790" t="inlineStr">
        <is>
          <t>2024-01-30 11:09:09</t>
        </is>
      </c>
      <c r="F790" t="inlineStr">
        <is>
          <t>666</t>
        </is>
      </c>
    </row>
    <row r="791">
      <c r="A791" t="inlineStr">
        <is>
          <t>GOITIA NORBERTO LUIS.pdf</t>
        </is>
      </c>
      <c r="B791">
        <f>HYPERLINK("C:\Users\lmonroy\Tema\ENERO\BAJAS\OTROS PROYECTOS\GOITIA NORBERTO LUIS.pdf", "Link")</f>
        <v/>
      </c>
      <c r="C791" t="n">
        <v>6330</v>
      </c>
      <c r="D791" t="inlineStr">
        <is>
          <t>2024-01-26 17:20:32</t>
        </is>
      </c>
      <c r="E791" t="inlineStr">
        <is>
          <t>2024-01-30 10:46:36</t>
        </is>
      </c>
      <c r="F791" t="inlineStr">
        <is>
          <t>666</t>
        </is>
      </c>
    </row>
    <row r="792">
      <c r="A792" t="inlineStr">
        <is>
          <t>GOMEZ MEZA AUGUSTO OSWALDO.pdf</t>
        </is>
      </c>
      <c r="B792">
        <f>HYPERLINK("C:\Users\lmonroy\Tema\ENERO\BAJAS\OTROS PROYECTOS\GOMEZ MEZA AUGUSTO OSWALDO.pdf", "Link")</f>
        <v/>
      </c>
      <c r="C792" t="n">
        <v>27181</v>
      </c>
      <c r="D792" t="inlineStr">
        <is>
          <t>2024-01-29 10:03:36</t>
        </is>
      </c>
      <c r="E792" t="inlineStr">
        <is>
          <t>2024-01-30 11:09:09</t>
        </is>
      </c>
      <c r="F792" t="inlineStr">
        <is>
          <t>666</t>
        </is>
      </c>
    </row>
    <row r="793">
      <c r="A793" t="inlineStr">
        <is>
          <t>GONZÁLES RUIZ KARINA JASMÍN.pdf</t>
        </is>
      </c>
      <c r="B793">
        <f>HYPERLINK("C:\Users\lmonroy\Tema\ENERO\BAJAS\OTROS PROYECTOS\GONZÁLES RUIZ KARINA JASMÍN.pdf", "Link")</f>
        <v/>
      </c>
      <c r="C793" t="n">
        <v>27189</v>
      </c>
      <c r="D793" t="inlineStr">
        <is>
          <t>2024-01-29 10:04:37</t>
        </is>
      </c>
      <c r="E793" t="inlineStr">
        <is>
          <t>2024-01-30 11:09:09</t>
        </is>
      </c>
      <c r="F793" t="inlineStr">
        <is>
          <t>666</t>
        </is>
      </c>
    </row>
    <row r="794">
      <c r="A794" t="inlineStr">
        <is>
          <t>GUARDAMINO CRUZ JORDAN HUBERT.pdf</t>
        </is>
      </c>
      <c r="B794">
        <f>HYPERLINK("C:\Users\lmonroy\Tema\ENERO\BAJAS\OTROS PROYECTOS\GUARDAMINO CRUZ JORDAN HUBERT.pdf", "Link")</f>
        <v/>
      </c>
      <c r="C794" t="n">
        <v>27181</v>
      </c>
      <c r="D794" t="inlineStr">
        <is>
          <t>2024-01-29 10:03:43</t>
        </is>
      </c>
      <c r="E794" t="inlineStr">
        <is>
          <t>2024-01-30 11:09:09</t>
        </is>
      </c>
      <c r="F794" t="inlineStr">
        <is>
          <t>666</t>
        </is>
      </c>
    </row>
    <row r="795">
      <c r="A795" t="inlineStr">
        <is>
          <t>GUEVARA MOGROVEJO ALEJANDRO.pdf</t>
        </is>
      </c>
      <c r="B795">
        <f>HYPERLINK("C:\Users\lmonroy\Tema\ENERO\BAJAS\OTROS PROYECTOS\GUEVARA MOGROVEJO ALEJANDRO.pdf", "Link")</f>
        <v/>
      </c>
      <c r="C795" t="n">
        <v>27182</v>
      </c>
      <c r="D795" t="inlineStr">
        <is>
          <t>2024-01-29 10:00:26</t>
        </is>
      </c>
      <c r="E795" t="inlineStr">
        <is>
          <t>2024-01-30 11:09:09</t>
        </is>
      </c>
      <c r="F795" t="inlineStr">
        <is>
          <t>666</t>
        </is>
      </c>
    </row>
    <row r="796">
      <c r="A796" t="inlineStr">
        <is>
          <t>GUTIERREZ TORRES TRIO.pdf</t>
        </is>
      </c>
      <c r="B796">
        <f>HYPERLINK("C:\Users\lmonroy\Tema\ENERO\BAJAS\OTROS PROYECTOS\GUTIERREZ TORRES TRIO.pdf", "Link")</f>
        <v/>
      </c>
      <c r="C796" t="n">
        <v>27174</v>
      </c>
      <c r="D796" t="inlineStr">
        <is>
          <t>2024-01-29 10:05:14</t>
        </is>
      </c>
      <c r="E796" t="inlineStr">
        <is>
          <t>2024-01-30 11:09:09</t>
        </is>
      </c>
      <c r="F796" t="inlineStr">
        <is>
          <t>666</t>
        </is>
      </c>
    </row>
    <row r="797">
      <c r="A797" t="inlineStr">
        <is>
          <t>HANCCO CORDOVA ADALBERTO SATURNINO.pdf</t>
        </is>
      </c>
      <c r="B797">
        <f>HYPERLINK("C:\Users\lmonroy\Tema\ENERO\BAJAS\OTROS PROYECTOS\HANCCO CORDOVA ADALBERTO SATURNINO.pdf", "Link")</f>
        <v/>
      </c>
      <c r="C797" t="n">
        <v>27187</v>
      </c>
      <c r="D797" t="inlineStr">
        <is>
          <t>2024-01-29 10:05:22</t>
        </is>
      </c>
      <c r="E797" t="inlineStr">
        <is>
          <t>2024-01-30 11:09:09</t>
        </is>
      </c>
      <c r="F797" t="inlineStr">
        <is>
          <t>666</t>
        </is>
      </c>
    </row>
    <row r="798">
      <c r="A798" t="inlineStr">
        <is>
          <t>HERRERA ALVA VALIA ESTHER.pdf</t>
        </is>
      </c>
      <c r="B798">
        <f>HYPERLINK("C:\Users\lmonroy\Tema\ENERO\BAJAS\OTROS PROYECTOS\HERRERA ALVA VALIA ESTHER.pdf", "Link")</f>
        <v/>
      </c>
      <c r="C798" t="n">
        <v>27177</v>
      </c>
      <c r="D798" t="inlineStr">
        <is>
          <t>2024-01-29 10:03:24</t>
        </is>
      </c>
      <c r="E798" t="inlineStr">
        <is>
          <t>2024-01-30 11:09:09</t>
        </is>
      </c>
      <c r="F798" t="inlineStr">
        <is>
          <t>666</t>
        </is>
      </c>
    </row>
    <row r="799">
      <c r="A799" t="inlineStr">
        <is>
          <t>HIDALGO PACHECO ELIZABETH JULIANNA.pdf</t>
        </is>
      </c>
      <c r="B799">
        <f>HYPERLINK("C:\Users\lmonroy\Tema\ENERO\BAJAS\OTROS PROYECTOS\HIDALGO PACHECO ELIZABETH JULIANNA.pdf", "Link")</f>
        <v/>
      </c>
      <c r="C799" t="n">
        <v>27187</v>
      </c>
      <c r="D799" t="inlineStr">
        <is>
          <t>2024-01-29 10:05:27</t>
        </is>
      </c>
      <c r="E799" t="inlineStr">
        <is>
          <t>2024-01-30 11:09:09</t>
        </is>
      </c>
      <c r="F799" t="inlineStr">
        <is>
          <t>666</t>
        </is>
      </c>
    </row>
    <row r="800">
      <c r="A800" t="inlineStr">
        <is>
          <t>HINOSTROZA MIRANDA JUAN DIEGO.pdf</t>
        </is>
      </c>
      <c r="B800">
        <f>HYPERLINK("C:\Users\lmonroy\Tema\ENERO\BAJAS\OTROS PROYECTOS\HINOSTROZA MIRANDA JUAN DIEGO.pdf", "Link")</f>
        <v/>
      </c>
      <c r="C800" t="n">
        <v>27182</v>
      </c>
      <c r="D800" t="inlineStr">
        <is>
          <t>2024-01-29 10:05:23</t>
        </is>
      </c>
      <c r="E800" t="inlineStr">
        <is>
          <t>2024-01-30 11:09:09</t>
        </is>
      </c>
      <c r="F800" t="inlineStr">
        <is>
          <t>666</t>
        </is>
      </c>
    </row>
    <row r="801">
      <c r="A801" t="inlineStr">
        <is>
          <t>HUAINALAYA BISCAYA ROBERTO CARLOS.pdf</t>
        </is>
      </c>
      <c r="B801">
        <f>HYPERLINK("C:\Users\lmonroy\Tema\ENERO\BAJAS\OTROS PROYECTOS\HUAINALAYA BISCAYA ROBERTO CARLOS.pdf", "Link")</f>
        <v/>
      </c>
      <c r="C801" t="n">
        <v>27185</v>
      </c>
      <c r="D801" t="inlineStr">
        <is>
          <t>2024-01-29 10:00:15</t>
        </is>
      </c>
      <c r="E801" t="inlineStr">
        <is>
          <t>2024-01-30 11:09:09</t>
        </is>
      </c>
      <c r="F801" t="inlineStr">
        <is>
          <t>666</t>
        </is>
      </c>
    </row>
    <row r="802">
      <c r="A802" t="inlineStr">
        <is>
          <t>HUAMANI APAZA ANDY PAUL.pdf</t>
        </is>
      </c>
      <c r="B802">
        <f>HYPERLINK("C:\Users\lmonroy\Tema\ENERO\BAJAS\OTROS PROYECTOS\HUAMANI APAZA ANDY PAUL.pdf", "Link")</f>
        <v/>
      </c>
      <c r="C802" t="n">
        <v>27179</v>
      </c>
      <c r="D802" t="inlineStr">
        <is>
          <t>2024-01-29 09:59:38</t>
        </is>
      </c>
      <c r="E802" t="inlineStr">
        <is>
          <t>2024-01-30 11:09:09</t>
        </is>
      </c>
      <c r="F802" t="inlineStr">
        <is>
          <t>666</t>
        </is>
      </c>
    </row>
    <row r="803">
      <c r="A803" t="inlineStr">
        <is>
          <t>HUAMANRAIME MAQUIN JHOEL MANUEL.pdf</t>
        </is>
      </c>
      <c r="B803">
        <f>HYPERLINK("C:\Users\lmonroy\Tema\ENERO\BAJAS\OTROS PROYECTOS\HUAMANRAIME MAQUIN JHOEL MANUEL.pdf", "Link")</f>
        <v/>
      </c>
      <c r="C803" t="n">
        <v>27183</v>
      </c>
      <c r="D803" t="inlineStr">
        <is>
          <t>2024-01-29 10:05:07</t>
        </is>
      </c>
      <c r="E803" t="inlineStr">
        <is>
          <t>2024-01-30 11:09:09</t>
        </is>
      </c>
      <c r="F803" t="inlineStr">
        <is>
          <t>666</t>
        </is>
      </c>
    </row>
    <row r="804">
      <c r="A804" t="inlineStr">
        <is>
          <t>HUANSI MOZOMBITE CHRISTIAN BARTOLOME.pdf</t>
        </is>
      </c>
      <c r="B804">
        <f>HYPERLINK("C:\Users\lmonroy\Tema\ENERO\BAJAS\OTROS PROYECTOS\HUANSI MOZOMBITE CHRISTIAN BARTOLOME.pdf", "Link")</f>
        <v/>
      </c>
      <c r="C804" t="n">
        <v>27188</v>
      </c>
      <c r="D804" t="inlineStr">
        <is>
          <t>2024-01-29 10:04:26</t>
        </is>
      </c>
      <c r="E804" t="inlineStr">
        <is>
          <t>2024-01-30 11:09:09</t>
        </is>
      </c>
      <c r="F804" t="inlineStr">
        <is>
          <t>666</t>
        </is>
      </c>
    </row>
    <row r="805">
      <c r="A805" t="inlineStr">
        <is>
          <t>INFANTES CONTRERAS PABLO GUILLERMO.pdf</t>
        </is>
      </c>
      <c r="B805">
        <f>HYPERLINK("C:\Users\lmonroy\Tema\ENERO\BAJAS\OTROS PROYECTOS\INFANTES CONTRERAS PABLO GUILLERMO.pdf", "Link")</f>
        <v/>
      </c>
      <c r="C805" t="n">
        <v>27185</v>
      </c>
      <c r="D805" t="inlineStr">
        <is>
          <t>2024-01-29 10:05:25</t>
        </is>
      </c>
      <c r="E805" t="inlineStr">
        <is>
          <t>2024-01-30 11:09:09</t>
        </is>
      </c>
      <c r="F805" t="inlineStr">
        <is>
          <t>666</t>
        </is>
      </c>
    </row>
    <row r="806">
      <c r="A806" t="inlineStr">
        <is>
          <t>IPARRAGUIRRE AQUINO ALEX ALEXANDER.pdf</t>
        </is>
      </c>
      <c r="B806">
        <f>HYPERLINK("C:\Users\lmonroy\Tema\ENERO\BAJAS\OTROS PROYECTOS\IPARRAGUIRRE AQUINO ALEX ALEXANDER.pdf", "Link")</f>
        <v/>
      </c>
      <c r="C806" t="n">
        <v>27187</v>
      </c>
      <c r="D806" t="inlineStr">
        <is>
          <t>2024-01-30 09:09:28</t>
        </is>
      </c>
      <c r="E806" t="inlineStr">
        <is>
          <t>2024-01-30 11:10:07</t>
        </is>
      </c>
      <c r="F806" t="inlineStr">
        <is>
          <t>666</t>
        </is>
      </c>
    </row>
    <row r="807">
      <c r="A807" t="inlineStr">
        <is>
          <t>ITUSACA VELASQUEZ GABRIEL.pdf</t>
        </is>
      </c>
      <c r="B807">
        <f>HYPERLINK("C:\Users\lmonroy\Tema\ENERO\BAJAS\OTROS PROYECTOS\ITUSACA VELASQUEZ GABRIEL.pdf", "Link")</f>
        <v/>
      </c>
      <c r="C807" t="n">
        <v>27179</v>
      </c>
      <c r="D807" t="inlineStr">
        <is>
          <t>2024-01-29 09:58:42</t>
        </is>
      </c>
      <c r="E807" t="inlineStr">
        <is>
          <t>2024-01-30 11:09:09</t>
        </is>
      </c>
      <c r="F807" t="inlineStr">
        <is>
          <t>666</t>
        </is>
      </c>
    </row>
    <row r="808">
      <c r="A808" t="inlineStr">
        <is>
          <t>LARA DE COSSIO FABIO DAVID.pdf</t>
        </is>
      </c>
      <c r="B808">
        <f>HYPERLINK("C:\Users\lmonroy\Tema\ENERO\BAJAS\OTROS PROYECTOS\LARA DE COSSIO FABIO DAVID.pdf", "Link")</f>
        <v/>
      </c>
      <c r="C808" t="n">
        <v>6327</v>
      </c>
      <c r="D808" t="inlineStr">
        <is>
          <t>2024-01-26 17:17:36</t>
        </is>
      </c>
      <c r="E808" t="inlineStr">
        <is>
          <t>2024-01-30 10:46:34</t>
        </is>
      </c>
      <c r="F808" t="inlineStr">
        <is>
          <t>666</t>
        </is>
      </c>
    </row>
    <row r="809">
      <c r="A809" t="inlineStr">
        <is>
          <t>LINGAN ASTOQUILCA LUIS ALBERTO.pdf</t>
        </is>
      </c>
      <c r="B809">
        <f>HYPERLINK("C:\Users\lmonroy\Tema\ENERO\BAJAS\OTROS PROYECTOS\LINGAN ASTOQUILCA LUIS ALBERTO.pdf", "Link")</f>
        <v/>
      </c>
      <c r="C809" t="n">
        <v>27181</v>
      </c>
      <c r="D809" t="inlineStr">
        <is>
          <t>2024-01-29 10:05:08</t>
        </is>
      </c>
      <c r="E809" t="inlineStr">
        <is>
          <t>2024-01-30 11:09:09</t>
        </is>
      </c>
      <c r="F809" t="inlineStr">
        <is>
          <t>666</t>
        </is>
      </c>
    </row>
    <row r="810">
      <c r="A810" t="inlineStr">
        <is>
          <t>LLERENA OJANAMA CARMENCITA.pdf</t>
        </is>
      </c>
      <c r="B810">
        <f>HYPERLINK("C:\Users\lmonroy\Tema\ENERO\BAJAS\OTROS PROYECTOS\LLERENA OJANAMA CARMENCITA.pdf", "Link")</f>
        <v/>
      </c>
      <c r="C810" t="n">
        <v>27178</v>
      </c>
      <c r="D810" t="inlineStr">
        <is>
          <t>2024-01-29 09:59:50</t>
        </is>
      </c>
      <c r="E810" t="inlineStr">
        <is>
          <t>2024-01-30 11:09:09</t>
        </is>
      </c>
      <c r="F810" t="inlineStr">
        <is>
          <t>666</t>
        </is>
      </c>
    </row>
    <row r="811">
      <c r="A811" t="inlineStr">
        <is>
          <t>MAMANI PAUCAR ELSA EULOGIA.pdf</t>
        </is>
      </c>
      <c r="B811">
        <f>HYPERLINK("C:\Users\lmonroy\Tema\ENERO\BAJAS\OTROS PROYECTOS\MAMANI PAUCAR ELSA EULOGIA.pdf", "Link")</f>
        <v/>
      </c>
      <c r="C811" t="n">
        <v>27179</v>
      </c>
      <c r="D811" t="inlineStr">
        <is>
          <t>2024-01-29 09:59:28</t>
        </is>
      </c>
      <c r="E811" t="inlineStr">
        <is>
          <t>2024-01-30 11:09:09</t>
        </is>
      </c>
      <c r="F811" t="inlineStr">
        <is>
          <t>666</t>
        </is>
      </c>
    </row>
    <row r="812">
      <c r="A812" t="inlineStr">
        <is>
          <t>MAYTA VELA FRANCIS FABIAN.pdf</t>
        </is>
      </c>
      <c r="B812">
        <f>HYPERLINK("C:\Users\lmonroy\Tema\ENERO\BAJAS\OTROS PROYECTOS\MAYTA VELA FRANCIS FABIAN.pdf", "Link")</f>
        <v/>
      </c>
      <c r="C812" t="n">
        <v>27178</v>
      </c>
      <c r="D812" t="inlineStr">
        <is>
          <t>2024-01-30 09:09:39</t>
        </is>
      </c>
      <c r="E812" t="inlineStr">
        <is>
          <t>2024-01-30 11:10:07</t>
        </is>
      </c>
      <c r="F812" t="inlineStr">
        <is>
          <t>666</t>
        </is>
      </c>
    </row>
    <row r="813">
      <c r="A813" t="inlineStr">
        <is>
          <t>MEDINA ESPINOZA IVETTE BRENDA IVOSKA.pdf</t>
        </is>
      </c>
      <c r="B813">
        <f>HYPERLINK("C:\Users\lmonroy\Tema\ENERO\BAJAS\OTROS PROYECTOS\MEDINA ESPINOZA IVETTE BRENDA IVOSKA.pdf", "Link")</f>
        <v/>
      </c>
      <c r="C813" t="n">
        <v>27184</v>
      </c>
      <c r="D813" t="inlineStr">
        <is>
          <t>2024-01-29 09:59:20</t>
        </is>
      </c>
      <c r="E813" t="inlineStr">
        <is>
          <t>2024-01-30 11:09:09</t>
        </is>
      </c>
      <c r="F813" t="inlineStr">
        <is>
          <t>666</t>
        </is>
      </c>
    </row>
    <row r="814">
      <c r="A814" t="inlineStr">
        <is>
          <t>MENDOZA DELGADO ROBINZON JESUS.pdf</t>
        </is>
      </c>
      <c r="B814">
        <f>HYPERLINK("C:\Users\lmonroy\Tema\ENERO\BAJAS\OTROS PROYECTOS\MENDOZA DELGADO ROBINZON JESUS.pdf", "Link")</f>
        <v/>
      </c>
      <c r="C814" t="n">
        <v>27178</v>
      </c>
      <c r="D814" t="inlineStr">
        <is>
          <t>2024-01-29 09:58:59</t>
        </is>
      </c>
      <c r="E814" t="inlineStr">
        <is>
          <t>2024-01-30 11:09:09</t>
        </is>
      </c>
      <c r="F814" t="inlineStr">
        <is>
          <t>666</t>
        </is>
      </c>
    </row>
    <row r="815">
      <c r="A815" t="inlineStr">
        <is>
          <t>MENDOZA MOTA IVAN.pdf</t>
        </is>
      </c>
      <c r="B815">
        <f>HYPERLINK("C:\Users\lmonroy\Tema\ENERO\BAJAS\OTROS PROYECTOS\MENDOZA MOTA IVAN.pdf", "Link")</f>
        <v/>
      </c>
      <c r="C815" t="n">
        <v>27168</v>
      </c>
      <c r="D815" t="inlineStr">
        <is>
          <t>2024-01-29 10:03:26</t>
        </is>
      </c>
      <c r="E815" t="inlineStr">
        <is>
          <t>2024-01-30 11:09:09</t>
        </is>
      </c>
      <c r="F815" t="inlineStr">
        <is>
          <t>666</t>
        </is>
      </c>
    </row>
    <row r="816">
      <c r="A816" t="inlineStr">
        <is>
          <t>MIGUEL ESTRADA EDSON PIT.pdf</t>
        </is>
      </c>
      <c r="B816">
        <f>HYPERLINK("C:\Users\lmonroy\Tema\ENERO\BAJAS\OTROS PROYECTOS\MIGUEL ESTRADA EDSON PIT.pdf", "Link")</f>
        <v/>
      </c>
      <c r="C816" t="n">
        <v>27177</v>
      </c>
      <c r="D816" t="inlineStr">
        <is>
          <t>2024-01-29 09:59:47</t>
        </is>
      </c>
      <c r="E816" t="inlineStr">
        <is>
          <t>2024-01-30 11:09:09</t>
        </is>
      </c>
      <c r="F816" t="inlineStr">
        <is>
          <t>666</t>
        </is>
      </c>
    </row>
    <row r="817">
      <c r="A817" t="inlineStr">
        <is>
          <t>MINAYA DIAZ JESUS FABRIZZIO.pdf</t>
        </is>
      </c>
      <c r="B817">
        <f>HYPERLINK("C:\Users\lmonroy\Tema\ENERO\BAJAS\OTROS PROYECTOS\MINAYA DIAZ JESUS FABRIZZIO.pdf", "Link")</f>
        <v/>
      </c>
      <c r="C817" t="n">
        <v>27182</v>
      </c>
      <c r="D817" t="inlineStr">
        <is>
          <t>2024-01-29 10:04:08</t>
        </is>
      </c>
      <c r="E817" t="inlineStr">
        <is>
          <t>2024-01-30 11:09:09</t>
        </is>
      </c>
      <c r="F817" t="inlineStr">
        <is>
          <t>666</t>
        </is>
      </c>
    </row>
    <row r="818">
      <c r="A818" t="inlineStr">
        <is>
          <t>MOGOLLON ALEMAN MERY ELIZABETH.pdf</t>
        </is>
      </c>
      <c r="B818">
        <f>HYPERLINK("C:\Users\lmonroy\Tema\ENERO\BAJAS\OTROS PROYECTOS\MOGOLLON ALEMAN MERY ELIZABETH.pdf", "Link")</f>
        <v/>
      </c>
      <c r="C818" t="n">
        <v>27185</v>
      </c>
      <c r="D818" t="inlineStr">
        <is>
          <t>2024-01-29 09:59:49</t>
        </is>
      </c>
      <c r="E818" t="inlineStr">
        <is>
          <t>2024-01-30 11:09:09</t>
        </is>
      </c>
      <c r="F818" t="inlineStr">
        <is>
          <t>666</t>
        </is>
      </c>
    </row>
    <row r="819">
      <c r="A819" t="inlineStr">
        <is>
          <t>MOGOLLON CALLE PIERO CHANEL.pdf</t>
        </is>
      </c>
      <c r="B819">
        <f>HYPERLINK("C:\Users\lmonroy\Tema\ENERO\BAJAS\OTROS PROYECTOS\MOGOLLON CALLE PIERO CHANEL.pdf", "Link")</f>
        <v/>
      </c>
      <c r="C819" t="n">
        <v>27181</v>
      </c>
      <c r="D819" t="inlineStr">
        <is>
          <t>2024-01-29 09:59:19</t>
        </is>
      </c>
      <c r="E819" t="inlineStr">
        <is>
          <t>2024-01-30 11:09:09</t>
        </is>
      </c>
      <c r="F819" t="inlineStr">
        <is>
          <t>666</t>
        </is>
      </c>
    </row>
    <row r="820">
      <c r="A820" t="inlineStr">
        <is>
          <t>MONTESINOS NIEVES PEDRO JUNIOR.pdf</t>
        </is>
      </c>
      <c r="B820">
        <f>HYPERLINK("C:\Users\lmonroy\Tema\ENERO\BAJAS\OTROS PROYECTOS\MONTESINOS NIEVES PEDRO JUNIOR.pdf", "Link")</f>
        <v/>
      </c>
      <c r="C820" t="n">
        <v>27182</v>
      </c>
      <c r="D820" t="inlineStr">
        <is>
          <t>2024-01-29 10:03:31</t>
        </is>
      </c>
      <c r="E820" t="inlineStr">
        <is>
          <t>2024-01-30 11:09:09</t>
        </is>
      </c>
      <c r="F820" t="inlineStr">
        <is>
          <t>666</t>
        </is>
      </c>
    </row>
    <row r="821">
      <c r="A821" t="inlineStr">
        <is>
          <t>MONTESINOS NIEVES SANDRO ALEJANDRO.pdf</t>
        </is>
      </c>
      <c r="B821">
        <f>HYPERLINK("C:\Users\lmonroy\Tema\ENERO\BAJAS\OTROS PROYECTOS\MONTESINOS NIEVES SANDRO ALEJANDRO.pdf", "Link")</f>
        <v/>
      </c>
      <c r="C821" t="n">
        <v>27182</v>
      </c>
      <c r="D821" t="inlineStr">
        <is>
          <t>2024-01-29 10:03:49</t>
        </is>
      </c>
      <c r="E821" t="inlineStr">
        <is>
          <t>2024-01-30 11:09:09</t>
        </is>
      </c>
      <c r="F821" t="inlineStr">
        <is>
          <t>666</t>
        </is>
      </c>
    </row>
    <row r="822">
      <c r="A822" t="inlineStr">
        <is>
          <t>MORALES PUELLES ALEJANDRO ANDRE.pdf</t>
        </is>
      </c>
      <c r="B822">
        <f>HYPERLINK("C:\Users\lmonroy\Tema\ENERO\BAJAS\OTROS PROYECTOS\MORALES PUELLES ALEJANDRO ANDRE.pdf", "Link")</f>
        <v/>
      </c>
      <c r="C822" t="n">
        <v>27180</v>
      </c>
      <c r="D822" t="inlineStr">
        <is>
          <t>2024-01-29 10:04:18</t>
        </is>
      </c>
      <c r="E822" t="inlineStr">
        <is>
          <t>2024-01-30 11:09:09</t>
        </is>
      </c>
      <c r="F822" t="inlineStr">
        <is>
          <t>666</t>
        </is>
      </c>
    </row>
    <row r="823">
      <c r="A823" t="inlineStr">
        <is>
          <t>MORAN VALVERDE JENYFFER JOHANNA.pdf</t>
        </is>
      </c>
      <c r="B823">
        <f>HYPERLINK("C:\Users\lmonroy\Tema\ENERO\BAJAS\OTROS PROYECTOS\MORAN VALVERDE JENYFFER JOHANNA.pdf", "Link")</f>
        <v/>
      </c>
      <c r="C823" t="n">
        <v>27183</v>
      </c>
      <c r="D823" t="inlineStr">
        <is>
          <t>2024-01-29 10:04:35</t>
        </is>
      </c>
      <c r="E823" t="inlineStr">
        <is>
          <t>2024-01-30 11:09:09</t>
        </is>
      </c>
      <c r="F823" t="inlineStr">
        <is>
          <t>666</t>
        </is>
      </c>
    </row>
    <row r="824">
      <c r="A824" t="inlineStr">
        <is>
          <t>MOTA SOTELO TONI CARLOS.pdf</t>
        </is>
      </c>
      <c r="B824">
        <f>HYPERLINK("C:\Users\lmonroy\Tema\ENERO\BAJAS\OTROS PROYECTOS\MOTA SOTELO TONI CARLOS.pdf", "Link")</f>
        <v/>
      </c>
      <c r="C824" t="n">
        <v>27176</v>
      </c>
      <c r="D824" t="inlineStr">
        <is>
          <t>2024-01-29 10:00:17</t>
        </is>
      </c>
      <c r="E824" t="inlineStr">
        <is>
          <t>2024-01-30 11:09:09</t>
        </is>
      </c>
      <c r="F824" t="inlineStr">
        <is>
          <t>666</t>
        </is>
      </c>
    </row>
    <row r="825">
      <c r="A825" t="inlineStr">
        <is>
          <t>MUÑOZ SALCEDO PIERO JHOYNNER.pdf</t>
        </is>
      </c>
      <c r="B825">
        <f>HYPERLINK("C:\Users\lmonroy\Tema\ENERO\BAJAS\OTROS PROYECTOS\MUÑOZ SALCEDO PIERO JHOYNNER.pdf", "Link")</f>
        <v/>
      </c>
      <c r="C825" t="n">
        <v>27187</v>
      </c>
      <c r="D825" t="inlineStr">
        <is>
          <t>2024-01-29 10:00:27</t>
        </is>
      </c>
      <c r="E825" t="inlineStr">
        <is>
          <t>2024-01-30 11:09:09</t>
        </is>
      </c>
      <c r="F825" t="inlineStr">
        <is>
          <t>666</t>
        </is>
      </c>
    </row>
    <row r="826">
      <c r="A826" t="inlineStr">
        <is>
          <t>NAZARIO BEGAZO RENATO AAROM.pdf</t>
        </is>
      </c>
      <c r="B826">
        <f>HYPERLINK("C:\Users\lmonroy\Tema\ENERO\BAJAS\OTROS PROYECTOS\NAZARIO BEGAZO RENATO AAROM.pdf", "Link")</f>
        <v/>
      </c>
      <c r="C826" t="n">
        <v>27181</v>
      </c>
      <c r="D826" t="inlineStr">
        <is>
          <t>2024-01-29 10:04:10</t>
        </is>
      </c>
      <c r="E826" t="inlineStr">
        <is>
          <t>2024-01-30 11:09:09</t>
        </is>
      </c>
      <c r="F826" t="inlineStr">
        <is>
          <t>666</t>
        </is>
      </c>
    </row>
    <row r="827">
      <c r="A827" t="inlineStr">
        <is>
          <t>OCAMPO MACEDA ANA TERESA.pdf</t>
        </is>
      </c>
      <c r="B827">
        <f>HYPERLINK("C:\Users\lmonroy\Tema\ENERO\BAJAS\OTROS PROYECTOS\OCAMPO MACEDA ANA TERESA.pdf", "Link")</f>
        <v/>
      </c>
      <c r="C827" t="n">
        <v>27175</v>
      </c>
      <c r="D827" t="inlineStr">
        <is>
          <t>2024-01-29 10:04:24</t>
        </is>
      </c>
      <c r="E827" t="inlineStr">
        <is>
          <t>2024-01-30 11:09:09</t>
        </is>
      </c>
      <c r="F827" t="inlineStr">
        <is>
          <t>666</t>
        </is>
      </c>
    </row>
    <row r="828">
      <c r="A828" t="inlineStr">
        <is>
          <t>OLIVERA ESPINOZA ROBINSON RAFAEL.pdf</t>
        </is>
      </c>
      <c r="B828">
        <f>HYPERLINK("C:\Users\lmonroy\Tema\ENERO\BAJAS\OTROS PROYECTOS\OLIVERA ESPINOZA ROBINSON RAFAEL.pdf", "Link")</f>
        <v/>
      </c>
      <c r="C828" t="n">
        <v>27183</v>
      </c>
      <c r="D828" t="inlineStr">
        <is>
          <t>2024-01-29 10:04:12</t>
        </is>
      </c>
      <c r="E828" t="inlineStr">
        <is>
          <t>2024-01-30 11:09:09</t>
        </is>
      </c>
      <c r="F828" t="inlineStr">
        <is>
          <t>666</t>
        </is>
      </c>
    </row>
    <row r="829">
      <c r="A829" t="inlineStr">
        <is>
          <t>OSCANOA GOMEZ JOSE ALEXANDER.pdf</t>
        </is>
      </c>
      <c r="B829">
        <f>HYPERLINK("C:\Users\lmonroy\Tema\ENERO\BAJAS\OTROS PROYECTOS\OSCANOA GOMEZ JOSE ALEXANDER.pdf", "Link")</f>
        <v/>
      </c>
      <c r="C829" t="n">
        <v>27183</v>
      </c>
      <c r="D829" t="inlineStr">
        <is>
          <t>2024-01-29 10:04:20</t>
        </is>
      </c>
      <c r="E829" t="inlineStr">
        <is>
          <t>2024-01-30 11:09:09</t>
        </is>
      </c>
      <c r="F829" t="inlineStr">
        <is>
          <t>666</t>
        </is>
      </c>
    </row>
    <row r="830">
      <c r="A830" t="inlineStr">
        <is>
          <t>PACHECO CASTILLO JAIME ARTURO.pdf</t>
        </is>
      </c>
      <c r="B830">
        <f>HYPERLINK("C:\Users\lmonroy\Tema\ENERO\BAJAS\OTROS PROYECTOS\PACHECO CASTILLO JAIME ARTURO.pdf", "Link")</f>
        <v/>
      </c>
      <c r="C830" t="n">
        <v>27182</v>
      </c>
      <c r="D830" t="inlineStr">
        <is>
          <t>2024-01-29 09:59:30</t>
        </is>
      </c>
      <c r="E830" t="inlineStr">
        <is>
          <t>2024-01-30 11:09:09</t>
        </is>
      </c>
      <c r="F830" t="inlineStr">
        <is>
          <t>666</t>
        </is>
      </c>
    </row>
    <row r="831">
      <c r="A831" t="inlineStr">
        <is>
          <t>PAJUELO EVANGELISTA LUIS EDUARDO.pdf</t>
        </is>
      </c>
      <c r="B831">
        <f>HYPERLINK("C:\Users\lmonroy\Tema\ENERO\BAJAS\OTROS PROYECTOS\PAJUELO EVANGELISTA LUIS EDUARDO.pdf", "Link")</f>
        <v/>
      </c>
      <c r="C831" t="n">
        <v>27184</v>
      </c>
      <c r="D831" t="inlineStr">
        <is>
          <t>2024-01-29 10:00:10</t>
        </is>
      </c>
      <c r="E831" t="inlineStr">
        <is>
          <t>2024-01-30 11:09:09</t>
        </is>
      </c>
      <c r="F831" t="inlineStr">
        <is>
          <t>666</t>
        </is>
      </c>
    </row>
    <row r="832">
      <c r="A832" t="inlineStr">
        <is>
          <t>PARIONA ICOCHEA ERNESTO PEDRO.pdf</t>
        </is>
      </c>
      <c r="B832">
        <f>HYPERLINK("C:\Users\lmonroy\Tema\ENERO\BAJAS\OTROS PROYECTOS\PARIONA ICOCHEA ERNESTO PEDRO.pdf", "Link")</f>
        <v/>
      </c>
      <c r="C832" t="n">
        <v>27181</v>
      </c>
      <c r="D832" t="inlineStr">
        <is>
          <t>2024-01-29 10:04:13</t>
        </is>
      </c>
      <c r="E832" t="inlineStr">
        <is>
          <t>2024-01-30 11:09:09</t>
        </is>
      </c>
      <c r="F832" t="inlineStr">
        <is>
          <t>666</t>
        </is>
      </c>
    </row>
    <row r="833">
      <c r="A833" t="inlineStr">
        <is>
          <t>PASHANASTE MORI LUIS.pdf</t>
        </is>
      </c>
      <c r="B833">
        <f>HYPERLINK("C:\Users\lmonroy\Tema\ENERO\BAJAS\OTROS PROYECTOS\PASHANASTE MORI LUIS.pdf", "Link")</f>
        <v/>
      </c>
      <c r="C833" t="n">
        <v>27176</v>
      </c>
      <c r="D833" t="inlineStr">
        <is>
          <t>2024-01-29 10:05:28</t>
        </is>
      </c>
      <c r="E833" t="inlineStr">
        <is>
          <t>2024-01-30 11:09:09</t>
        </is>
      </c>
      <c r="F833" t="inlineStr">
        <is>
          <t>666</t>
        </is>
      </c>
    </row>
    <row r="834">
      <c r="A834" t="inlineStr">
        <is>
          <t>PAYANO PAYANO MARCO ANTONIO.pdf</t>
        </is>
      </c>
      <c r="B834">
        <f>HYPERLINK("C:\Users\lmonroy\Tema\ENERO\BAJAS\OTROS PROYECTOS\PAYANO PAYANO MARCO ANTONIO.pdf", "Link")</f>
        <v/>
      </c>
      <c r="C834" t="n">
        <v>27178</v>
      </c>
      <c r="D834" t="inlineStr">
        <is>
          <t>2024-01-29 10:05:16</t>
        </is>
      </c>
      <c r="E834" t="inlineStr">
        <is>
          <t>2024-01-30 11:09:09</t>
        </is>
      </c>
      <c r="F834" t="inlineStr">
        <is>
          <t>666</t>
        </is>
      </c>
    </row>
    <row r="835">
      <c r="A835" t="inlineStr">
        <is>
          <t>PEREZ BRAMONT CARLOS ENRIQUE MIGUEL.pdf</t>
        </is>
      </c>
      <c r="B835">
        <f>HYPERLINK("C:\Users\lmonroy\Tema\ENERO\BAJAS\OTROS PROYECTOS\PEREZ BRAMONT CARLOS ENRIQUE MIGUEL.pdf", "Link")</f>
        <v/>
      </c>
      <c r="C835" t="n">
        <v>27184</v>
      </c>
      <c r="D835" t="inlineStr">
        <is>
          <t>2024-01-29 10:04:21</t>
        </is>
      </c>
      <c r="E835" t="inlineStr">
        <is>
          <t>2024-01-30 11:09:09</t>
        </is>
      </c>
      <c r="F835" t="inlineStr">
        <is>
          <t>666</t>
        </is>
      </c>
    </row>
    <row r="836">
      <c r="A836" t="inlineStr">
        <is>
          <t>PEREZ RAMIREZ LENIR.pdf</t>
        </is>
      </c>
      <c r="B836">
        <f>HYPERLINK("C:\Users\lmonroy\Tema\ENERO\BAJAS\OTROS PROYECTOS\PEREZ RAMIREZ LENIR.pdf", "Link")</f>
        <v/>
      </c>
      <c r="C836" t="n">
        <v>27169</v>
      </c>
      <c r="D836" t="inlineStr">
        <is>
          <t>2024-01-29 09:59:25</t>
        </is>
      </c>
      <c r="E836" t="inlineStr">
        <is>
          <t>2024-01-30 11:09:09</t>
        </is>
      </c>
      <c r="F836" t="inlineStr">
        <is>
          <t>666</t>
        </is>
      </c>
    </row>
    <row r="837">
      <c r="A837" t="inlineStr">
        <is>
          <t>QUEZADA DIAZ MANUEL ANTONIO.pdf</t>
        </is>
      </c>
      <c r="B837">
        <f>HYPERLINK("C:\Users\lmonroy\Tema\ENERO\BAJAS\OTROS PROYECTOS\QUEZADA DIAZ MANUEL ANTONIO.pdf", "Link")</f>
        <v/>
      </c>
      <c r="C837" t="n">
        <v>27180</v>
      </c>
      <c r="D837" t="inlineStr">
        <is>
          <t>2024-01-29 10:04:22</t>
        </is>
      </c>
      <c r="E837" t="inlineStr">
        <is>
          <t>2024-01-30 11:09:09</t>
        </is>
      </c>
      <c r="F837" t="inlineStr">
        <is>
          <t>666</t>
        </is>
      </c>
    </row>
    <row r="838">
      <c r="A838" t="inlineStr">
        <is>
          <t>QUINTANA VEGA ANDREA ALEXANDRA.pdf</t>
        </is>
      </c>
      <c r="B838">
        <f>HYPERLINK("C:\Users\lmonroy\Tema\ENERO\BAJAS\OTROS PROYECTOS\QUINTANA VEGA ANDREA ALEXANDRA.pdf", "Link")</f>
        <v/>
      </c>
      <c r="C838" t="n">
        <v>27180</v>
      </c>
      <c r="D838" t="inlineStr">
        <is>
          <t>2024-01-30 09:09:40</t>
        </is>
      </c>
      <c r="E838" t="inlineStr">
        <is>
          <t>2024-01-30 11:10:07</t>
        </is>
      </c>
      <c r="F838" t="inlineStr">
        <is>
          <t>666</t>
        </is>
      </c>
    </row>
    <row r="839">
      <c r="A839" t="inlineStr">
        <is>
          <t>QUISPE CONDORI CESAR ROLANDO.pdf</t>
        </is>
      </c>
      <c r="B839">
        <f>HYPERLINK("C:\Users\lmonroy\Tema\ENERO\BAJAS\OTROS PROYECTOS\QUISPE CONDORI CESAR ROLANDO.pdf", "Link")</f>
        <v/>
      </c>
      <c r="C839" t="n">
        <v>27178</v>
      </c>
      <c r="D839" t="inlineStr">
        <is>
          <t>2024-01-29 10:03:27</t>
        </is>
      </c>
      <c r="E839" t="inlineStr">
        <is>
          <t>2024-01-30 11:09:09</t>
        </is>
      </c>
      <c r="F839" t="inlineStr">
        <is>
          <t>666</t>
        </is>
      </c>
    </row>
    <row r="840">
      <c r="A840" t="inlineStr">
        <is>
          <t>QUISPE DIAZ GYVER ANTHONY.pdf</t>
        </is>
      </c>
      <c r="B840">
        <f>HYPERLINK("C:\Users\lmonroy\Tema\ENERO\BAJAS\OTROS PROYECTOS\QUISPE DIAZ GYVER ANTHONY.pdf", "Link")</f>
        <v/>
      </c>
      <c r="C840" t="n">
        <v>27176</v>
      </c>
      <c r="D840" t="inlineStr">
        <is>
          <t>2024-01-29 09:59:01</t>
        </is>
      </c>
      <c r="E840" t="inlineStr">
        <is>
          <t>2024-01-30 11:09:09</t>
        </is>
      </c>
      <c r="F840" t="inlineStr">
        <is>
          <t>666</t>
        </is>
      </c>
    </row>
    <row r="841">
      <c r="A841" t="inlineStr">
        <is>
          <t>RAMOS ALBINES LUIGUI ALEXANDER.pdf</t>
        </is>
      </c>
      <c r="B841">
        <f>HYPERLINK("C:\Users\lmonroy\Tema\ENERO\BAJAS\OTROS PROYECTOS\RAMOS ALBINES LUIGUI ALEXANDER.pdf", "Link")</f>
        <v/>
      </c>
      <c r="C841" t="n">
        <v>27186</v>
      </c>
      <c r="D841" t="inlineStr">
        <is>
          <t>2024-01-29 10:00:11</t>
        </is>
      </c>
      <c r="E841" t="inlineStr">
        <is>
          <t>2024-01-30 11:09:09</t>
        </is>
      </c>
      <c r="F841" t="inlineStr">
        <is>
          <t>666</t>
        </is>
      </c>
    </row>
    <row r="842">
      <c r="A842" t="inlineStr">
        <is>
          <t>RAMOS TACUCHI FRANCO GENARO.pdf</t>
        </is>
      </c>
      <c r="B842">
        <f>HYPERLINK("C:\Users\lmonroy\Tema\ENERO\BAJAS\OTROS PROYECTOS\RAMOS TACUCHI FRANCO GENARO.pdf", "Link")</f>
        <v/>
      </c>
      <c r="C842" t="n">
        <v>27176</v>
      </c>
      <c r="D842" t="inlineStr">
        <is>
          <t>2024-01-29 09:59:03</t>
        </is>
      </c>
      <c r="E842" t="inlineStr">
        <is>
          <t>2024-01-30 11:09:09</t>
        </is>
      </c>
      <c r="F842" t="inlineStr">
        <is>
          <t>666</t>
        </is>
      </c>
    </row>
    <row r="843">
      <c r="A843" t="inlineStr">
        <is>
          <t>REYES ALBINO ROSEYSELA SARAI.pdf</t>
        </is>
      </c>
      <c r="B843">
        <f>HYPERLINK("C:\Users\lmonroy\Tema\ENERO\BAJAS\OTROS PROYECTOS\REYES ALBINO ROSEYSELA SARAI.pdf", "Link")</f>
        <v/>
      </c>
      <c r="C843" t="n">
        <v>27183</v>
      </c>
      <c r="D843" t="inlineStr">
        <is>
          <t>2024-01-29 10:04:25</t>
        </is>
      </c>
      <c r="E843" t="inlineStr">
        <is>
          <t>2024-01-30 11:09:09</t>
        </is>
      </c>
      <c r="F843" t="inlineStr">
        <is>
          <t>666</t>
        </is>
      </c>
    </row>
    <row r="844">
      <c r="A844" t="inlineStr">
        <is>
          <t>REYES OTOYA ARIANA MILAGROS.pdf</t>
        </is>
      </c>
      <c r="B844">
        <f>HYPERLINK("C:\Users\lmonroy\Tema\ENERO\BAJAS\OTROS PROYECTOS\REYES OTOYA ARIANA MILAGROS.pdf", "Link")</f>
        <v/>
      </c>
      <c r="C844" t="n">
        <v>27181</v>
      </c>
      <c r="D844" t="inlineStr">
        <is>
          <t>2024-01-29 10:00:12</t>
        </is>
      </c>
      <c r="E844" t="inlineStr">
        <is>
          <t>2024-01-30 11:09:09</t>
        </is>
      </c>
      <c r="F844" t="inlineStr">
        <is>
          <t>666</t>
        </is>
      </c>
    </row>
    <row r="845">
      <c r="A845" t="inlineStr">
        <is>
          <t>RISCO SERRANO OMAR FRANCISCO.pdf</t>
        </is>
      </c>
      <c r="B845">
        <f>HYPERLINK("C:\Users\lmonroy\Tema\ENERO\BAJAS\OTROS PROYECTOS\RISCO SERRANO OMAR FRANCISCO.pdf", "Link")</f>
        <v/>
      </c>
      <c r="C845" t="n">
        <v>27176</v>
      </c>
      <c r="D845" t="inlineStr">
        <is>
          <t>2024-01-29 10:00:18</t>
        </is>
      </c>
      <c r="E845" t="inlineStr">
        <is>
          <t>2024-01-30 11:09:09</t>
        </is>
      </c>
      <c r="F845" t="inlineStr">
        <is>
          <t>666</t>
        </is>
      </c>
    </row>
    <row r="846">
      <c r="A846" t="inlineStr">
        <is>
          <t>RIVAS SALINAS MARIA FE.pdf</t>
        </is>
      </c>
      <c r="B846">
        <f>HYPERLINK("C:\Users\lmonroy\Tema\ENERO\BAJAS\OTROS PROYECTOS\RIVAS SALINAS MARIA FE.pdf", "Link")</f>
        <v/>
      </c>
      <c r="C846" t="n">
        <v>27171</v>
      </c>
      <c r="D846" t="inlineStr">
        <is>
          <t>2024-01-29 09:59:05</t>
        </is>
      </c>
      <c r="E846" t="inlineStr">
        <is>
          <t>2024-01-30 11:09:09</t>
        </is>
      </c>
      <c r="F846" t="inlineStr">
        <is>
          <t>666</t>
        </is>
      </c>
    </row>
    <row r="847">
      <c r="A847" t="inlineStr">
        <is>
          <t>ROJAS PIÑAS MARICIELO MILAGROS.pdf</t>
        </is>
      </c>
      <c r="B847">
        <f>HYPERLINK("C:\Users\lmonroy\Tema\ENERO\BAJAS\OTROS PROYECTOS\ROJAS PIÑAS MARICIELO MILAGROS.pdf", "Link")</f>
        <v/>
      </c>
      <c r="C847" t="n">
        <v>27184</v>
      </c>
      <c r="D847" t="inlineStr">
        <is>
          <t>2024-01-29 09:59:12</t>
        </is>
      </c>
      <c r="E847" t="inlineStr">
        <is>
          <t>2024-01-30 11:09:09</t>
        </is>
      </c>
      <c r="F847" t="inlineStr">
        <is>
          <t>666</t>
        </is>
      </c>
    </row>
    <row r="848">
      <c r="A848" t="inlineStr">
        <is>
          <t>ROMAN VERA ROBERT FERNANDO.pdf</t>
        </is>
      </c>
      <c r="B848">
        <f>HYPERLINK("C:\Users\lmonroy\Tema\ENERO\BAJAS\OTROS PROYECTOS\ROMAN VERA ROBERT FERNANDO.pdf", "Link")</f>
        <v/>
      </c>
      <c r="C848" t="n">
        <v>27179</v>
      </c>
      <c r="D848" t="inlineStr">
        <is>
          <t>2024-01-29 09:59:22</t>
        </is>
      </c>
      <c r="E848" t="inlineStr">
        <is>
          <t>2024-01-30 11:09:09</t>
        </is>
      </c>
      <c r="F848" t="inlineStr">
        <is>
          <t>666</t>
        </is>
      </c>
    </row>
    <row r="849">
      <c r="A849" t="inlineStr">
        <is>
          <t>ROMERO AYCHO ISMAEL.pdf</t>
        </is>
      </c>
      <c r="B849">
        <f>HYPERLINK("C:\Users\lmonroy\Tema\ENERO\BAJAS\OTROS PROYECTOS\ROMERO AYCHO ISMAEL.pdf", "Link")</f>
        <v/>
      </c>
      <c r="C849" t="n">
        <v>27175</v>
      </c>
      <c r="D849" t="inlineStr">
        <is>
          <t>2024-01-29 10:05:24</t>
        </is>
      </c>
      <c r="E849" t="inlineStr">
        <is>
          <t>2024-01-30 11:09:09</t>
        </is>
      </c>
      <c r="F849" t="inlineStr">
        <is>
          <t>666</t>
        </is>
      </c>
    </row>
    <row r="850">
      <c r="A850" t="inlineStr">
        <is>
          <t>ROMERO CHIPANA BRAYAM JORDY.pdf</t>
        </is>
      </c>
      <c r="B850">
        <f>HYPERLINK("C:\Users\lmonroy\Tema\ENERO\BAJAS\OTROS PROYECTOS\ROMERO CHIPANA BRAYAM JORDY.pdf", "Link")</f>
        <v/>
      </c>
      <c r="C850" t="n">
        <v>27182</v>
      </c>
      <c r="D850" t="inlineStr">
        <is>
          <t>2024-01-30 09:09:37</t>
        </is>
      </c>
      <c r="E850" t="inlineStr">
        <is>
          <t>2024-01-30 11:10:07</t>
        </is>
      </c>
      <c r="F850" t="inlineStr">
        <is>
          <t>666</t>
        </is>
      </c>
    </row>
    <row r="851">
      <c r="A851" t="inlineStr">
        <is>
          <t>ROMERO RAMIREZ XIMENA ALEXANDRA.pdf</t>
        </is>
      </c>
      <c r="B851">
        <f>HYPERLINK("C:\Users\lmonroy\Tema\ENERO\BAJAS\OTROS PROYECTOS\ROMERO RAMIREZ XIMENA ALEXANDRA.pdf", "Link")</f>
        <v/>
      </c>
      <c r="C851" t="n">
        <v>27184</v>
      </c>
      <c r="D851" t="inlineStr">
        <is>
          <t>2024-01-29 10:00:28</t>
        </is>
      </c>
      <c r="E851" t="inlineStr">
        <is>
          <t>2024-01-30 11:09:09</t>
        </is>
      </c>
      <c r="F851" t="inlineStr">
        <is>
          <t>666</t>
        </is>
      </c>
    </row>
    <row r="852">
      <c r="A852" t="inlineStr">
        <is>
          <t>ROQUE VENTURA ALDO EUGENIO.pdf</t>
        </is>
      </c>
      <c r="B852">
        <f>HYPERLINK("C:\Users\lmonroy\Tema\ENERO\BAJAS\OTROS PROYECTOS\ROQUE VENTURA ALDO EUGENIO.pdf", "Link")</f>
        <v/>
      </c>
      <c r="C852" t="n">
        <v>27178</v>
      </c>
      <c r="D852" t="inlineStr">
        <is>
          <t>2024-01-29 10:03:32</t>
        </is>
      </c>
      <c r="E852" t="inlineStr">
        <is>
          <t>2024-01-30 11:09:09</t>
        </is>
      </c>
      <c r="F852" t="inlineStr">
        <is>
          <t>666</t>
        </is>
      </c>
    </row>
    <row r="853">
      <c r="A853" t="inlineStr">
        <is>
          <t>ROSAS ROJAS JACOB.pdf</t>
        </is>
      </c>
      <c r="B853">
        <f>HYPERLINK("C:\Users\lmonroy\Tema\ENERO\BAJAS\OTROS PROYECTOS\ROSAS ROJAS JACOB.pdf", "Link")</f>
        <v/>
      </c>
      <c r="C853" t="n">
        <v>6329</v>
      </c>
      <c r="D853" t="inlineStr">
        <is>
          <t>2024-01-26 17:19:21</t>
        </is>
      </c>
      <c r="E853" t="inlineStr">
        <is>
          <t>2024-01-30 11:09:09</t>
        </is>
      </c>
      <c r="F853" t="inlineStr">
        <is>
          <t>666</t>
        </is>
      </c>
    </row>
    <row r="854">
      <c r="A854" t="inlineStr">
        <is>
          <t>RUIZ LEVEAU JORGE NELSON.pdf</t>
        </is>
      </c>
      <c r="B854">
        <f>HYPERLINK("C:\Users\lmonroy\Tema\ENERO\BAJAS\OTROS PROYECTOS\RUIZ LEVEAU JORGE NELSON.pdf", "Link")</f>
        <v/>
      </c>
      <c r="C854" t="n">
        <v>27179</v>
      </c>
      <c r="D854" t="inlineStr">
        <is>
          <t>2024-01-29 10:00:33</t>
        </is>
      </c>
      <c r="E854" t="inlineStr">
        <is>
          <t>2024-01-30 11:09:09</t>
        </is>
      </c>
      <c r="F854" t="inlineStr">
        <is>
          <t>666</t>
        </is>
      </c>
    </row>
    <row r="855">
      <c r="A855" t="inlineStr">
        <is>
          <t>SANTOS VELIZ CARLOS PIERO.pdf</t>
        </is>
      </c>
      <c r="B855">
        <f>HYPERLINK("C:\Users\lmonroy\Tema\ENERO\BAJAS\OTROS PROYECTOS\SANTOS VELIZ CARLOS PIERO.pdf", "Link")</f>
        <v/>
      </c>
      <c r="C855" t="n">
        <v>27179</v>
      </c>
      <c r="D855" t="inlineStr">
        <is>
          <t>2024-01-29 10:00:22</t>
        </is>
      </c>
      <c r="E855" t="inlineStr">
        <is>
          <t>2024-01-30 11:09:09</t>
        </is>
      </c>
      <c r="F855" t="inlineStr">
        <is>
          <t>666</t>
        </is>
      </c>
    </row>
    <row r="856">
      <c r="A856" t="inlineStr">
        <is>
          <t>SEBASTIAN MAÑANGO EDUARDO.pdf</t>
        </is>
      </c>
      <c r="B856">
        <f>HYPERLINK("C:\Users\lmonroy\Tema\ENERO\BAJAS\OTROS PROYECTOS\SEBASTIAN MAÑANGO EDUARDO.pdf", "Link")</f>
        <v/>
      </c>
      <c r="C856" t="n">
        <v>27180</v>
      </c>
      <c r="D856" t="inlineStr">
        <is>
          <t>2024-01-29 10:03:29</t>
        </is>
      </c>
      <c r="E856" t="inlineStr">
        <is>
          <t>2024-01-30 11:09:09</t>
        </is>
      </c>
      <c r="F856" t="inlineStr">
        <is>
          <t>666</t>
        </is>
      </c>
    </row>
    <row r="857">
      <c r="A857" t="inlineStr">
        <is>
          <t>SEGURA RODRIGUEZ BREYDHI ERICK.pdf</t>
        </is>
      </c>
      <c r="B857">
        <f>HYPERLINK("C:\Users\lmonroy\Tema\ENERO\BAJAS\OTROS PROYECTOS\SEGURA RODRIGUEZ BREYDHI ERICK.pdf", "Link")</f>
        <v/>
      </c>
      <c r="C857" t="n">
        <v>27185</v>
      </c>
      <c r="D857" t="inlineStr">
        <is>
          <t>2024-01-29 10:05:09</t>
        </is>
      </c>
      <c r="E857" t="inlineStr">
        <is>
          <t>2024-01-30 11:09:09</t>
        </is>
      </c>
      <c r="F857" t="inlineStr">
        <is>
          <t>666</t>
        </is>
      </c>
    </row>
    <row r="858">
      <c r="A858" t="inlineStr">
        <is>
          <t>SIERRA VEGA CELIA EMILIA.pdf</t>
        </is>
      </c>
      <c r="B858">
        <f>HYPERLINK("C:\Users\lmonroy\Tema\ENERO\BAJAS\OTROS PROYECTOS\SIERRA VEGA CELIA EMILIA.pdf", "Link")</f>
        <v/>
      </c>
      <c r="C858" t="n">
        <v>27175</v>
      </c>
      <c r="D858" t="inlineStr">
        <is>
          <t>2024-01-29 10:00:30</t>
        </is>
      </c>
      <c r="E858" t="inlineStr">
        <is>
          <t>2024-01-30 11:09:09</t>
        </is>
      </c>
      <c r="F858" t="inlineStr">
        <is>
          <t>666</t>
        </is>
      </c>
    </row>
    <row r="859">
      <c r="A859" t="inlineStr">
        <is>
          <t>SOLIS GRADOS NABIL ARTURO.pdf</t>
        </is>
      </c>
      <c r="B859">
        <f>HYPERLINK("C:\Users\lmonroy\Tema\ENERO\BAJAS\OTROS PROYECTOS\SOLIS GRADOS NABIL ARTURO.pdf", "Link")</f>
        <v/>
      </c>
      <c r="C859" t="n">
        <v>27178</v>
      </c>
      <c r="D859" t="inlineStr">
        <is>
          <t>2024-01-29 09:59:23</t>
        </is>
      </c>
      <c r="E859" t="inlineStr">
        <is>
          <t>2024-01-30 11:08:50</t>
        </is>
      </c>
      <c r="F859" t="inlineStr">
        <is>
          <t>666</t>
        </is>
      </c>
    </row>
    <row r="860">
      <c r="A860" t="inlineStr">
        <is>
          <t>SOLÍS BENITES JOSÉ AUGUSTO.pdf</t>
        </is>
      </c>
      <c r="B860">
        <f>HYPERLINK("C:\Users\lmonroy\Tema\ENERO\BAJAS\OTROS PROYECTOS\SOLÍS BENITES JOSÉ AUGUSTO.pdf", "Link")</f>
        <v/>
      </c>
      <c r="C860" t="n">
        <v>27184</v>
      </c>
      <c r="D860" t="inlineStr">
        <is>
          <t>2024-01-29 10:04:14</t>
        </is>
      </c>
      <c r="E860" t="inlineStr">
        <is>
          <t>2024-01-30 11:09:09</t>
        </is>
      </c>
      <c r="F860" t="inlineStr">
        <is>
          <t>666</t>
        </is>
      </c>
    </row>
    <row r="861">
      <c r="A861" t="inlineStr">
        <is>
          <t>SORIANO CANTARO VLADIMIR GERONIMO.pdf</t>
        </is>
      </c>
      <c r="B861">
        <f>HYPERLINK("C:\Users\lmonroy\Tema\ENERO\BAJAS\OTROS PROYECTOS\SORIANO CANTARO VLADIMIR GERONIMO.pdf", "Link")</f>
        <v/>
      </c>
      <c r="C861" t="n">
        <v>27183</v>
      </c>
      <c r="D861" t="inlineStr">
        <is>
          <t>2024-01-29 10:05:10</t>
        </is>
      </c>
      <c r="E861" t="inlineStr">
        <is>
          <t>2024-01-30 11:09:09</t>
        </is>
      </c>
      <c r="F861" t="inlineStr">
        <is>
          <t>666</t>
        </is>
      </c>
    </row>
    <row r="862">
      <c r="A862" t="inlineStr">
        <is>
          <t>TAPIA TORRES TITO HERSON.pdf</t>
        </is>
      </c>
      <c r="B862">
        <f>HYPERLINK("C:\Users\lmonroy\Tema\ENERO\BAJAS\OTROS PROYECTOS\TAPIA TORRES TITO HERSON.pdf", "Link")</f>
        <v/>
      </c>
      <c r="C862" t="n">
        <v>27178</v>
      </c>
      <c r="D862" t="inlineStr">
        <is>
          <t>2024-01-29 10:05:18</t>
        </is>
      </c>
      <c r="E862" t="inlineStr">
        <is>
          <t>2024-01-30 11:09:09</t>
        </is>
      </c>
      <c r="F862" t="inlineStr">
        <is>
          <t>666</t>
        </is>
      </c>
    </row>
    <row r="863">
      <c r="A863" t="inlineStr">
        <is>
          <t>TRAVEZAÑO AMBROSIO MARIELLA ALEJANDRA.pdf</t>
        </is>
      </c>
      <c r="B863">
        <f>HYPERLINK("C:\Users\lmonroy\Tema\ENERO\BAJAS\OTROS PROYECTOS\TRAVEZAÑO AMBROSIO MARIELLA ALEJANDRA.pdf", "Link")</f>
        <v/>
      </c>
      <c r="C863" t="n">
        <v>27190</v>
      </c>
      <c r="D863" t="inlineStr">
        <is>
          <t>2024-01-29 10:04:16</t>
        </is>
      </c>
      <c r="E863" t="inlineStr">
        <is>
          <t>2024-01-30 11:09:09</t>
        </is>
      </c>
      <c r="F863" t="inlineStr">
        <is>
          <t>666</t>
        </is>
      </c>
    </row>
    <row r="864">
      <c r="A864" t="inlineStr">
        <is>
          <t>TUCTO CUEVA EDWAR.pdf</t>
        </is>
      </c>
      <c r="B864">
        <f>HYPERLINK("C:\Users\lmonroy\Tema\ENERO\BAJAS\OTROS PROYECTOS\TUCTO CUEVA EDWAR.pdf", "Link")</f>
        <v/>
      </c>
      <c r="C864" t="n">
        <v>27176</v>
      </c>
      <c r="D864" t="inlineStr">
        <is>
          <t>2024-01-29 10:00:24</t>
        </is>
      </c>
      <c r="E864" t="inlineStr">
        <is>
          <t>2024-01-30 11:09:09</t>
        </is>
      </c>
      <c r="F864" t="inlineStr">
        <is>
          <t>666</t>
        </is>
      </c>
    </row>
    <row r="865">
      <c r="A865" t="inlineStr">
        <is>
          <t>VALDIVIEZO ALVARADO DAVID.pdf</t>
        </is>
      </c>
      <c r="B865">
        <f>HYPERLINK("C:\Users\lmonroy\Tema\ENERO\BAJAS\OTROS PROYECTOS\VALDIVIEZO ALVARADO DAVID.pdf", "Link")</f>
        <v/>
      </c>
      <c r="C865" t="n">
        <v>27180</v>
      </c>
      <c r="D865" t="inlineStr">
        <is>
          <t>2024-01-29 10:05:19</t>
        </is>
      </c>
      <c r="E865" t="inlineStr">
        <is>
          <t>2024-01-30 11:09:09</t>
        </is>
      </c>
      <c r="F865" t="inlineStr">
        <is>
          <t>666</t>
        </is>
      </c>
    </row>
    <row r="866">
      <c r="A866" t="inlineStr">
        <is>
          <t>VALENTIN DELGADO DAVID ALONZO.pdf</t>
        </is>
      </c>
      <c r="B866">
        <f>HYPERLINK("C:\Users\lmonroy\Tema\ENERO\BAJAS\OTROS PROYECTOS\VALENTIN DELGADO DAVID ALONZO.pdf", "Link")</f>
        <v/>
      </c>
      <c r="C866" t="n">
        <v>27180</v>
      </c>
      <c r="D866" t="inlineStr">
        <is>
          <t>2024-01-29 10:03:40</t>
        </is>
      </c>
      <c r="E866" t="inlineStr">
        <is>
          <t>2024-01-30 11:09:09</t>
        </is>
      </c>
      <c r="F866" t="inlineStr">
        <is>
          <t>666</t>
        </is>
      </c>
    </row>
    <row r="867">
      <c r="A867" t="inlineStr">
        <is>
          <t>VALLE EFFIO ESTHER MILY.pdf</t>
        </is>
      </c>
      <c r="B867">
        <f>HYPERLINK("C:\Users\lmonroy\Tema\ENERO\BAJAS\OTROS PROYECTOS\VALLE EFFIO ESTHER MILY.pdf", "Link")</f>
        <v/>
      </c>
      <c r="C867" t="n">
        <v>27179</v>
      </c>
      <c r="D867" t="inlineStr">
        <is>
          <t>2024-01-29 10:00:31</t>
        </is>
      </c>
      <c r="E867" t="inlineStr">
        <is>
          <t>2024-01-30 11:09:09</t>
        </is>
      </c>
      <c r="F867" t="inlineStr">
        <is>
          <t>666</t>
        </is>
      </c>
    </row>
    <row r="868">
      <c r="A868" t="inlineStr">
        <is>
          <t>VARGAS ROMAN AUGUSTO EMILIO.pdf</t>
        </is>
      </c>
      <c r="B868">
        <f>HYPERLINK("C:\Users\lmonroy\Tema\ENERO\BAJAS\OTROS PROYECTOS\VARGAS ROMAN AUGUSTO EMILIO.pdf", "Link")</f>
        <v/>
      </c>
      <c r="C868" t="n">
        <v>27181</v>
      </c>
      <c r="D868" t="inlineStr">
        <is>
          <t>2024-01-29 09:59:31</t>
        </is>
      </c>
      <c r="E868" t="inlineStr">
        <is>
          <t>2024-01-30 11:09:09</t>
        </is>
      </c>
      <c r="F868" t="inlineStr">
        <is>
          <t>666</t>
        </is>
      </c>
    </row>
    <row r="869">
      <c r="A869" t="inlineStr">
        <is>
          <t>VARGAS TORRES ALEJANDRO.pdf</t>
        </is>
      </c>
      <c r="B869">
        <f>HYPERLINK("C:\Users\lmonroy\Tema\ENERO\BAJAS\OTROS PROYECTOS\VARGAS TORRES ALEJANDRO.pdf", "Link")</f>
        <v/>
      </c>
      <c r="C869" t="n">
        <v>27178</v>
      </c>
      <c r="D869" t="inlineStr">
        <is>
          <t>2024-01-29 09:59:32</t>
        </is>
      </c>
      <c r="E869" t="inlineStr">
        <is>
          <t>2024-01-30 11:09:09</t>
        </is>
      </c>
      <c r="F869" t="inlineStr">
        <is>
          <t>666</t>
        </is>
      </c>
    </row>
    <row r="870">
      <c r="A870" t="inlineStr">
        <is>
          <t>VILLEGAS MENDRO PETER.pdf</t>
        </is>
      </c>
      <c r="B870">
        <f>HYPERLINK("C:\Users\lmonroy\Tema\ENERO\BAJAS\OTROS PROYECTOS\VILLEGAS MENDRO PETER.pdf", "Link")</f>
        <v/>
      </c>
      <c r="C870" t="n">
        <v>27176</v>
      </c>
      <c r="D870" t="inlineStr">
        <is>
          <t>2024-01-29 10:03:30</t>
        </is>
      </c>
      <c r="E870" t="inlineStr">
        <is>
          <t>2024-01-30 11:09:09</t>
        </is>
      </c>
      <c r="F870" t="inlineStr">
        <is>
          <t>666</t>
        </is>
      </c>
    </row>
    <row r="871">
      <c r="A871" t="inlineStr">
        <is>
          <t>VIZCARRA BEDOYA CARLOS ENRIQUE.pdf</t>
        </is>
      </c>
      <c r="B871">
        <f>HYPERLINK("C:\Users\lmonroy\Tema\ENERO\BAJAS\OTROS PROYECTOS\VIZCARRA BEDOYA CARLOS ENRIQUE.pdf", "Link")</f>
        <v/>
      </c>
      <c r="C871" t="n">
        <v>27184</v>
      </c>
      <c r="D871" t="inlineStr">
        <is>
          <t>2024-01-29 10:00:14</t>
        </is>
      </c>
      <c r="E871" t="inlineStr">
        <is>
          <t>2024-01-30 11:09:09</t>
        </is>
      </c>
      <c r="F871" t="inlineStr">
        <is>
          <t>666</t>
        </is>
      </c>
    </row>
    <row r="872">
      <c r="A872" t="inlineStr">
        <is>
          <t>ZAVALETA MATOS ALEJANDRO ELEODORO.pdf</t>
        </is>
      </c>
      <c r="B872">
        <f>HYPERLINK("C:\Users\lmonroy\Tema\ENERO\BAJAS\OTROS PROYECTOS\ZAVALETA MATOS ALEJANDRO ELEODORO.pdf", "Link")</f>
        <v/>
      </c>
      <c r="C872" t="n">
        <v>27183</v>
      </c>
      <c r="D872" t="inlineStr">
        <is>
          <t>2024-01-29 10:05:11</t>
        </is>
      </c>
      <c r="E872" t="inlineStr">
        <is>
          <t>2024-01-30 11:09:09</t>
        </is>
      </c>
      <c r="F872" t="inlineStr">
        <is>
          <t>666</t>
        </is>
      </c>
    </row>
    <row r="873">
      <c r="A873" t="inlineStr">
        <is>
          <t>CARO SORIA, JIMMY AMERICO.pdf</t>
        </is>
      </c>
      <c r="B873">
        <f>HYPERLINK("C:\Users\lmonroy\Tema\ENERO\BAJAS\PROYECTO 62531\CARO SORIA, JIMMY AMERICO.pdf", "Link")</f>
        <v/>
      </c>
      <c r="C873" t="n">
        <v>27176</v>
      </c>
      <c r="D873" t="inlineStr">
        <is>
          <t>2024-01-30 11:37:46</t>
        </is>
      </c>
      <c r="E873" t="inlineStr">
        <is>
          <t>2024-01-30 11:37:45</t>
        </is>
      </c>
      <c r="F873" t="inlineStr">
        <is>
          <t>666</t>
        </is>
      </c>
    </row>
    <row r="874">
      <c r="A874" t="inlineStr">
        <is>
          <t>OCHOA URIBE CELIA.pdf</t>
        </is>
      </c>
      <c r="B874">
        <f>HYPERLINK("C:\Users\lmonroy\Tema\ENERO\BAJAS\PROYECTO 62531\OCHOA URIBE CELIA.pdf", "Link")</f>
        <v/>
      </c>
      <c r="C874" t="n">
        <v>6273</v>
      </c>
      <c r="D874" t="inlineStr">
        <is>
          <t>2024-01-30 11:30:36</t>
        </is>
      </c>
      <c r="E874" t="inlineStr">
        <is>
          <t>2024-01-30 11:30:35</t>
        </is>
      </c>
      <c r="F874" t="inlineStr">
        <is>
          <t>666</t>
        </is>
      </c>
    </row>
    <row r="875">
      <c r="A875" t="inlineStr">
        <is>
          <t>PASMIÑO DEL AGUILA, ALEJANDRO.pdf</t>
        </is>
      </c>
      <c r="B875">
        <f>HYPERLINK("C:\Users\lmonroy\Tema\ENERO\BAJAS\PROYECTO 62531\PASMIÑO DEL AGUILA, ALEJANDRO.pdf", "Link")</f>
        <v/>
      </c>
      <c r="C875" t="n">
        <v>27178</v>
      </c>
      <c r="D875" t="inlineStr">
        <is>
          <t>2024-01-30 11:37:44</t>
        </is>
      </c>
      <c r="E875" t="inlineStr">
        <is>
          <t>2024-01-30 11:37:44</t>
        </is>
      </c>
      <c r="F875" t="inlineStr">
        <is>
          <t>666</t>
        </is>
      </c>
    </row>
    <row r="876">
      <c r="A876" t="inlineStr">
        <is>
          <t>TUANAMA PINCHE, CARLOS LUIS.pdf</t>
        </is>
      </c>
      <c r="B876">
        <f>HYPERLINK("C:\Users\lmonroy\Tema\ENERO\BAJAS\PROYECTO 62531\TUANAMA PINCHE, CARLOS LUIS.pdf", "Link")</f>
        <v/>
      </c>
      <c r="C876" t="n">
        <v>6287</v>
      </c>
      <c r="D876" t="inlineStr">
        <is>
          <t>2024-01-30 11:34:36</t>
        </is>
      </c>
      <c r="E876" t="inlineStr">
        <is>
          <t>2024-01-30 11:34:34</t>
        </is>
      </c>
      <c r="F876" t="inlineStr">
        <is>
          <t>666</t>
        </is>
      </c>
    </row>
    <row r="877">
      <c r="A877" t="inlineStr">
        <is>
          <t>PACHAC-01 (editable).xlsx</t>
        </is>
      </c>
      <c r="B877">
        <f>HYPERLINK("C:\Users\lmonroy\Tema\Formatos Macros\PACHAC-01 (editable).xlsx", "Link")</f>
        <v/>
      </c>
      <c r="C877" t="n">
        <v>155992</v>
      </c>
      <c r="D877" t="inlineStr">
        <is>
          <t>2024-05-02 18:25:26</t>
        </is>
      </c>
      <c r="E877" t="inlineStr">
        <is>
          <t>2024-05-02 18:24:35</t>
        </is>
      </c>
      <c r="F877" t="inlineStr">
        <is>
          <t>666</t>
        </is>
      </c>
    </row>
    <row r="878">
      <c r="A878" t="inlineStr">
        <is>
          <t>PBB-01 (editable) v3.xlsx</t>
        </is>
      </c>
      <c r="B878">
        <f>HYPERLINK("C:\Users\lmonroy\Tema\Formatos Macros\PBB-01 (editable) v3.xlsx", "Link")</f>
        <v/>
      </c>
      <c r="C878" t="n">
        <v>361160</v>
      </c>
      <c r="D878" t="inlineStr">
        <is>
          <t>2024-05-03 14:20:37</t>
        </is>
      </c>
      <c r="E878" t="inlineStr">
        <is>
          <t>2024-05-02 18:24:35</t>
        </is>
      </c>
      <c r="F878" t="inlineStr">
        <is>
          <t>666</t>
        </is>
      </c>
    </row>
    <row r="879">
      <c r="A879" t="inlineStr">
        <is>
          <t>PLAY-01 (Editable).xlsx</t>
        </is>
      </c>
      <c r="B879">
        <f>HYPERLINK("C:\Users\lmonroy\Tema\Formatos Macros\PLAY-01 (Editable).xlsx", "Link")</f>
        <v/>
      </c>
      <c r="C879" t="n">
        <v>168349</v>
      </c>
      <c r="D879" t="inlineStr">
        <is>
          <t>2024-05-02 18:25:26</t>
        </is>
      </c>
      <c r="E879" t="inlineStr">
        <is>
          <t>2024-05-02 18:24:35</t>
        </is>
      </c>
      <c r="F879" t="inlineStr">
        <is>
          <t>666</t>
        </is>
      </c>
    </row>
    <row r="880">
      <c r="A880" t="inlineStr">
        <is>
          <t>PLCR-01 (editable) v2.xlsx</t>
        </is>
      </c>
      <c r="B880">
        <f>HYPERLINK("C:\Users\lmonroy\Tema\Formatos Macros\PLCR-01 (editable) v2.xlsx", "Link")</f>
        <v/>
      </c>
      <c r="C880" t="n">
        <v>157513</v>
      </c>
      <c r="D880" t="inlineStr">
        <is>
          <t>2024-05-02 18:25:26</t>
        </is>
      </c>
      <c r="E880" t="inlineStr">
        <is>
          <t>2024-05-02 18:24:36</t>
        </is>
      </c>
      <c r="F880" t="inlineStr">
        <is>
          <t>666</t>
        </is>
      </c>
    </row>
    <row r="881">
      <c r="A881" t="inlineStr">
        <is>
          <t>backend.png</t>
        </is>
      </c>
      <c r="B881">
        <f>HYPERLINK("C:\Users\lmonroy\Tema\Formularios\backend.png", "Link")</f>
        <v/>
      </c>
      <c r="C881" t="n">
        <v>22293</v>
      </c>
      <c r="D881" t="inlineStr">
        <is>
          <t>2024-03-14 17:24:51</t>
        </is>
      </c>
      <c r="E881" t="inlineStr">
        <is>
          <t>2024-03-14 17:24:51</t>
        </is>
      </c>
      <c r="F881" t="inlineStr">
        <is>
          <t>666</t>
        </is>
      </c>
    </row>
    <row r="882">
      <c r="A882" t="inlineStr">
        <is>
          <t>datos-actualizados-en-tiempo-real.png</t>
        </is>
      </c>
      <c r="B882">
        <f>HYPERLINK("C:\Users\lmonroy\Tema\Formularios\datos-actualizados-en-tiempo-real.png", "Link")</f>
        <v/>
      </c>
      <c r="C882" t="n">
        <v>48537</v>
      </c>
      <c r="D882" t="inlineStr">
        <is>
          <t>2024-03-14 17:28:01</t>
        </is>
      </c>
      <c r="E882" t="inlineStr">
        <is>
          <t>2024-03-14 17:28:01</t>
        </is>
      </c>
      <c r="F882" t="inlineStr">
        <is>
          <t>666</t>
        </is>
      </c>
    </row>
    <row r="883">
      <c r="A883" t="inlineStr">
        <is>
          <t>desarrollo-aplicaciones-moviles.jpg</t>
        </is>
      </c>
      <c r="B883">
        <f>HYPERLINK("C:\Users\lmonroy\Tema\Formularios\desarrollo-aplicaciones-moviles.jpg", "Link")</f>
        <v/>
      </c>
      <c r="C883" t="n">
        <v>13527</v>
      </c>
      <c r="D883" t="inlineStr">
        <is>
          <t>2024-03-14 17:57:01</t>
        </is>
      </c>
      <c r="E883" t="inlineStr">
        <is>
          <t>2024-03-14 17:57:00</t>
        </is>
      </c>
      <c r="F883" t="inlineStr">
        <is>
          <t>666</t>
        </is>
      </c>
    </row>
    <row r="884">
      <c r="A884" t="inlineStr">
        <is>
          <t>desarrollo-front-end.png</t>
        </is>
      </c>
      <c r="B884">
        <f>HYPERLINK("C:\Users\lmonroy\Tema\Formularios\desarrollo-front-end.png", "Link")</f>
        <v/>
      </c>
      <c r="C884" t="n">
        <v>353758</v>
      </c>
      <c r="D884" t="inlineStr">
        <is>
          <t>2024-03-14 17:20:32</t>
        </is>
      </c>
      <c r="E884" t="inlineStr">
        <is>
          <t>2024-03-14 17:20:32</t>
        </is>
      </c>
      <c r="F884" t="inlineStr">
        <is>
          <t>666</t>
        </is>
      </c>
    </row>
    <row r="885">
      <c r="A885" t="inlineStr">
        <is>
          <t>dominio.jpg</t>
        </is>
      </c>
      <c r="B885">
        <f>HYPERLINK("C:\Users\lmonroy\Tema\Formularios\dominio.jpg", "Link")</f>
        <v/>
      </c>
      <c r="C885" t="n">
        <v>9962</v>
      </c>
      <c r="D885" t="inlineStr">
        <is>
          <t>2024-03-14 17:44:48</t>
        </is>
      </c>
      <c r="E885" t="inlineStr">
        <is>
          <t>2024-03-14 17:44:47</t>
        </is>
      </c>
      <c r="F885" t="inlineStr">
        <is>
          <t>666</t>
        </is>
      </c>
    </row>
    <row r="886">
      <c r="A886" t="inlineStr">
        <is>
          <t>formulario.png</t>
        </is>
      </c>
      <c r="B886">
        <f>HYPERLINK("C:\Users\lmonroy\Tema\Formularios\formulario.png", "Link")</f>
        <v/>
      </c>
      <c r="C886" t="n">
        <v>11468</v>
      </c>
      <c r="D886" t="inlineStr">
        <is>
          <t>2024-03-26 12:04:47</t>
        </is>
      </c>
      <c r="E886" t="inlineStr">
        <is>
          <t>2024-03-26 12:04:47</t>
        </is>
      </c>
      <c r="F886" t="inlineStr">
        <is>
          <t>666</t>
        </is>
      </c>
    </row>
    <row r="887">
      <c r="A887" t="inlineStr">
        <is>
          <t>freact.png</t>
        </is>
      </c>
      <c r="B887">
        <f>HYPERLINK("C:\Users\lmonroy\Tema\Formularios\freact.png", "Link")</f>
        <v/>
      </c>
      <c r="C887" t="n">
        <v>4578</v>
      </c>
      <c r="D887" t="inlineStr">
        <is>
          <t>2024-03-14 17:23:01</t>
        </is>
      </c>
      <c r="E887" t="inlineStr">
        <is>
          <t>2024-03-14 17:23:01</t>
        </is>
      </c>
      <c r="F887" t="inlineStr">
        <is>
          <t>666</t>
        </is>
      </c>
    </row>
    <row r="888">
      <c r="A888" t="inlineStr">
        <is>
          <t>hosting.jpg</t>
        </is>
      </c>
      <c r="B888">
        <f>HYPERLINK("C:\Users\lmonroy\Tema\Formularios\hosting.jpg", "Link")</f>
        <v/>
      </c>
      <c r="C888" t="n">
        <v>8465</v>
      </c>
      <c r="D888" t="inlineStr">
        <is>
          <t>2024-03-14 17:43:27</t>
        </is>
      </c>
      <c r="E888" t="inlineStr">
        <is>
          <t>2024-03-14 17:43:26</t>
        </is>
      </c>
      <c r="F888" t="inlineStr">
        <is>
          <t>666</t>
        </is>
      </c>
    </row>
    <row r="889">
      <c r="A889" t="inlineStr">
        <is>
          <t>mysql.png</t>
        </is>
      </c>
      <c r="B889">
        <f>HYPERLINK("C:\Users\lmonroy\Tema\Formularios\mysql.png", "Link")</f>
        <v/>
      </c>
      <c r="C889" t="n">
        <v>4777</v>
      </c>
      <c r="D889" t="inlineStr">
        <is>
          <t>2024-03-14 17:29:04</t>
        </is>
      </c>
      <c r="E889" t="inlineStr">
        <is>
          <t>2024-03-14 17:29:04</t>
        </is>
      </c>
      <c r="F889" t="inlineStr">
        <is>
          <t>666</t>
        </is>
      </c>
    </row>
    <row r="890">
      <c r="A890" t="inlineStr">
        <is>
          <t>seguridad.gif</t>
        </is>
      </c>
      <c r="B890">
        <f>HYPERLINK("C:\Users\lmonroy\Tema\Formularios\seguridad.gif", "Link")</f>
        <v/>
      </c>
      <c r="C890" t="n">
        <v>1860979</v>
      </c>
      <c r="D890" t="inlineStr">
        <is>
          <t>2024-03-14 17:29:48</t>
        </is>
      </c>
      <c r="E890" t="inlineStr">
        <is>
          <t>2024-03-14 17:29:47</t>
        </is>
      </c>
      <c r="F890" t="inlineStr">
        <is>
          <t>666</t>
        </is>
      </c>
    </row>
    <row r="891">
      <c r="A891" t="inlineStr">
        <is>
          <t>ssl.png</t>
        </is>
      </c>
      <c r="B891">
        <f>HYPERLINK("C:\Users\lmonroy\Tema\Formularios\ssl.png", "Link")</f>
        <v/>
      </c>
      <c r="C891" t="n">
        <v>6093</v>
      </c>
      <c r="D891" t="inlineStr">
        <is>
          <t>2024-03-14 17:45:47</t>
        </is>
      </c>
      <c r="E891" t="inlineStr">
        <is>
          <t>2024-03-14 17:45:42</t>
        </is>
      </c>
      <c r="F891" t="inlineStr">
        <is>
          <t>666</t>
        </is>
      </c>
    </row>
    <row r="892">
      <c r="A892" t="inlineStr">
        <is>
          <t>tls.webp</t>
        </is>
      </c>
      <c r="B892">
        <f>HYPERLINK("C:\Users\lmonroy\Tema\Formularios\tls.webp", "Link")</f>
        <v/>
      </c>
      <c r="C892" t="n">
        <v>21722</v>
      </c>
      <c r="D892" t="inlineStr">
        <is>
          <t>2024-03-14 17:32:00</t>
        </is>
      </c>
      <c r="E892" t="inlineStr">
        <is>
          <t>2024-03-14 17:31:59</t>
        </is>
      </c>
      <c r="F892" t="inlineStr">
        <is>
          <t>666</t>
        </is>
      </c>
    </row>
    <row r="893">
      <c r="A893" t="inlineStr">
        <is>
          <t>waf.png</t>
        </is>
      </c>
      <c r="B893">
        <f>HYPERLINK("C:\Users\lmonroy\Tema\Formularios\waf.png", "Link")</f>
        <v/>
      </c>
      <c r="C893" t="n">
        <v>2921</v>
      </c>
      <c r="D893" t="inlineStr">
        <is>
          <t>2024-03-14 17:31:25</t>
        </is>
      </c>
      <c r="E893" t="inlineStr">
        <is>
          <t>2024-03-14 17:31:25</t>
        </is>
      </c>
      <c r="F893" t="inlineStr">
        <is>
          <t>666</t>
        </is>
      </c>
    </row>
    <row r="894">
      <c r="A894" t="inlineStr">
        <is>
          <t>what-is-a-back-end-developer-node.avif</t>
        </is>
      </c>
      <c r="B894">
        <f>HYPERLINK("C:\Users\lmonroy\Tema\Formularios\what-is-a-back-end-developer-node.avif", "Link")</f>
        <v/>
      </c>
      <c r="C894" t="n">
        <v>18664</v>
      </c>
      <c r="D894" t="inlineStr">
        <is>
          <t>2024-03-14 17:23:54</t>
        </is>
      </c>
      <c r="E894" t="inlineStr">
        <is>
          <t>2024-03-14 17:23:54</t>
        </is>
      </c>
      <c r="F894" t="inlineStr">
        <is>
          <t>666</t>
        </is>
      </c>
    </row>
    <row r="895">
      <c r="A895" t="inlineStr">
        <is>
          <t>formulario 1 - Trabajador.pdf</t>
        </is>
      </c>
      <c r="B895">
        <f>HYPERLINK("C:\Users\lmonroy\Tema\Formularios\docs\formulario 1 - Trabajador.pdf", "Link")</f>
        <v/>
      </c>
      <c r="C895" t="n">
        <v>205397</v>
      </c>
      <c r="D895" t="inlineStr">
        <is>
          <t>2024-04-01 23:47:52</t>
        </is>
      </c>
      <c r="E895" t="inlineStr">
        <is>
          <t>2024-04-01 23:47:51</t>
        </is>
      </c>
      <c r="F895" t="inlineStr">
        <is>
          <t>666</t>
        </is>
      </c>
    </row>
    <row r="896">
      <c r="A896" t="inlineStr">
        <is>
          <t>formulario 2 - RRHH.pdf</t>
        </is>
      </c>
      <c r="B896">
        <f>HYPERLINK("C:\Users\lmonroy\Tema\Formularios\docs\formulario 2 - RRHH.pdf", "Link")</f>
        <v/>
      </c>
      <c r="C896" t="n">
        <v>73674</v>
      </c>
      <c r="D896" t="inlineStr">
        <is>
          <t>2024-04-01 23:47:34</t>
        </is>
      </c>
      <c r="E896" t="inlineStr">
        <is>
          <t>2024-04-01 23:47:32</t>
        </is>
      </c>
      <c r="F896" t="inlineStr">
        <is>
          <t>666</t>
        </is>
      </c>
    </row>
    <row r="897">
      <c r="A897" t="inlineStr">
        <is>
          <t>Formulario Principal.xlsm</t>
        </is>
      </c>
      <c r="B897">
        <f>HYPERLINK("C:\Users\lmonroy\Tema\Formularios\docs\Formulario Principal.xlsm", "Link")</f>
        <v/>
      </c>
      <c r="C897" t="n">
        <v>31890</v>
      </c>
      <c r="D897" t="inlineStr">
        <is>
          <t>2024-03-26 10:09:15</t>
        </is>
      </c>
      <c r="E897" t="inlineStr">
        <is>
          <t>2024-03-26 10:09:14</t>
        </is>
      </c>
      <c r="F897" t="inlineStr">
        <is>
          <t>666</t>
        </is>
      </c>
    </row>
    <row r="898">
      <c r="A898" t="inlineStr">
        <is>
          <t>Formulario Seguro.pdf</t>
        </is>
      </c>
      <c r="B898">
        <f>HYPERLINK("C:\Users\lmonroy\Tema\Formularios\docs\Formulario Seguro.pdf", "Link")</f>
        <v/>
      </c>
      <c r="C898" t="n">
        <v>533646</v>
      </c>
      <c r="D898" t="inlineStr">
        <is>
          <t>2024-03-14 18:22:32</t>
        </is>
      </c>
      <c r="E898" t="inlineStr">
        <is>
          <t>2024-03-14 18:00:14</t>
        </is>
      </c>
      <c r="F898" t="inlineStr">
        <is>
          <t>666</t>
        </is>
      </c>
    </row>
    <row r="899">
      <c r="A899" t="inlineStr">
        <is>
          <t>NACIONALIDAD.xlsx</t>
        </is>
      </c>
      <c r="B899">
        <f>HYPERLINK("C:\Users\lmonroy\Tema\Formularios\tablas\NACIONALIDAD.xlsx", "Link")</f>
        <v/>
      </c>
      <c r="C899" t="n">
        <v>19334</v>
      </c>
      <c r="D899" t="inlineStr">
        <is>
          <t>2024-03-30 18:46:00</t>
        </is>
      </c>
      <c r="E899" t="inlineStr">
        <is>
          <t>2024-03-30 18:45:59</t>
        </is>
      </c>
      <c r="F899" t="inlineStr">
        <is>
          <t>666</t>
        </is>
      </c>
    </row>
    <row r="900">
      <c r="A900" t="inlineStr">
        <is>
          <t>OTRAS_TABLAS.xlsx</t>
        </is>
      </c>
      <c r="B900">
        <f>HYPERLINK("C:\Users\lmonroy\Tema\Formularios\tablas\OTRAS_TABLAS.xlsx", "Link")</f>
        <v/>
      </c>
      <c r="C900" t="n">
        <v>358922</v>
      </c>
      <c r="D900" t="inlineStr">
        <is>
          <t>2024-05-08 11:19:09</t>
        </is>
      </c>
      <c r="E900" t="inlineStr">
        <is>
          <t>2024-03-30 17:38:43</t>
        </is>
      </c>
      <c r="F900" t="inlineStr">
        <is>
          <t>666</t>
        </is>
      </c>
    </row>
    <row r="901">
      <c r="A901" t="inlineStr">
        <is>
          <t>PAISES.xlsx</t>
        </is>
      </c>
      <c r="B901">
        <f>HYPERLINK("C:\Users\lmonroy\Tema\Formularios\tablas\PAISES.xlsx", "Link")</f>
        <v/>
      </c>
      <c r="C901" t="n">
        <v>21741</v>
      </c>
      <c r="D901" t="inlineStr">
        <is>
          <t>2024-03-30 18:33:33</t>
        </is>
      </c>
      <c r="E901" t="inlineStr">
        <is>
          <t>2024-03-30 18:33:33</t>
        </is>
      </c>
      <c r="F901" t="inlineStr">
        <is>
          <t>666</t>
        </is>
      </c>
    </row>
    <row r="902">
      <c r="A902" t="inlineStr">
        <is>
          <t>TABLA MAESTRA.xlsx</t>
        </is>
      </c>
      <c r="B902">
        <f>HYPERLINK("C:\Users\lmonroy\Tema\Formularios\tablas\TABLA MAESTRA.xlsx", "Link")</f>
        <v/>
      </c>
      <c r="C902" t="n">
        <v>459885</v>
      </c>
      <c r="D902" t="inlineStr">
        <is>
          <t>2024-03-30 18:33:12</t>
        </is>
      </c>
      <c r="E902" t="inlineStr">
        <is>
          <t>2024-03-30 16:49:06</t>
        </is>
      </c>
      <c r="F902" t="inlineStr">
        <is>
          <t>666</t>
        </is>
      </c>
    </row>
    <row r="903">
      <c r="A903" t="inlineStr">
        <is>
          <t>CRONOGRAMA APP HABILITACIONES.xlsx</t>
        </is>
      </c>
      <c r="B903">
        <f>HYPERLINK("C:\Users\lmonroy\Tema\Habilitaciones\CRONOGRAMA APP HABILITACIONES.xlsx", "Link")</f>
        <v/>
      </c>
      <c r="C903" t="n">
        <v>23880</v>
      </c>
      <c r="D903" t="inlineStr">
        <is>
          <t>2024-04-17 16:14:12</t>
        </is>
      </c>
      <c r="E903" t="inlineStr">
        <is>
          <t>2024-04-17 16:14:12</t>
        </is>
      </c>
      <c r="F903" t="inlineStr">
        <is>
          <t>666</t>
        </is>
      </c>
    </row>
    <row r="904">
      <c r="A904" t="inlineStr">
        <is>
          <t>Seguimiento de Habilitaciones - Catalina Huanca.xlsx</t>
        </is>
      </c>
      <c r="B904">
        <f>HYPERLINK("C:\Users\lmonroy\Tema\Habilitaciones\Seguimiento de Habilitaciones - Catalina Huanca.xlsx", "Link")</f>
        <v/>
      </c>
      <c r="C904" t="n">
        <v>16542</v>
      </c>
      <c r="D904" t="inlineStr">
        <is>
          <t>2024-03-14 12:08:19</t>
        </is>
      </c>
      <c r="E904" t="inlineStr">
        <is>
          <t>2024-03-14 12:06:23</t>
        </is>
      </c>
      <c r="F904" t="inlineStr">
        <is>
          <t>666</t>
        </is>
      </c>
    </row>
    <row r="905">
      <c r="A905" t="inlineStr">
        <is>
          <t>Seguimiento de Habilitaciones - RELAPASA.xlsx</t>
        </is>
      </c>
      <c r="B905">
        <f>HYPERLINK("C:\Users\lmonroy\Tema\Habilitaciones\Seguimiento de Habilitaciones - RELAPASA.xlsx", "Link")</f>
        <v/>
      </c>
      <c r="C905" t="n">
        <v>37968</v>
      </c>
      <c r="D905" t="inlineStr">
        <is>
          <t>2024-03-14 12:08:19</t>
        </is>
      </c>
      <c r="E905" t="inlineStr">
        <is>
          <t>2024-03-14 12:05:48</t>
        </is>
      </c>
      <c r="F905" t="inlineStr">
        <is>
          <t>666</t>
        </is>
      </c>
    </row>
    <row r="906">
      <c r="A906" t="inlineStr">
        <is>
          <t>Seguimiento Habilitaciones - RECOSAC.xlsx</t>
        </is>
      </c>
      <c r="B906">
        <f>HYPERLINK("C:\Users\lmonroy\Tema\Habilitaciones\Seguimiento Habilitaciones - RECOSAC.xlsx", "Link")</f>
        <v/>
      </c>
      <c r="C906" t="n">
        <v>58124</v>
      </c>
      <c r="D906" t="inlineStr">
        <is>
          <t>2024-03-14 12:08:19</t>
        </is>
      </c>
      <c r="E906" t="inlineStr">
        <is>
          <t>2024-03-14 12:06:01</t>
        </is>
      </c>
      <c r="F906" t="inlineStr">
        <is>
          <t>666</t>
        </is>
      </c>
    </row>
    <row r="907">
      <c r="A907" t="inlineStr">
        <is>
          <t>Constancia de Jubilación AFP Robert Puertas.pdf</t>
        </is>
      </c>
      <c r="B907">
        <f>HYPERLINK("C:\Users\lmonroy\Tema\JUBILACION\Constancia de Jubilación AFP Robert Puertas.pdf", "Link")</f>
        <v/>
      </c>
      <c r="C907" t="n">
        <v>19875</v>
      </c>
      <c r="D907" t="inlineStr">
        <is>
          <t>2023-11-29 15:04:54</t>
        </is>
      </c>
      <c r="E907" t="inlineStr">
        <is>
          <t>2023-11-29 15:04:51</t>
        </is>
      </c>
      <c r="F907" t="inlineStr">
        <is>
          <t>666</t>
        </is>
      </c>
    </row>
    <row r="908">
      <c r="A908" t="inlineStr">
        <is>
          <t>DOC-20231104-WA0009..pdf</t>
        </is>
      </c>
      <c r="B908">
        <f>HYPERLINK("C:\Users\lmonroy\Tema\JUBILACION\DOC-20231104-WA0009..pdf", "Link")</f>
        <v/>
      </c>
      <c r="C908" t="n">
        <v>318405</v>
      </c>
      <c r="D908" t="inlineStr">
        <is>
          <t>2023-11-29 15:06:31</t>
        </is>
      </c>
      <c r="E908" t="inlineStr">
        <is>
          <t>2023-11-29 15:06:29</t>
        </is>
      </c>
      <c r="F908" t="inlineStr">
        <is>
          <t>666</t>
        </is>
      </c>
    </row>
    <row r="909">
      <c r="A909" t="inlineStr">
        <is>
          <t>01052024_MP_HSE.xlsx</t>
        </is>
      </c>
      <c r="B909">
        <f>HYPERLINK("C:\Users\lmonroy\Tema\master plan HSE\01052024_MP_HSE.xlsx", "Link")</f>
        <v/>
      </c>
      <c r="C909" t="n">
        <v>42284</v>
      </c>
      <c r="D909" t="inlineStr">
        <is>
          <t>2024-04-27 22:06:15</t>
        </is>
      </c>
      <c r="E909" t="inlineStr">
        <is>
          <t>2024-04-27 16:36:54</t>
        </is>
      </c>
      <c r="F909" t="inlineStr">
        <is>
          <t>666</t>
        </is>
      </c>
    </row>
    <row r="910">
      <c r="A910" t="inlineStr">
        <is>
          <t>240501_MP_HSE.xlsm</t>
        </is>
      </c>
      <c r="B910">
        <f>HYPERLINK("C:\Users\lmonroy\Tema\master plan HSE\240501_MP_HSE.xlsm", "Link")</f>
        <v/>
      </c>
      <c r="C910" t="n">
        <v>122349</v>
      </c>
      <c r="D910" t="inlineStr">
        <is>
          <t>2024-04-28 22:00:40</t>
        </is>
      </c>
      <c r="E910" t="inlineStr">
        <is>
          <t>2024-04-28 00:41:06</t>
        </is>
      </c>
      <c r="F910" t="inlineStr">
        <is>
          <t>666</t>
        </is>
      </c>
    </row>
    <row r="911">
      <c r="A911" t="inlineStr">
        <is>
          <t>Anexo 3 Máster Plan Pre campo Rev 0.xlsx</t>
        </is>
      </c>
      <c r="B911">
        <f>HYPERLINK("C:\Users\lmonroy\Tema\master plan HSE\Anexo 3 Máster Plan Pre campo Rev 0.xlsx", "Link")</f>
        <v/>
      </c>
      <c r="C911" t="n">
        <v>57576</v>
      </c>
      <c r="D911" t="inlineStr">
        <is>
          <t>2024-04-27 14:42:18</t>
        </is>
      </c>
      <c r="E911" t="inlineStr">
        <is>
          <t>2024-04-27 14:42:18</t>
        </is>
      </c>
      <c r="F911" t="inlineStr">
        <is>
          <t>666</t>
        </is>
      </c>
    </row>
    <row r="912">
      <c r="A912" t="inlineStr">
        <is>
          <t>MASTER PLAN.xlsx</t>
        </is>
      </c>
      <c r="B912">
        <f>HYPERLINK("C:\Users\lmonroy\Tema\master plan HSE\MASTER PLAN.xlsx", "Link")</f>
        <v/>
      </c>
      <c r="C912" t="n">
        <v>26358</v>
      </c>
      <c r="D912" t="inlineStr">
        <is>
          <t>2024-04-27 14:50:58</t>
        </is>
      </c>
      <c r="E912" t="inlineStr">
        <is>
          <t>2024-04-27 14:50:57</t>
        </is>
      </c>
      <c r="F912" t="inlineStr">
        <is>
          <t>666</t>
        </is>
      </c>
    </row>
    <row r="913">
      <c r="A913" t="inlineStr">
        <is>
          <t>BD TEMA.xlsx</t>
        </is>
      </c>
      <c r="B913">
        <f>HYPERLINK("C:\Users\lmonroy\Tema\MasterDB\BD TEMA.xlsx", "Link")</f>
        <v/>
      </c>
      <c r="C913" t="n">
        <v>22140</v>
      </c>
      <c r="D913" t="inlineStr">
        <is>
          <t>2024-04-04 17:06:41</t>
        </is>
      </c>
      <c r="E913" t="inlineStr">
        <is>
          <t>2024-04-04 11:21:46</t>
        </is>
      </c>
      <c r="F913" t="inlineStr">
        <is>
          <t>666</t>
        </is>
      </c>
    </row>
    <row r="914">
      <c r="A914" t="inlineStr">
        <is>
          <t>MASTER DATA BASE.xlsm</t>
        </is>
      </c>
      <c r="B914">
        <f>HYPERLINK("C:\Users\lmonroy\Tema\MasterDB\MASTER DATA BASE.xlsm", "Link")</f>
        <v/>
      </c>
      <c r="C914" t="n">
        <v>478272</v>
      </c>
      <c r="D914" t="inlineStr">
        <is>
          <t>2024-05-15 14:37:49</t>
        </is>
      </c>
      <c r="E914" t="inlineStr">
        <is>
          <t>2024-04-10 09:15:15</t>
        </is>
      </c>
      <c r="F914" t="inlineStr">
        <is>
          <t>666</t>
        </is>
      </c>
    </row>
    <row r="915">
      <c r="A915" t="inlineStr">
        <is>
          <t>MasterDB.json</t>
        </is>
      </c>
      <c r="B915">
        <f>HYPERLINK("C:\Users\lmonroy\Tema\MasterDB\MasterDB.json", "Link")</f>
        <v/>
      </c>
      <c r="C915" t="n">
        <v>572557</v>
      </c>
      <c r="D915" t="inlineStr">
        <is>
          <t>2024-05-15 14:49:53</t>
        </is>
      </c>
      <c r="E915" t="inlineStr">
        <is>
          <t>2024-05-14 16:00:36</t>
        </is>
      </c>
      <c r="F915" t="inlineStr">
        <is>
          <t>666</t>
        </is>
      </c>
    </row>
    <row r="916">
      <c r="A916" t="inlineStr">
        <is>
          <t>USUARIOS ACTITIME - HOMOLOGADO.xlsm</t>
        </is>
      </c>
      <c r="B916">
        <f>HYPERLINK("C:\Users\lmonroy\Tema\MasterDB\USUARIOS ACTITIME - HOMOLOGADO.xlsm", "Link")</f>
        <v/>
      </c>
      <c r="C916" t="n">
        <v>24391</v>
      </c>
      <c r="D916" t="inlineStr">
        <is>
          <t>2024-04-29 16:03:10</t>
        </is>
      </c>
      <c r="E916" t="inlineStr">
        <is>
          <t>2024-04-29 16:03:10</t>
        </is>
      </c>
      <c r="F916" t="inlineStr">
        <is>
          <t>666</t>
        </is>
      </c>
    </row>
    <row r="917">
      <c r="A917" t="inlineStr">
        <is>
          <t>240429-OK-LM.txt</t>
        </is>
      </c>
      <c r="B917">
        <f>HYPERLINK("C:\Users\lmonroy\Tema\MasterPlan\61795\01. HABILITACION\01. PROFESIONAL\PerAsi\DNI\03855671\01. DNI\240429-OK-LM.txt", "Link")</f>
        <v/>
      </c>
      <c r="C917" t="n">
        <v>0</v>
      </c>
      <c r="D917" t="inlineStr">
        <is>
          <t>2024-04-29 11:57:42</t>
        </is>
      </c>
      <c r="E917" t="inlineStr">
        <is>
          <t>2024-04-29 11:57:42</t>
        </is>
      </c>
      <c r="F917" t="inlineStr">
        <is>
          <t>666</t>
        </is>
      </c>
    </row>
    <row r="918">
      <c r="A918" t="inlineStr">
        <is>
          <t>FLORES PEREZ MARCELO  T0001072.pdf</t>
        </is>
      </c>
      <c r="B918">
        <f>HYPERLINK("C:\Users\lmonroy\Tema\MasterPlan\61795\01. HABILITACION\01. PROFESIONAL\PerAsi\DNI\03855671\01. DNI\FLORES PEREZ MARCELO  T0001072.pdf", "Link")</f>
        <v/>
      </c>
      <c r="C918" t="n">
        <v>166160</v>
      </c>
      <c r="D918" t="inlineStr">
        <is>
          <t>2024-03-27 08:56:32</t>
        </is>
      </c>
      <c r="E918" t="inlineStr">
        <is>
          <t>2024-03-27 08:56:32</t>
        </is>
      </c>
      <c r="F918" t="inlineStr">
        <is>
          <t>666</t>
        </is>
      </c>
    </row>
    <row r="919">
      <c r="A919" t="inlineStr">
        <is>
          <t>Observaciones FORMULARIO.pdf</t>
        </is>
      </c>
      <c r="B919">
        <f>HYPERLINK("C:\Users\lmonroy\Tema\MasterPlan\61795\01. HABILITACION\01. PROFESIONAL\PerAsi\DNI\03855671\02. CvDoc\Observaciones FORMULARIO.pdf", "Link")</f>
        <v/>
      </c>
      <c r="C919" t="n">
        <v>66580</v>
      </c>
      <c r="D919" t="inlineStr">
        <is>
          <t>2024-05-10 08:48:59</t>
        </is>
      </c>
      <c r="E919" t="inlineStr">
        <is>
          <t>2024-05-10 08:48:58</t>
        </is>
      </c>
      <c r="F919" t="inlineStr">
        <is>
          <t>666</t>
        </is>
      </c>
    </row>
    <row r="920">
      <c r="A920" t="inlineStr">
        <is>
          <t>RESÚMENES DE BÚSQUEDA.xlsx</t>
        </is>
      </c>
      <c r="B920">
        <f>HYPERLINK("C:\Users\lmonroy\Tema\MasterPlan\61795\01. HABILITACION\01. PROFESIONAL\PerAsi\DNI\03855671\03. EMO\RESÚMENES DE BÚSQUEDA.xlsx", "Link")</f>
        <v/>
      </c>
      <c r="C920" t="n">
        <v>24278</v>
      </c>
      <c r="D920" t="inlineStr">
        <is>
          <t>2024-04-29 15:18:56</t>
        </is>
      </c>
      <c r="E920" t="inlineStr">
        <is>
          <t>2024-04-29 15:17:16</t>
        </is>
      </c>
      <c r="F920" t="inlineStr">
        <is>
          <t>666</t>
        </is>
      </c>
    </row>
    <row r="921">
      <c r="A921" t="inlineStr">
        <is>
          <t>ERROR GRABACION.docx</t>
        </is>
      </c>
      <c r="B921">
        <f>HYPERLINK("C:\Users\lmonroy\Tema\MasterPlan\61795\01. HABILITACION\01. PROFESIONAL\PerAsi\DNI\03855671\07. AntPenPoliJud\ERROR GRABACION.docx", "Link")</f>
        <v/>
      </c>
      <c r="C921" t="n">
        <v>16270</v>
      </c>
      <c r="D921" t="inlineStr">
        <is>
          <t>2024-05-07 09:34:41</t>
        </is>
      </c>
      <c r="E921" t="inlineStr">
        <is>
          <t>2024-05-07 09:34:40</t>
        </is>
      </c>
      <c r="F921" t="inlineStr">
        <is>
          <t>666</t>
        </is>
      </c>
    </row>
    <row r="922">
      <c r="A922" t="inlineStr">
        <is>
          <t>RP_20521268191.per</t>
        </is>
      </c>
      <c r="B922">
        <f>HYPERLINK("C:\Users\lmonroy\Tema\MasterPlan\62372\01. HABILITACION\01. PROFESIONAL\PerAsi\DNI\03855671\01. DNI\RP_20521268191.per", "Link")</f>
        <v/>
      </c>
      <c r="C922" t="n">
        <v>369</v>
      </c>
      <c r="D922" t="inlineStr">
        <is>
          <t>2024-04-26 12:21:18</t>
        </is>
      </c>
      <c r="E922" t="inlineStr">
        <is>
          <t>2024-04-28 15:45:20</t>
        </is>
      </c>
      <c r="F922" t="inlineStr">
        <is>
          <t>666</t>
        </is>
      </c>
    </row>
    <row r="923">
      <c r="A923" t="inlineStr">
        <is>
          <t>RP_20521268191.per</t>
        </is>
      </c>
      <c r="B923">
        <f>HYPERLINK("C:\Users\lmonroy\Tema\MasterPlan\62372\01. HABILITACION\01. PROFESIONAL\PerAsi\DNI\03855671\02. CvDoc\RP_20521268191.per", "Link")</f>
        <v/>
      </c>
      <c r="C923" t="n">
        <v>369</v>
      </c>
      <c r="D923" t="inlineStr">
        <is>
          <t>2024-04-26 12:21:18</t>
        </is>
      </c>
      <c r="E923" t="inlineStr">
        <is>
          <t>2024-04-28 15:45:23</t>
        </is>
      </c>
      <c r="F923" t="inlineStr">
        <is>
          <t>666</t>
        </is>
      </c>
    </row>
    <row r="924">
      <c r="A924" t="inlineStr">
        <is>
          <t>RP_20521268191.per</t>
        </is>
      </c>
      <c r="B924">
        <f>HYPERLINK("C:\Users\lmonroy\Tema\MasterPlan\62372\01. HABILITACION\01. PROFESIONAL\PerAsi\DNI\03855671\03. EMO\RP_20521268191.per", "Link")</f>
        <v/>
      </c>
      <c r="C924" t="n">
        <v>369</v>
      </c>
      <c r="D924" t="inlineStr">
        <is>
          <t>2024-04-26 12:21:18</t>
        </is>
      </c>
      <c r="E924" t="inlineStr">
        <is>
          <t>2024-04-28 15:45:26</t>
        </is>
      </c>
      <c r="F924" t="inlineStr">
        <is>
          <t>666</t>
        </is>
      </c>
    </row>
    <row r="925">
      <c r="A925" t="inlineStr">
        <is>
          <t>RP_20521268191.per</t>
        </is>
      </c>
      <c r="B925">
        <f>HYPERLINK("C:\Users\lmonroy\Tema\MasterPlan\62372\01. HABILITACION\01. PROFESIONAL\PerAsi\DNI\03855671\04. Contrato\RP_20521268191.per", "Link")</f>
        <v/>
      </c>
      <c r="C925" t="n">
        <v>369</v>
      </c>
      <c r="D925" t="inlineStr">
        <is>
          <t>2024-04-26 12:21:18</t>
        </is>
      </c>
      <c r="E925" t="inlineStr">
        <is>
          <t>2024-04-28 15:45:29</t>
        </is>
      </c>
      <c r="F925" t="inlineStr">
        <is>
          <t>666</t>
        </is>
      </c>
    </row>
    <row r="926">
      <c r="A926" t="inlineStr">
        <is>
          <t>BARDALES PEREZ RISTER AROYO T0001041.pdf</t>
        </is>
      </c>
      <c r="B926">
        <f>HYPERLINK("C:\Users\lmonroy\Tema\MasterPlan\62372\01. HABILITACION\01. PROFESIONAL\PerAsi\DNI\03855671\05. SCTR\BARDALES PEREZ RISTER AROYO T0001041.pdf", "Link")</f>
        <v/>
      </c>
      <c r="C926" t="n">
        <v>166153</v>
      </c>
      <c r="D926" t="inlineStr">
        <is>
          <t>2024-03-27 08:57:11</t>
        </is>
      </c>
      <c r="E926" t="inlineStr">
        <is>
          <t>2024-03-27 08:57:11</t>
        </is>
      </c>
      <c r="F926" t="inlineStr">
        <is>
          <t>666</t>
        </is>
      </c>
    </row>
    <row r="927">
      <c r="A927" t="inlineStr">
        <is>
          <t>BARDALES QUISTO JOSE VISALOTE T0001042.pdf</t>
        </is>
      </c>
      <c r="B927">
        <f>HYPERLINK("C:\Users\lmonroy\Tema\MasterPlan\62372\01. HABILITACION\01. PROFESIONAL\PerAsi\DNI\03855671\06. SeguroVL\BARDALES QUISTO JOSE VISALOTE T0001042.pdf", "Link")</f>
        <v/>
      </c>
      <c r="C927" t="n">
        <v>166351</v>
      </c>
      <c r="D927" t="inlineStr">
        <is>
          <t>2024-03-27 08:56:33</t>
        </is>
      </c>
      <c r="E927" t="inlineStr">
        <is>
          <t>2024-03-27 08:56:33</t>
        </is>
      </c>
      <c r="F927" t="inlineStr">
        <is>
          <t>666</t>
        </is>
      </c>
    </row>
    <row r="928">
      <c r="A928" t="inlineStr">
        <is>
          <t>MONTES SANDI ANTONI STEVEN T0001187.pdf</t>
        </is>
      </c>
      <c r="B928">
        <f>HYPERLINK("C:\Users\lmonroy\Tema\MasterPlan\62372\01. HABILITACION\01. PROFESIONAL\PerAsi\DNI\03855671\07. AntPenPoliJud\MONTES SANDI ANTONI STEVEN T0001187.pdf", "Link")</f>
        <v/>
      </c>
      <c r="C928" t="n">
        <v>166168</v>
      </c>
      <c r="D928" t="inlineStr">
        <is>
          <t>2024-03-27 08:56:47</t>
        </is>
      </c>
      <c r="E928" t="inlineStr">
        <is>
          <t>2024-03-27 08:56:47</t>
        </is>
      </c>
      <c r="F928" t="inlineStr">
        <is>
          <t>666</t>
        </is>
      </c>
    </row>
    <row r="929">
      <c r="A929" t="inlineStr">
        <is>
          <t>TUANAMA IRARICA HERMOGENES CURTI T0001313.pdf</t>
        </is>
      </c>
      <c r="B929">
        <f>HYPERLINK("C:\Users\lmonroy\Tema\MasterPlan\62372\01. HABILITACION\01. PROFESIONAL\PerAsi\DNI\03855671\08. CarVacCOVID\TUANAMA IRARICA HERMOGENES CURTI T0001313.pdf", "Link")</f>
        <v/>
      </c>
      <c r="C929" t="n">
        <v>166173</v>
      </c>
      <c r="D929" t="inlineStr">
        <is>
          <t>2024-03-27 08:56:52</t>
        </is>
      </c>
      <c r="E929" t="inlineStr">
        <is>
          <t>2024-03-27 08:56:52</t>
        </is>
      </c>
      <c r="F929" t="inlineStr">
        <is>
          <t>666</t>
        </is>
      </c>
    </row>
    <row r="930">
      <c r="A930" t="inlineStr">
        <is>
          <t>MACAYO YAICATE ABRAHAN  T0001153.pdf</t>
        </is>
      </c>
      <c r="B930">
        <f>HYPERLINK("C:\Users\lmonroy\Tema\MasterPlan\62372\01. HABILITACION\01. PROFESIONAL\PerAsi\DNI\03855671\09. CarVac\MACAYO YAICATE ABRAHAN  T0001153.pdf", "Link")</f>
        <v/>
      </c>
      <c r="C930" t="n">
        <v>166341</v>
      </c>
      <c r="D930" t="inlineStr">
        <is>
          <t>2024-03-27 08:56:28</t>
        </is>
      </c>
      <c r="E930" t="inlineStr">
        <is>
          <t>2024-03-27 08:56:27</t>
        </is>
      </c>
      <c r="F930" t="inlineStr">
        <is>
          <t>666</t>
        </is>
      </c>
    </row>
    <row r="931">
      <c r="A931" t="inlineStr">
        <is>
          <t>RUIZ MACUSI JOSE  T0001286.pdf</t>
        </is>
      </c>
      <c r="B931">
        <f>HYPERLINK("C:\Users\lmonroy\Tema\MasterPlan\62372\01. HABILITACION\01. PROFESIONAL\PerAsi\DNI\03855671\10. IndHSE\RUIZ MACUSI JOSE  T0001286.pdf", "Link")</f>
        <v/>
      </c>
      <c r="C931" t="n">
        <v>166156</v>
      </c>
      <c r="D931" t="inlineStr">
        <is>
          <t>2024-03-27 08:57:06</t>
        </is>
      </c>
      <c r="E931" t="inlineStr">
        <is>
          <t>2024-03-27 08:57:06</t>
        </is>
      </c>
      <c r="F931" t="inlineStr">
        <is>
          <t>666</t>
        </is>
      </c>
    </row>
    <row r="932">
      <c r="A932" t="inlineStr">
        <is>
          <t>IRARICA IRARICA WILLY  T0001112.pdf</t>
        </is>
      </c>
      <c r="B932">
        <f>HYPERLINK("C:\Users\lmonroy\Tema\MasterPlan\62372\01. HABILITACION\01. PROFESIONAL\PerAsi\DNI\03855671\11. CapEspHSE\IRARICA IRARICA WILLY  T0001112.pdf", "Link")</f>
        <v/>
      </c>
      <c r="C932" t="n">
        <v>166354</v>
      </c>
      <c r="D932" t="inlineStr">
        <is>
          <t>2024-03-27 08:56:55</t>
        </is>
      </c>
      <c r="E932" t="inlineStr">
        <is>
          <t>2024-03-27 08:56:55</t>
        </is>
      </c>
      <c r="F932" t="inlineStr">
        <is>
          <t>666</t>
        </is>
      </c>
    </row>
    <row r="933">
      <c r="A933" t="inlineStr">
        <is>
          <t>RP_20521268191.per</t>
        </is>
      </c>
      <c r="B933">
        <f>HYPERLINK("C:\Users\lmonroy\Tema\MasterPlan\62372\01. HABILITACION\01. PROFESIONAL\PerAsi\DNI\29730232\01. DNI\RP_20521268191.per", "Link")</f>
        <v/>
      </c>
      <c r="C933" t="n">
        <v>369</v>
      </c>
      <c r="D933" t="inlineStr">
        <is>
          <t>2024-04-26 12:21:18</t>
        </is>
      </c>
      <c r="E933" t="inlineStr">
        <is>
          <t>2024-04-28 15:45:36</t>
        </is>
      </c>
      <c r="F933" t="inlineStr">
        <is>
          <t>666</t>
        </is>
      </c>
    </row>
    <row r="934">
      <c r="A934" t="inlineStr">
        <is>
          <t>240429-ok-LM.txt</t>
        </is>
      </c>
      <c r="B934">
        <f>HYPERLINK("C:\Users\lmonroy\Tema\MasterPlan\62372\01. HABILITACION\01. PROFESIONAL\PerAsi\DNI\29730232\04. Contrato\240429-ok-LM.txt", "Link")</f>
        <v/>
      </c>
      <c r="C934" t="n">
        <v>0</v>
      </c>
      <c r="D934" t="inlineStr">
        <is>
          <t>2024-04-29 11:02:20</t>
        </is>
      </c>
      <c r="E934" t="inlineStr">
        <is>
          <t>2024-04-29 11:02:20</t>
        </is>
      </c>
      <c r="F934" t="inlineStr">
        <is>
          <t>666</t>
        </is>
      </c>
    </row>
    <row r="935">
      <c r="A935" t="inlineStr">
        <is>
          <t>RP_20521268191.per</t>
        </is>
      </c>
      <c r="B935">
        <f>HYPERLINK("C:\Users\lmonroy\Tema\MasterPlan\62372\01. HABILITACION\01. PROFESIONAL\PerAsi\DNI\29730232\04. Contrato\RP_20521268191.per", "Link")</f>
        <v/>
      </c>
      <c r="C935" t="n">
        <v>369</v>
      </c>
      <c r="D935" t="inlineStr">
        <is>
          <t>2024-04-26 12:21:18</t>
        </is>
      </c>
      <c r="E935" t="inlineStr">
        <is>
          <t>2024-04-28 15:45:40</t>
        </is>
      </c>
      <c r="F935" t="inlineStr">
        <is>
          <t>666</t>
        </is>
      </c>
    </row>
    <row r="936">
      <c r="A936" t="inlineStr">
        <is>
          <t>CHARPENTIER ZAIRO JORGE T0001373.pdf</t>
        </is>
      </c>
      <c r="B936">
        <f>HYPERLINK("C:\Users\lmonroy\Tema\MasterPlan\62372\01. HABILITACION\01. PROFESIONAL\PerAsi\DNI\29730232\06. SeguroVL\CHARPENTIER ZAIRO JORGE T0001373.pdf", "Link")</f>
        <v/>
      </c>
      <c r="C936" t="n">
        <v>166322</v>
      </c>
      <c r="D936" t="inlineStr">
        <is>
          <t>2024-03-27 08:56:40</t>
        </is>
      </c>
      <c r="E936" t="inlineStr">
        <is>
          <t>2024-03-27 08:56:40</t>
        </is>
      </c>
      <c r="F936" t="inlineStr">
        <is>
          <t>666</t>
        </is>
      </c>
    </row>
    <row r="937">
      <c r="A937" t="inlineStr">
        <is>
          <t>RP_20521268191.per</t>
        </is>
      </c>
      <c r="B937">
        <f>HYPERLINK("C:\Users\lmonroy\Tema\MasterPlan\62372\01. HABILITACION\01. PROFESIONAL\PerAsi\DNI\29730232\09. CarVac\RP_20521268191.per", "Link")</f>
        <v/>
      </c>
      <c r="C937" t="n">
        <v>369</v>
      </c>
      <c r="D937" t="inlineStr">
        <is>
          <t>2024-04-26 12:21:18</t>
        </is>
      </c>
      <c r="E937" t="inlineStr">
        <is>
          <t>2024-04-28 15:45:43</t>
        </is>
      </c>
      <c r="F937" t="inlineStr">
        <is>
          <t>666</t>
        </is>
      </c>
    </row>
    <row r="938">
      <c r="A938" t="inlineStr">
        <is>
          <t>JABA TORRES NIXON  T0001124.pdf</t>
        </is>
      </c>
      <c r="B938">
        <f>HYPERLINK("C:\Users\lmonroy\Tema\MasterPlan\62372\01. HABILITACION\01. PROFESIONAL\PerAsi\DNI\44410214\05. SCTR\JABA TORRES NIXON  T0001124.pdf", "Link")</f>
        <v/>
      </c>
      <c r="C938" t="n">
        <v>166164</v>
      </c>
      <c r="D938" t="inlineStr">
        <is>
          <t>2024-03-27 08:56:36</t>
        </is>
      </c>
      <c r="E938" t="inlineStr">
        <is>
          <t>2024-03-27 08:56:36</t>
        </is>
      </c>
      <c r="F938" t="inlineStr">
        <is>
          <t>666</t>
        </is>
      </c>
    </row>
    <row r="939">
      <c r="A939" t="inlineStr">
        <is>
          <t>RUIZ JOGUISTA HUMBERTO  T0001281.pdf</t>
        </is>
      </c>
      <c r="B939">
        <f>HYPERLINK("C:\Users\lmonroy\Tema\MasterPlan\62372\01. HABILITACION\01. PROFESIONAL\PerAsi\DNI\75772293\11. CapEspHSE\RUIZ JOGUISTA HUMBERTO  T0001281.pdf", "Link")</f>
        <v/>
      </c>
      <c r="C939" t="n">
        <v>166162</v>
      </c>
      <c r="D939" t="inlineStr">
        <is>
          <t>2024-03-27 08:56:35</t>
        </is>
      </c>
      <c r="E939" t="inlineStr">
        <is>
          <t>2024-03-27 08:56:35</t>
        </is>
      </c>
      <c r="F939" t="inlineStr">
        <is>
          <t>666</t>
        </is>
      </c>
    </row>
    <row r="940">
      <c r="A940" t="inlineStr">
        <is>
          <t>Copia de FORMATO IMPORTAR TRABAJADORES CCNN FEB - 2024.xls</t>
        </is>
      </c>
      <c r="B940">
        <f>HYPERLINK("C:\Users\lmonroy\Tema\Migración CONTANET\Copia de FORMATO IMPORTAR TRABAJADORES CCNN FEB - 2024.xls", "Link")</f>
        <v/>
      </c>
      <c r="C940" t="n">
        <v>1385472</v>
      </c>
      <c r="D940" t="inlineStr">
        <is>
          <t>2024-02-20 14:31:48</t>
        </is>
      </c>
      <c r="E940" t="inlineStr">
        <is>
          <t>2024-02-20 14:28:21</t>
        </is>
      </c>
      <c r="F940" t="inlineStr">
        <is>
          <t>666</t>
        </is>
      </c>
    </row>
    <row r="941">
      <c r="A941" t="inlineStr">
        <is>
          <t>FORMATO IMPORTAR TRABAJADORES CCNN - FEB - 2024.xls</t>
        </is>
      </c>
      <c r="B941">
        <f>HYPERLINK("C:\Users\lmonroy\Tema\Migración CONTANET\FORMATO IMPORTAR TRABAJADORES CCNN - FEB - 2024.xls", "Link")</f>
        <v/>
      </c>
      <c r="C941" t="n">
        <v>1276928</v>
      </c>
      <c r="D941" t="inlineStr">
        <is>
          <t>2024-03-01 10:23:36</t>
        </is>
      </c>
      <c r="E941" t="inlineStr">
        <is>
          <t>2024-02-29 17:42:15</t>
        </is>
      </c>
      <c r="F941" t="inlineStr">
        <is>
          <t>666</t>
        </is>
      </c>
    </row>
    <row r="942">
      <c r="A942" t="inlineStr">
        <is>
          <t>FORMATO IMPORTAR TRABAJADORES CCNN FEB - 2024-1.xls</t>
        </is>
      </c>
      <c r="B942">
        <f>HYPERLINK("C:\Users\lmonroy\Tema\Migración CONTANET\FORMATO IMPORTAR TRABAJADORES CCNN FEB - 2024-1.xls", "Link")</f>
        <v/>
      </c>
      <c r="C942" t="n">
        <v>1385472</v>
      </c>
      <c r="D942" t="inlineStr">
        <is>
          <t>2024-02-20 14:05:53</t>
        </is>
      </c>
      <c r="E942" t="inlineStr">
        <is>
          <t>2024-02-19 17:00:27</t>
        </is>
      </c>
      <c r="F942" t="inlineStr">
        <is>
          <t>666</t>
        </is>
      </c>
    </row>
    <row r="943">
      <c r="A943" t="inlineStr">
        <is>
          <t>F_Importacion_Feriados CCNN.xls</t>
        </is>
      </c>
      <c r="B943">
        <f>HYPERLINK("C:\Users\lmonroy\Tema\Migración CONTANET\F_Importacion_Feriados CCNN.xls", "Link")</f>
        <v/>
      </c>
      <c r="C943" t="n">
        <v>85504</v>
      </c>
      <c r="D943" t="inlineStr">
        <is>
          <t>2024-01-09 18:35:17</t>
        </is>
      </c>
      <c r="E943" t="inlineStr">
        <is>
          <t>2024-01-07 17:27:41</t>
        </is>
      </c>
      <c r="F943" t="inlineStr">
        <is>
          <t>666</t>
        </is>
      </c>
    </row>
    <row r="944">
      <c r="A944" t="inlineStr">
        <is>
          <t>F_Importacion_Horas_Extras_CCNN.xls</t>
        </is>
      </c>
      <c r="B944">
        <f>HYPERLINK("C:\Users\lmonroy\Tema\Migración CONTANET\F_Importacion_Horas_Extras_CCNN.xls", "Link")</f>
        <v/>
      </c>
      <c r="C944" t="n">
        <v>51712</v>
      </c>
      <c r="D944" t="inlineStr">
        <is>
          <t>2024-01-07 14:52:16</t>
        </is>
      </c>
      <c r="E944" t="inlineStr">
        <is>
          <t>2024-01-07 10:47:24</t>
        </is>
      </c>
      <c r="F944" t="inlineStr">
        <is>
          <t>666</t>
        </is>
      </c>
    </row>
    <row r="945">
      <c r="A945" t="inlineStr">
        <is>
          <t>F_Importacion_ModPlanilla_ModPlanilla_TareoAsistencias.xlsx</t>
        </is>
      </c>
      <c r="B945">
        <f>HYPERLINK("C:\Users\lmonroy\Tema\Migración CONTANET\F_Importacion_ModPlanilla_ModPlanilla_TareoAsistencias.xlsx", "Link")</f>
        <v/>
      </c>
      <c r="C945" t="n">
        <v>47836</v>
      </c>
      <c r="D945" t="inlineStr">
        <is>
          <t>2024-02-19 11:18:16</t>
        </is>
      </c>
      <c r="E945" t="inlineStr">
        <is>
          <t>2023-12-08 11:44:20</t>
        </is>
      </c>
      <c r="F945" t="inlineStr">
        <is>
          <t>666</t>
        </is>
      </c>
    </row>
    <row r="946">
      <c r="A946" t="inlineStr">
        <is>
          <t>F_Importacion_ModPlanilla_ModPlanilla_TareoAsistencias_CCNN_Enero_2024.xls</t>
        </is>
      </c>
      <c r="B946">
        <f>HYPERLINK("C:\Users\lmonroy\Tema\Migración CONTANET\F_Importacion_ModPlanilla_ModPlanilla_TareoAsistencias_CCNN_Enero_2024.xls", "Link")</f>
        <v/>
      </c>
      <c r="C946" t="n">
        <v>187904</v>
      </c>
      <c r="D946" t="inlineStr">
        <is>
          <t>2024-02-19 14:27:33</t>
        </is>
      </c>
      <c r="E946" t="inlineStr">
        <is>
          <t>2024-02-19 11:18:57</t>
        </is>
      </c>
      <c r="F946" t="inlineStr">
        <is>
          <t>666</t>
        </is>
      </c>
    </row>
    <row r="947">
      <c r="A947" t="inlineStr">
        <is>
          <t>F_Importacion_ModPlanilla_ModPlanilla_TareoAsistencias_CCNN_Enero_2024.xlsx</t>
        </is>
      </c>
      <c r="B947">
        <f>HYPERLINK("C:\Users\lmonroy\Tema\Migración CONTANET\F_Importacion_ModPlanilla_ModPlanilla_TareoAsistencias_CCNN_Enero_2024.xlsx", "Link")</f>
        <v/>
      </c>
      <c r="C947" t="n">
        <v>47831</v>
      </c>
      <c r="D947" t="inlineStr">
        <is>
          <t>2024-02-19 11:18:49</t>
        </is>
      </c>
      <c r="E947" t="inlineStr">
        <is>
          <t>2024-02-19 11:18:49</t>
        </is>
      </c>
      <c r="F947" t="inlineStr">
        <is>
          <t>666</t>
        </is>
      </c>
    </row>
    <row r="948">
      <c r="A948" t="inlineStr">
        <is>
          <t>F_Importacion_ModPlanilla_ModPlanilla_TareoAsistencias_Enero_CCNN.xls</t>
        </is>
      </c>
      <c r="B948">
        <f>HYPERLINK("C:\Users\lmonroy\Tema\Migración CONTANET\F_Importacion_ModPlanilla_ModPlanilla_TareoAsistencias_Enero_CCNN.xls", "Link")</f>
        <v/>
      </c>
      <c r="C948" t="n">
        <v>95744</v>
      </c>
      <c r="D948" t="inlineStr">
        <is>
          <t>2024-02-19 10:41:01</t>
        </is>
      </c>
      <c r="E948" t="inlineStr">
        <is>
          <t>2024-02-19 10:39:28</t>
        </is>
      </c>
      <c r="F948" t="inlineStr">
        <is>
          <t>666</t>
        </is>
      </c>
    </row>
    <row r="949">
      <c r="A949" t="inlineStr">
        <is>
          <t>F_Importacion_ModPlanilla_ModPlanilla_TareoAsistencias_Enero_CCNN.xlsx</t>
        </is>
      </c>
      <c r="B949">
        <f>HYPERLINK("C:\Users\lmonroy\Tema\Migración CONTANET\F_Importacion_ModPlanilla_ModPlanilla_TareoAsistencias_Enero_CCNN.xlsx", "Link")</f>
        <v/>
      </c>
      <c r="C949" t="n">
        <v>38211</v>
      </c>
      <c r="D949" t="inlineStr">
        <is>
          <t>2024-02-19 10:38:15</t>
        </is>
      </c>
      <c r="E949" t="inlineStr">
        <is>
          <t>2024-02-19 10:38:15</t>
        </is>
      </c>
      <c r="F949" t="inlineStr">
        <is>
          <t>666</t>
        </is>
      </c>
    </row>
    <row r="950">
      <c r="A950" t="inlineStr">
        <is>
          <t>F_Importacion_TareoAsistencias - CCNN final.xls</t>
        </is>
      </c>
      <c r="B950">
        <f>HYPERLINK("C:\Users\lmonroy\Tema\Migración CONTANET\F_Importacion_TareoAsistencias - CCNN final.xls", "Link")</f>
        <v/>
      </c>
      <c r="C950" t="n">
        <v>62976</v>
      </c>
      <c r="D950" t="inlineStr">
        <is>
          <t>2023-12-15 19:24:29</t>
        </is>
      </c>
      <c r="E950" t="inlineStr">
        <is>
          <t>2023-12-15 19:24:27</t>
        </is>
      </c>
      <c r="F950" t="inlineStr">
        <is>
          <t>666</t>
        </is>
      </c>
    </row>
    <row r="951">
      <c r="A951" t="inlineStr">
        <is>
          <t>F_Importacion_TareoAsistencias - CCNN.xls</t>
        </is>
      </c>
      <c r="B951">
        <f>HYPERLINK("C:\Users\lmonroy\Tema\Migración CONTANET\F_Importacion_TareoAsistencias - CCNN.xls", "Link")</f>
        <v/>
      </c>
      <c r="C951" t="n">
        <v>64512</v>
      </c>
      <c r="D951" t="inlineStr">
        <is>
          <t>2023-12-15 19:20:09</t>
        </is>
      </c>
      <c r="E951" t="inlineStr">
        <is>
          <t>2023-12-15 19:20:07</t>
        </is>
      </c>
      <c r="F951" t="inlineStr">
        <is>
          <t>666</t>
        </is>
      </c>
    </row>
    <row r="952">
      <c r="A952" t="inlineStr">
        <is>
          <t>F_Importacion_TareoAsistencias.xls</t>
        </is>
      </c>
      <c r="B952">
        <f>HYPERLINK("C:\Users\lmonroy\Tema\Migración CONTANET\F_Importacion_TareoAsistencias.xls", "Link")</f>
        <v/>
      </c>
      <c r="C952" t="n">
        <v>230912</v>
      </c>
      <c r="D952" t="inlineStr">
        <is>
          <t>2023-12-15 19:03:53</t>
        </is>
      </c>
      <c r="E952" t="inlineStr">
        <is>
          <t>2023-12-15 18:52:47</t>
        </is>
      </c>
      <c r="F952" t="inlineStr">
        <is>
          <t>666</t>
        </is>
      </c>
    </row>
    <row r="953">
      <c r="A953" t="inlineStr">
        <is>
          <t>F_Importacion_TareoAsistencias_CCNN_ENERO.xls</t>
        </is>
      </c>
      <c r="B953">
        <f>HYPERLINK("C:\Users\lmonroy\Tema\Migración CONTANET\F_Importacion_TareoAsistencias_CCNN_ENERO.xls", "Link")</f>
        <v/>
      </c>
      <c r="C953" t="n">
        <v>254464</v>
      </c>
      <c r="D953" t="inlineStr">
        <is>
          <t>2024-02-19 10:45:01</t>
        </is>
      </c>
      <c r="E953" t="inlineStr">
        <is>
          <t>2024-02-19 10:43:38</t>
        </is>
      </c>
      <c r="F953" t="inlineStr">
        <is>
          <t>666</t>
        </is>
      </c>
    </row>
    <row r="954">
      <c r="A954" t="inlineStr">
        <is>
          <t>Importación conceptos ccnn - diciembre.xls</t>
        </is>
      </c>
      <c r="B954">
        <f>HYPERLINK("C:\Users\lmonroy\Tema\Migración CONTANET\Importación conceptos ccnn - diciembre.xls", "Link")</f>
        <v/>
      </c>
      <c r="C954" t="n">
        <v>356864</v>
      </c>
      <c r="D954" t="inlineStr">
        <is>
          <t>2024-01-07 16:42:40</t>
        </is>
      </c>
      <c r="E954" t="inlineStr">
        <is>
          <t>2024-01-07 16:23:11</t>
        </is>
      </c>
      <c r="F954" t="inlineStr">
        <is>
          <t>666</t>
        </is>
      </c>
    </row>
    <row r="955">
      <c r="A955" t="inlineStr">
        <is>
          <t>Importación Tasas_Montos-Tema-122023 - GRATIFICACION.xls</t>
        </is>
      </c>
      <c r="B955">
        <f>HYPERLINK("C:\Users\lmonroy\Tema\Migración CONTANET\Importación Tasas_Montos-Tema-122023 - GRATIFICACION.xls", "Link")</f>
        <v/>
      </c>
      <c r="C955" t="n">
        <v>278528</v>
      </c>
      <c r="D955" t="inlineStr">
        <is>
          <t>2024-01-08 11:18:11</t>
        </is>
      </c>
      <c r="E955" t="inlineStr">
        <is>
          <t>2024-01-08 11:01:53</t>
        </is>
      </c>
      <c r="F955" t="inlineStr">
        <is>
          <t>666</t>
        </is>
      </c>
    </row>
    <row r="956">
      <c r="A956" t="inlineStr">
        <is>
          <t>Importación Tasas_Montos-Tema-122023 - VIDA LEY.xls</t>
        </is>
      </c>
      <c r="B956">
        <f>HYPERLINK("C:\Users\lmonroy\Tema\Migración CONTANET\Importación Tasas_Montos-Tema-122023 - VIDA LEY.xls", "Link")</f>
        <v/>
      </c>
      <c r="C956" t="n">
        <v>287744</v>
      </c>
      <c r="D956" t="inlineStr">
        <is>
          <t>2024-01-17 11:28:48</t>
        </is>
      </c>
      <c r="E956" t="inlineStr">
        <is>
          <t>2024-01-17 11:28:45</t>
        </is>
      </c>
      <c r="F956" t="inlineStr">
        <is>
          <t>666</t>
        </is>
      </c>
    </row>
    <row r="957">
      <c r="A957" t="inlineStr">
        <is>
          <t>Importación Tasas_Montos-Tema-122023 DSCTO GRATIFICACION.xls</t>
        </is>
      </c>
      <c r="B957">
        <f>HYPERLINK("C:\Users\lmonroy\Tema\Migración CONTANET\Importación Tasas_Montos-Tema-122023 DSCTO GRATIFICACION.xls", "Link")</f>
        <v/>
      </c>
      <c r="C957" t="n">
        <v>285696</v>
      </c>
      <c r="D957" t="inlineStr">
        <is>
          <t>2024-01-08 11:33:27</t>
        </is>
      </c>
      <c r="E957" t="inlineStr">
        <is>
          <t>2024-01-08 11:31:59</t>
        </is>
      </c>
      <c r="F957" t="inlineStr">
        <is>
          <t>666</t>
        </is>
      </c>
    </row>
    <row r="958">
      <c r="A958" t="inlineStr">
        <is>
          <t>Importación Tasas_Montos-Tema-122023- SEGURO VIDA LEY.xls</t>
        </is>
      </c>
      <c r="B958">
        <f>HYPERLINK("C:\Users\lmonroy\Tema\Migración CONTANET\Importación Tasas_Montos-Tema-122023- SEGURO VIDA LEY.xls", "Link")</f>
        <v/>
      </c>
      <c r="C958" t="n">
        <v>261120</v>
      </c>
      <c r="D958" t="inlineStr">
        <is>
          <t>2024-01-07 10:57:26</t>
        </is>
      </c>
      <c r="E958" t="inlineStr">
        <is>
          <t>2024-01-07 10:57:24</t>
        </is>
      </c>
      <c r="F958" t="inlineStr">
        <is>
          <t>666</t>
        </is>
      </c>
    </row>
    <row r="959">
      <c r="A959" t="inlineStr">
        <is>
          <t>Importación Tasas_Montos.xls</t>
        </is>
      </c>
      <c r="B959">
        <f>HYPERLINK("C:\Users\lmonroy\Tema\Migración CONTANET\Importación Tasas_Montos.xls", "Link")</f>
        <v/>
      </c>
      <c r="C959" t="n">
        <v>414208</v>
      </c>
      <c r="D959" t="inlineStr">
        <is>
          <t>2023-12-13 17:41:48</t>
        </is>
      </c>
      <c r="E959" t="inlineStr">
        <is>
          <t>2023-12-07 14:46:33</t>
        </is>
      </c>
      <c r="F959" t="inlineStr">
        <is>
          <t>666</t>
        </is>
      </c>
    </row>
    <row r="960">
      <c r="A960" t="inlineStr">
        <is>
          <t>Tareo_faltas.xls</t>
        </is>
      </c>
      <c r="B960">
        <f>HYPERLINK("C:\Users\lmonroy\Tema\Migración CONTANET\Tareo_faltas.xls", "Link")</f>
        <v/>
      </c>
      <c r="C960" t="n">
        <v>62976</v>
      </c>
      <c r="D960" t="inlineStr">
        <is>
          <t>2023-12-08 11:50:08</t>
        </is>
      </c>
      <c r="E960" t="inlineStr">
        <is>
          <t>2023-12-08 11:50:06</t>
        </is>
      </c>
      <c r="F960" t="inlineStr">
        <is>
          <t>666</t>
        </is>
      </c>
    </row>
    <row r="961">
      <c r="A961" t="inlineStr">
        <is>
          <t>Trabajadores enerp 2024 CCNN.xls</t>
        </is>
      </c>
      <c r="B961">
        <f>HYPERLINK("C:\Users\lmonroy\Tema\Migración CONTANET\Trabajadores enerp 2024 CCNN.xls", "Link")</f>
        <v/>
      </c>
      <c r="C961" t="n">
        <v>99328</v>
      </c>
      <c r="D961" t="inlineStr">
        <is>
          <t>2024-02-20 14:11:38</t>
        </is>
      </c>
      <c r="E961" t="inlineStr">
        <is>
          <t>2024-02-20 14:11:37</t>
        </is>
      </c>
      <c r="F961" t="inlineStr">
        <is>
          <t>666</t>
        </is>
      </c>
    </row>
    <row r="962">
      <c r="A962" t="inlineStr">
        <is>
          <t>Trabajadores febrero 2024 CCNN.xls</t>
        </is>
      </c>
      <c r="B962">
        <f>HYPERLINK("C:\Users\lmonroy\Tema\Migración CONTANET\Trabajadores febrero 2024 CCNN.xls", "Link")</f>
        <v/>
      </c>
      <c r="C962" t="n">
        <v>106496</v>
      </c>
      <c r="D962" t="inlineStr">
        <is>
          <t>2024-02-20 14:33:49</t>
        </is>
      </c>
      <c r="E962" t="inlineStr">
        <is>
          <t>2024-02-20 14:33:49</t>
        </is>
      </c>
      <c r="F962" t="inlineStr">
        <is>
          <t>666</t>
        </is>
      </c>
    </row>
    <row r="963">
      <c r="A963" t="inlineStr">
        <is>
          <t>trabajdores-ccnn-feb.xls</t>
        </is>
      </c>
      <c r="B963">
        <f>HYPERLINK("C:\Users\lmonroy\Tema\Migración CONTANET\trabajdores-ccnn-feb.xls", "Link")</f>
        <v/>
      </c>
      <c r="C963" t="n">
        <v>111104</v>
      </c>
      <c r="D963" t="inlineStr">
        <is>
          <t>2024-03-01 09:26:00</t>
        </is>
      </c>
      <c r="E963" t="inlineStr">
        <is>
          <t>2024-02-29 17:46:32</t>
        </is>
      </c>
      <c r="F963" t="inlineStr">
        <is>
          <t>666</t>
        </is>
      </c>
    </row>
    <row r="964">
      <c r="A964" t="inlineStr">
        <is>
          <t>trabajdores-ccnn.xls</t>
        </is>
      </c>
      <c r="B964">
        <f>HYPERLINK("C:\Users\lmonroy\Tema\Migración CONTANET\trabajdores-ccnn.xls", "Link")</f>
        <v/>
      </c>
      <c r="C964" t="n">
        <v>94208</v>
      </c>
      <c r="D964" t="inlineStr">
        <is>
          <t>2024-02-29 14:40:59</t>
        </is>
      </c>
      <c r="E964" t="inlineStr">
        <is>
          <t>2024-02-23 11:00:04</t>
        </is>
      </c>
      <c r="F964" t="inlineStr">
        <is>
          <t>666</t>
        </is>
      </c>
    </row>
    <row r="965">
      <c r="A965" t="inlineStr">
        <is>
          <t>trabajdores-STAFF.xls</t>
        </is>
      </c>
      <c r="B965">
        <f>HYPERLINK("C:\Users\lmonroy\Tema\Migración CONTANET\trabajdores-STAFF.xls", "Link")</f>
        <v/>
      </c>
      <c r="C965" t="n">
        <v>62464</v>
      </c>
      <c r="D965" t="inlineStr">
        <is>
          <t>2024-02-29 09:44:03</t>
        </is>
      </c>
      <c r="E965" t="inlineStr">
        <is>
          <t>2024-02-28 22:51:45</t>
        </is>
      </c>
      <c r="F965" t="inlineStr">
        <is>
          <t>666</t>
        </is>
      </c>
    </row>
    <row r="966">
      <c r="A966" t="inlineStr">
        <is>
          <t>FORMATO ALTAS TRABAJADOR 22-01-2024 .V2.xls</t>
        </is>
      </c>
      <c r="B966">
        <f>HYPERLINK("C:\Users\lmonroy\Tema\Migración CONTANET\ALTAS\FORMATO ALTAS TRABAJADOR 22-01-2024 .V2.xls", "Link")</f>
        <v/>
      </c>
      <c r="C966" t="n">
        <v>202752</v>
      </c>
      <c r="D966" t="inlineStr">
        <is>
          <t>2024-01-22 14:21:39</t>
        </is>
      </c>
      <c r="E966" t="inlineStr">
        <is>
          <t>2024-01-22 14:21:37</t>
        </is>
      </c>
      <c r="F966" t="inlineStr">
        <is>
          <t>666</t>
        </is>
      </c>
    </row>
    <row r="967">
      <c r="A967" t="inlineStr">
        <is>
          <t>FORMATO ALTAS TRABAJADOR 22-01-2024.xls</t>
        </is>
      </c>
      <c r="B967">
        <f>HYPERLINK("C:\Users\lmonroy\Tema\Migración CONTANET\ALTAS\FORMATO ALTAS TRABAJADOR 22-01-2024.xls", "Link")</f>
        <v/>
      </c>
      <c r="C967" t="n">
        <v>160256</v>
      </c>
      <c r="D967" t="inlineStr">
        <is>
          <t>2024-01-22 14:27:53</t>
        </is>
      </c>
      <c r="E967" t="inlineStr">
        <is>
          <t>2024-01-22 14:18:23</t>
        </is>
      </c>
      <c r="F967" t="inlineStr">
        <is>
          <t>666</t>
        </is>
      </c>
    </row>
    <row r="968">
      <c r="A968" t="inlineStr">
        <is>
          <t>FORMATO ALTAS TRABAJADOR 22-01-2024.xlsx</t>
        </is>
      </c>
      <c r="B968">
        <f>HYPERLINK("C:\Users\lmonroy\Tema\Migración CONTANET\ALTAS\FORMATO ALTAS TRABAJADOR 22-01-2024.xlsx", "Link")</f>
        <v/>
      </c>
      <c r="C968" t="n">
        <v>109557</v>
      </c>
      <c r="D968" t="inlineStr">
        <is>
          <t>2024-01-22 14:14:33</t>
        </is>
      </c>
      <c r="E968" t="inlineStr">
        <is>
          <t>2024-01-22 13:04:20</t>
        </is>
      </c>
      <c r="F968" t="inlineStr">
        <is>
          <t>666</t>
        </is>
      </c>
    </row>
    <row r="969">
      <c r="A969" t="inlineStr">
        <is>
          <t>FORMATO ALTAS TRABAJADOR 29-01-2024.xls</t>
        </is>
      </c>
      <c r="B969">
        <f>HYPERLINK("C:\Users\lmonroy\Tema\Migración CONTANET\ALTAS\FORMATO ALTAS TRABAJADOR 29-01-2024.xls", "Link")</f>
        <v/>
      </c>
      <c r="C969" t="n">
        <v>160768</v>
      </c>
      <c r="D969" t="inlineStr">
        <is>
          <t>2024-01-29 13:30:56</t>
        </is>
      </c>
      <c r="E969" t="inlineStr">
        <is>
          <t>2024-01-29 13:30:54</t>
        </is>
      </c>
      <c r="F969" t="inlineStr">
        <is>
          <t>666</t>
        </is>
      </c>
    </row>
    <row r="970">
      <c r="A970" t="inlineStr">
        <is>
          <t>FORMATO ALTAS TRABAJADOR.xls</t>
        </is>
      </c>
      <c r="B970">
        <f>HYPERLINK("C:\Users\lmonroy\Tema\Migración CONTANET\ALTAS\FORMATO ALTAS TRABAJADOR.xls", "Link")</f>
        <v/>
      </c>
      <c r="C970" t="n">
        <v>684544</v>
      </c>
      <c r="D970" t="inlineStr">
        <is>
          <t>2024-01-19 13:30:20</t>
        </is>
      </c>
      <c r="E970" t="inlineStr">
        <is>
          <t>2023-12-27 18:26:11</t>
        </is>
      </c>
      <c r="F970" t="inlineStr">
        <is>
          <t>666</t>
        </is>
      </c>
    </row>
    <row r="971">
      <c r="A971" t="inlineStr">
        <is>
          <t>FORMATO ALTAS TRABAJADOR.xlsx</t>
        </is>
      </c>
      <c r="B971">
        <f>HYPERLINK("C:\Users\lmonroy\Tema\Migración CONTANET\ALTAS\FORMATO ALTAS TRABAJADOR.xlsx", "Link")</f>
        <v/>
      </c>
      <c r="C971" t="n">
        <v>180347</v>
      </c>
      <c r="D971" t="inlineStr">
        <is>
          <t>2023-11-26 23:38:27</t>
        </is>
      </c>
      <c r="E971" t="inlineStr">
        <is>
          <t>2023-11-26 23:36:13</t>
        </is>
      </c>
      <c r="F971" t="inlineStr">
        <is>
          <t>666</t>
        </is>
      </c>
    </row>
    <row r="972">
      <c r="A972" t="inlineStr">
        <is>
          <t>FORMATO IMPORTAR TRABAJADORES 22-01-2024.xls</t>
        </is>
      </c>
      <c r="B972">
        <f>HYPERLINK("C:\Users\lmonroy\Tema\Migración CONTANET\ALTAS\FORMATO IMPORTAR TRABAJADORES 22-01-2024.xls", "Link")</f>
        <v/>
      </c>
      <c r="C972" t="n">
        <v>1248256</v>
      </c>
      <c r="D972" t="inlineStr">
        <is>
          <t>2024-01-22 14:28:23</t>
        </is>
      </c>
      <c r="E972" t="inlineStr">
        <is>
          <t>2024-01-22 14:27:17</t>
        </is>
      </c>
      <c r="F972" t="inlineStr">
        <is>
          <t>666</t>
        </is>
      </c>
    </row>
    <row r="973">
      <c r="A973" t="inlineStr">
        <is>
          <t>FORMATO IMPORTAR TRABAJADORES 29-01-2024.xls</t>
        </is>
      </c>
      <c r="B973">
        <f>HYPERLINK("C:\Users\lmonroy\Tema\Migración CONTANET\ALTAS\FORMATO IMPORTAR TRABAJADORES 29-01-2024.xls", "Link")</f>
        <v/>
      </c>
      <c r="C973" t="n">
        <v>1244672</v>
      </c>
      <c r="D973" t="inlineStr">
        <is>
          <t>2024-01-29 14:12:01</t>
        </is>
      </c>
      <c r="E973" t="inlineStr">
        <is>
          <t>2024-01-29 14:12:00</t>
        </is>
      </c>
      <c r="F973" t="inlineStr">
        <is>
          <t>666</t>
        </is>
      </c>
    </row>
    <row r="974">
      <c r="A974" t="inlineStr">
        <is>
          <t>FORMATO IMPORTAR TRABAJADORES PLANILLA STAFF ENERO 2024.xls</t>
        </is>
      </c>
      <c r="B974">
        <f>HYPERLINK("C:\Users\lmonroy\Tema\Migración CONTANET\ALTAS\FORMATO IMPORTAR TRABAJADORES PLANILLA STAFF ENERO 2024.xls", "Link")</f>
        <v/>
      </c>
      <c r="C974" t="n">
        <v>1297408</v>
      </c>
      <c r="D974" t="inlineStr">
        <is>
          <t>2024-01-25 14:53:49</t>
        </is>
      </c>
      <c r="E974" t="inlineStr">
        <is>
          <t>2024-01-25 14:53:48</t>
        </is>
      </c>
      <c r="F974" t="inlineStr">
        <is>
          <t>666</t>
        </is>
      </c>
    </row>
    <row r="975">
      <c r="A975" t="inlineStr">
        <is>
          <t>FORMATO IMPORTAR TRABAJADORES-TEMA ENE 24.xls</t>
        </is>
      </c>
      <c r="B975">
        <f>HYPERLINK("C:\Users\lmonroy\Tema\Migración CONTANET\ALTAS\FORMATO IMPORTAR TRABAJADORES-TEMA ENE 24.xls", "Link")</f>
        <v/>
      </c>
      <c r="C975" t="n">
        <v>1346560</v>
      </c>
      <c r="D975" t="inlineStr">
        <is>
          <t>2024-01-12 14:10:20</t>
        </is>
      </c>
      <c r="E975" t="inlineStr">
        <is>
          <t>2024-01-12 11:46:49</t>
        </is>
      </c>
      <c r="F975" t="inlineStr">
        <is>
          <t>666</t>
        </is>
      </c>
    </row>
    <row r="976">
      <c r="A976" t="inlineStr">
        <is>
          <t>FORMATO IMPORTAR TRABAJADORES-TEMA NOV 23.xls</t>
        </is>
      </c>
      <c r="B976">
        <f>HYPERLINK("C:\Users\lmonroy\Tema\Migración CONTANET\ALTAS\FORMATO IMPORTAR TRABAJADORES-TEMA NOV 23.xls", "Link")</f>
        <v/>
      </c>
      <c r="C976" t="n">
        <v>1334272</v>
      </c>
      <c r="D976" t="inlineStr">
        <is>
          <t>2023-11-29 16:14:49</t>
        </is>
      </c>
      <c r="E976" t="inlineStr">
        <is>
          <t>2023-11-29 16:14:44</t>
        </is>
      </c>
      <c r="F976" t="inlineStr">
        <is>
          <t>666</t>
        </is>
      </c>
    </row>
    <row r="977">
      <c r="A977" t="inlineStr">
        <is>
          <t>FORMATO IMPORTAR TRABAJADORES.xls</t>
        </is>
      </c>
      <c r="B977">
        <f>HYPERLINK("C:\Users\lmonroy\Tema\Migración CONTANET\ALTAS\FORMATO IMPORTAR TRABAJADORES.xls", "Link")</f>
        <v/>
      </c>
      <c r="C977" t="n">
        <v>1266176</v>
      </c>
      <c r="D977" t="inlineStr">
        <is>
          <t>2024-01-22 09:00:06</t>
        </is>
      </c>
      <c r="E977" t="inlineStr">
        <is>
          <t>2023-12-27 18:32:25</t>
        </is>
      </c>
      <c r="F977" t="inlineStr">
        <is>
          <t>666</t>
        </is>
      </c>
    </row>
    <row r="978">
      <c r="A978" t="inlineStr">
        <is>
          <t>ING PLANILLA DICIEMBRE 2023.xlsx</t>
        </is>
      </c>
      <c r="B978">
        <f>HYPERLINK("C:\Users\lmonroy\Tema\Migración CONTANET\ALTAS\ING PLANILLA DICIEMBRE 2023.xlsx", "Link")</f>
        <v/>
      </c>
      <c r="C978" t="n">
        <v>1292889</v>
      </c>
      <c r="D978" t="inlineStr">
        <is>
          <t>2023-12-27 18:16:43</t>
        </is>
      </c>
      <c r="E978" t="inlineStr">
        <is>
          <t>2023-12-27 18:16:42</t>
        </is>
      </c>
      <c r="F978" t="inlineStr">
        <is>
          <t>666</t>
        </is>
      </c>
    </row>
    <row r="979">
      <c r="A979" t="inlineStr">
        <is>
          <t>Anexo2_tablas_parametricas_noviembre 2023_12_0.xlsx</t>
        </is>
      </c>
      <c r="B979">
        <f>HYPERLINK("C:\Users\lmonroy\Tema\Migración PLAME - T REGISTRO\Anexo2_tablas_parametricas_noviembre 2023_12_0.xlsx", "Link")</f>
        <v/>
      </c>
      <c r="C979" t="n">
        <v>1088139</v>
      </c>
      <c r="D979" t="inlineStr">
        <is>
          <t>2024-01-10 09:23:26</t>
        </is>
      </c>
      <c r="E979" t="inlineStr">
        <is>
          <t>2024-01-10 09:23:23</t>
        </is>
      </c>
      <c r="F979" t="inlineStr">
        <is>
          <t>666</t>
        </is>
      </c>
    </row>
    <row r="980">
      <c r="A980" t="inlineStr">
        <is>
          <t>Anexo3_estructuras_Archivos_Importación JUL23.xls</t>
        </is>
      </c>
      <c r="B980">
        <f>HYPERLINK("C:\Users\lmonroy\Tema\Migración PLAME - T REGISTRO\Anexo3_estructuras_Archivos_Importación JUL23.xls", "Link")</f>
        <v/>
      </c>
      <c r="C980" t="n">
        <v>327168</v>
      </c>
      <c r="D980" t="inlineStr">
        <is>
          <t>2024-01-10 09:13:26</t>
        </is>
      </c>
      <c r="E980" t="inlineStr">
        <is>
          <t>2024-01-10 09:13:25</t>
        </is>
      </c>
      <c r="F980" t="inlineStr">
        <is>
          <t>666</t>
        </is>
      </c>
    </row>
    <row r="981">
      <c r="A981" t="inlineStr">
        <is>
          <t>PLAME - 62531 - DICIEMBRE 2023.xlsm</t>
        </is>
      </c>
      <c r="B981">
        <f>HYPERLINK("C:\Users\lmonroy\Tema\Migración PLAME - T REGISTRO\PLAME - 62531 - DICIEMBRE 2023.xlsm", "Link")</f>
        <v/>
      </c>
      <c r="C981" t="n">
        <v>381223</v>
      </c>
      <c r="D981" t="inlineStr">
        <is>
          <t>2024-01-10 19:44:02</t>
        </is>
      </c>
      <c r="E981" t="inlineStr">
        <is>
          <t>2024-01-10 19:04:13</t>
        </is>
      </c>
      <c r="F981" t="inlineStr">
        <is>
          <t>666</t>
        </is>
      </c>
    </row>
    <row r="982">
      <c r="A982" t="inlineStr">
        <is>
          <t>PLANILLA DE MOVILIDAD - TEMA - LUIS MONROY.docx</t>
        </is>
      </c>
      <c r="B982">
        <f>HYPERLINK("C:\Users\lmonroy\Tema\Movilidad\PLANILLA DE MOVILIDAD - TEMA - LUIS MONROY.docx", "Link")</f>
        <v/>
      </c>
      <c r="C982" t="n">
        <v>37953</v>
      </c>
      <c r="D982" t="inlineStr">
        <is>
          <t>2023-12-01 11:08:55</t>
        </is>
      </c>
      <c r="E982" t="inlineStr">
        <is>
          <t>2023-12-01 11:08:55</t>
        </is>
      </c>
      <c r="F982" t="inlineStr">
        <is>
          <t>666</t>
        </is>
      </c>
    </row>
    <row r="983">
      <c r="A983" t="inlineStr">
        <is>
          <t>PLANILLA DE MOVILIDAD - TEMA - LUIS MONROY.pdf</t>
        </is>
      </c>
      <c r="B983">
        <f>HYPERLINK("C:\Users\lmonroy\Tema\Movilidad\PLANILLA DE MOVILIDAD - TEMA - LUIS MONROY.pdf", "Link")</f>
        <v/>
      </c>
      <c r="C983" t="n">
        <v>165250</v>
      </c>
      <c r="D983" t="inlineStr">
        <is>
          <t>2023-12-01 11:12:03</t>
        </is>
      </c>
      <c r="E983" t="inlineStr">
        <is>
          <t>2023-12-01 11:12:03</t>
        </is>
      </c>
      <c r="F983" t="inlineStr">
        <is>
          <t>666</t>
        </is>
      </c>
    </row>
    <row r="984">
      <c r="A984" t="inlineStr">
        <is>
          <t>PLANILLA DE MOVILIDAD - TEMA.docx</t>
        </is>
      </c>
      <c r="B984">
        <f>HYPERLINK("C:\Users\lmonroy\Tema\Movilidad\PLANILLA DE MOVILIDAD - TEMA.docx", "Link")</f>
        <v/>
      </c>
      <c r="C984" t="n">
        <v>37950</v>
      </c>
      <c r="D984" t="inlineStr">
        <is>
          <t>2023-12-01 11:08:29</t>
        </is>
      </c>
      <c r="E984" t="inlineStr">
        <is>
          <t>2023-11-27 15:45:24</t>
        </is>
      </c>
      <c r="F984" t="inlineStr">
        <is>
          <t>666</t>
        </is>
      </c>
    </row>
    <row r="985">
      <c r="A985" t="inlineStr">
        <is>
          <t>PLANILLA DE MOVILIDAD - TEMA.pdf</t>
        </is>
      </c>
      <c r="B985">
        <f>HYPERLINK("C:\Users\lmonroy\Tema\Movilidad\PLANILLA DE MOVILIDAD - TEMA.pdf", "Link")</f>
        <v/>
      </c>
      <c r="C985" t="n">
        <v>150898</v>
      </c>
      <c r="D985" t="inlineStr">
        <is>
          <t>2023-11-28 01:56:40</t>
        </is>
      </c>
      <c r="E985" t="inlineStr">
        <is>
          <t>2023-11-27 15:22:01</t>
        </is>
      </c>
      <c r="F985" t="inlineStr">
        <is>
          <t>666</t>
        </is>
      </c>
    </row>
    <row r="986">
      <c r="A986" t="inlineStr">
        <is>
          <t>Summary Tool.xlsm</t>
        </is>
      </c>
      <c r="B986">
        <f>HYPERLINK("C:\Users\lmonroy\Tema\Optimización Hidrobiología\Summary Tool.xlsm", "Link")</f>
        <v/>
      </c>
      <c r="C986" t="n">
        <v>35331</v>
      </c>
      <c r="D986" t="inlineStr">
        <is>
          <t>2024-05-13 14:12:03</t>
        </is>
      </c>
      <c r="E986" t="inlineStr">
        <is>
          <t>2024-05-13 14:54:25</t>
        </is>
      </c>
      <c r="F986" t="inlineStr">
        <is>
          <t>666</t>
        </is>
      </c>
    </row>
    <row r="987">
      <c r="A987" t="inlineStr">
        <is>
          <t>ACASN3-SUB-02 (Informe de ensayo NA) (1).pdf</t>
        </is>
      </c>
      <c r="B987">
        <f>HYPERLINK("C:\Users\lmonroy\Tema\Optimización Hidrobiología\ACASN3-SUB-02\ACASN3-SUB-02 (Informe de ensayo NA) (1).pdf", "Link")</f>
        <v/>
      </c>
      <c r="C987" t="n">
        <v>94857</v>
      </c>
      <c r="D987" t="inlineStr">
        <is>
          <t>2024-04-05 16:26:50</t>
        </is>
      </c>
      <c r="E987" t="inlineStr">
        <is>
          <t>2024-05-13 11:06:19</t>
        </is>
      </c>
      <c r="F987" t="inlineStr">
        <is>
          <t>666</t>
        </is>
      </c>
    </row>
    <row r="988">
      <c r="A988" t="inlineStr">
        <is>
          <t>ACASN3-SUB-02 (Informe de ensayo).v4.pdf</t>
        </is>
      </c>
      <c r="B988">
        <f>HYPERLINK("C:\Users\lmonroy\Tema\Optimización Hidrobiología\ACASN3-SUB-02\ACASN3-SUB-02 (Informe de ensayo).v4.pdf", "Link")</f>
        <v/>
      </c>
      <c r="C988" t="n">
        <v>162421</v>
      </c>
      <c r="D988" t="inlineStr">
        <is>
          <t>2024-04-27 22:36:24</t>
        </is>
      </c>
      <c r="E988" t="inlineStr">
        <is>
          <t>2024-05-13 11:06:19</t>
        </is>
      </c>
      <c r="F988" t="inlineStr">
        <is>
          <t>666</t>
        </is>
      </c>
    </row>
    <row r="989">
      <c r="A989" t="inlineStr">
        <is>
          <t>62526_ Resumen EM Hidrobiológico_3er Ingreso_Rev 0.xlsx</t>
        </is>
      </c>
      <c r="B989">
        <f>HYPERLINK("C:\Users\lmonroy\Tema\Optimización Hidrobiología\Insumos\62526_ Resumen EM Hidrobiológico_3er Ingreso_Rev 0.xlsx", "Link")</f>
        <v/>
      </c>
      <c r="C989" t="n">
        <v>208522</v>
      </c>
      <c r="D989" t="inlineStr">
        <is>
          <t>2024-05-02 15:19:53</t>
        </is>
      </c>
      <c r="E989" t="inlineStr">
        <is>
          <t>2024-05-13 11:05:48</t>
        </is>
      </c>
      <c r="F989" t="inlineStr">
        <is>
          <t>666</t>
        </is>
      </c>
    </row>
    <row r="990">
      <c r="A990" t="inlineStr">
        <is>
          <t>62526_Comp. Hidrobiología 3er Ingreso_Rev 0 - criterios.xlsx</t>
        </is>
      </c>
      <c r="B990">
        <f>HYPERLINK("C:\Users\lmonroy\Tema\Optimización Hidrobiología\Insumos\62526_Comp. Hidrobiología 3er Ingreso_Rev 0 - criterios.xlsx", "Link")</f>
        <v/>
      </c>
      <c r="C990" t="n">
        <v>718666</v>
      </c>
      <c r="D990" t="inlineStr">
        <is>
          <t>2024-05-13 16:24:45</t>
        </is>
      </c>
      <c r="E990" t="inlineStr">
        <is>
          <t>2024-05-13 16:24:44</t>
        </is>
      </c>
      <c r="F990" t="inlineStr">
        <is>
          <t>666</t>
        </is>
      </c>
    </row>
    <row r="991">
      <c r="A991" t="inlineStr">
        <is>
          <t>62526_Comp. Hidrobiología 3er Ingreso_Rev 0.xlsx</t>
        </is>
      </c>
      <c r="B991">
        <f>HYPERLINK("C:\Users\lmonroy\Tema\Optimización Hidrobiología\Insumos\62526_Comp. Hidrobiología 3er Ingreso_Rev 0.xlsx", "Link")</f>
        <v/>
      </c>
      <c r="C991" t="n">
        <v>718671</v>
      </c>
      <c r="D991" t="inlineStr">
        <is>
          <t>2024-05-13 16:24:32</t>
        </is>
      </c>
      <c r="E991" t="inlineStr">
        <is>
          <t>2024-05-13 11:05:48</t>
        </is>
      </c>
      <c r="F991" t="inlineStr">
        <is>
          <t>666</t>
        </is>
      </c>
    </row>
    <row r="992">
      <c r="A992" t="inlineStr">
        <is>
          <t>62526_Comp. Hidrobiología_Tejido 3er Ingreso_Rev B.xlsx</t>
        </is>
      </c>
      <c r="B992">
        <f>HYPERLINK("C:\Users\lmonroy\Tema\Optimización Hidrobiología\Insumos\62526_Comp. Hidrobiología_Tejido 3er Ingreso_Rev B.xlsx", "Link")</f>
        <v/>
      </c>
      <c r="C992" t="n">
        <v>2758780</v>
      </c>
      <c r="D992" t="inlineStr">
        <is>
          <t>2024-05-02 15:40:20</t>
        </is>
      </c>
      <c r="E992" t="inlineStr">
        <is>
          <t>2024-05-13 11:05:48</t>
        </is>
      </c>
      <c r="F992" t="inlineStr">
        <is>
          <t>666</t>
        </is>
      </c>
    </row>
    <row r="993">
      <c r="A993" t="inlineStr">
        <is>
          <t>PACHAC-01 (editable).xlsx</t>
        </is>
      </c>
      <c r="B993">
        <f>HYPERLINK("C:\Users\lmonroy\Tema\Optimización Hidrobiología\Origen\PACHAC-01 (editable).xlsx", "Link")</f>
        <v/>
      </c>
      <c r="C993" t="n">
        <v>168928</v>
      </c>
      <c r="D993" t="inlineStr">
        <is>
          <t>2024-05-14 08:57:36</t>
        </is>
      </c>
      <c r="E993" t="inlineStr">
        <is>
          <t>2024-05-13 14:57:46</t>
        </is>
      </c>
      <c r="F993" t="inlineStr">
        <is>
          <t>666</t>
        </is>
      </c>
    </row>
    <row r="994">
      <c r="A994" t="inlineStr">
        <is>
          <t>PBB-01 (editable) v3.xlsx</t>
        </is>
      </c>
      <c r="B994">
        <f>HYPERLINK("C:\Users\lmonroy\Tema\Optimización Hidrobiología\Origen\PBB-01 (editable) v3.xlsx", "Link")</f>
        <v/>
      </c>
      <c r="C994" t="n">
        <v>362330</v>
      </c>
      <c r="D994" t="inlineStr">
        <is>
          <t>2024-05-14 08:57:40</t>
        </is>
      </c>
      <c r="E994" t="inlineStr">
        <is>
          <t>2024-05-13 14:57:46</t>
        </is>
      </c>
      <c r="F994" t="inlineStr">
        <is>
          <t>666</t>
        </is>
      </c>
    </row>
    <row r="995">
      <c r="A995" t="inlineStr">
        <is>
          <t>PLAY-01 (Editable).xlsx</t>
        </is>
      </c>
      <c r="B995">
        <f>HYPERLINK("C:\Users\lmonroy\Tema\Optimización Hidrobiología\Origen\PLAY-01 (Editable).xlsx", "Link")</f>
        <v/>
      </c>
      <c r="C995" t="n">
        <v>180837</v>
      </c>
      <c r="D995" t="inlineStr">
        <is>
          <t>2024-05-14 08:57:42</t>
        </is>
      </c>
      <c r="E995" t="inlineStr">
        <is>
          <t>2024-05-13 14:57:46</t>
        </is>
      </c>
      <c r="F995" t="inlineStr">
        <is>
          <t>666</t>
        </is>
      </c>
    </row>
    <row r="996">
      <c r="A996" t="inlineStr">
        <is>
          <t>PLCR-01 (editable) v2.xlsx</t>
        </is>
      </c>
      <c r="B996">
        <f>HYPERLINK("C:\Users\lmonroy\Tema\Optimización Hidrobiología\Origen\PLCR-01 (editable) v2.xlsx", "Link")</f>
        <v/>
      </c>
      <c r="C996" t="n">
        <v>169849</v>
      </c>
      <c r="D996" t="inlineStr">
        <is>
          <t>2024-05-14 08:57:44</t>
        </is>
      </c>
      <c r="E996" t="inlineStr">
        <is>
          <t>2024-05-13 14:57:46</t>
        </is>
      </c>
      <c r="F996" t="inlineStr">
        <is>
          <t>666</t>
        </is>
      </c>
    </row>
    <row r="997">
      <c r="A997" t="inlineStr">
        <is>
          <t>ACASN3-SUB-02 (Cadena de custodia)v1.pdf</t>
        </is>
      </c>
      <c r="B997">
        <f>HYPERLINK("C:\Users\lmonroy\Tema\Optimización Hidrobiología\Otros\ACASN3-SUB-02 (Cadena de custodia)v1.pdf", "Link")</f>
        <v/>
      </c>
      <c r="C997" t="n">
        <v>161097</v>
      </c>
      <c r="D997" t="inlineStr">
        <is>
          <t>2024-04-16 10:45:58</t>
        </is>
      </c>
      <c r="E997" t="inlineStr">
        <is>
          <t>2024-05-13 11:06:19</t>
        </is>
      </c>
      <c r="F997" t="inlineStr">
        <is>
          <t>666</t>
        </is>
      </c>
    </row>
    <row r="998">
      <c r="A998" t="inlineStr">
        <is>
          <t>ACASN3-SUB-02 (Cadena de custodia)v1.xlsx</t>
        </is>
      </c>
      <c r="B998">
        <f>HYPERLINK("C:\Users\lmonroy\Tema\Optimización Hidrobiología\Otros\ACASN3-SUB-02 (Cadena de custodia)v1.xlsx", "Link")</f>
        <v/>
      </c>
      <c r="C998" t="n">
        <v>182994</v>
      </c>
      <c r="D998" t="inlineStr">
        <is>
          <t>2024-04-16 10:45:52</t>
        </is>
      </c>
      <c r="E998" t="inlineStr">
        <is>
          <t>2024-05-13 11:06:19</t>
        </is>
      </c>
      <c r="F998" t="inlineStr">
        <is>
          <t>666</t>
        </is>
      </c>
    </row>
    <row r="999">
      <c r="A999" t="inlineStr">
        <is>
          <t>ACASN3-SUB-02 (Ficha técnica).v1.pdf</t>
        </is>
      </c>
      <c r="B999">
        <f>HYPERLINK("C:\Users\lmonroy\Tema\Optimización Hidrobiología\Otros\ACASN3-SUB-02 (Ficha técnica).v1.pdf", "Link")</f>
        <v/>
      </c>
      <c r="C999" t="n">
        <v>280499</v>
      </c>
      <c r="D999" t="inlineStr">
        <is>
          <t>2024-04-16 16:16:11</t>
        </is>
      </c>
      <c r="E999" t="inlineStr">
        <is>
          <t>2024-05-13 11:06:19</t>
        </is>
      </c>
      <c r="F999" t="inlineStr">
        <is>
          <t>666</t>
        </is>
      </c>
    </row>
    <row r="1000">
      <c r="A1000" t="inlineStr">
        <is>
          <t>ACASN3-SUB-02 (Ficha técnica).v1.xlsx</t>
        </is>
      </c>
      <c r="B1000">
        <f>HYPERLINK("C:\Users\lmonroy\Tema\Optimización Hidrobiología\Otros\ACASN3-SUB-02 (Ficha técnica).v1.xlsx", "Link")</f>
        <v/>
      </c>
      <c r="C1000" t="n">
        <v>214174</v>
      </c>
      <c r="D1000" t="inlineStr">
        <is>
          <t>2024-04-04 18:02:23</t>
        </is>
      </c>
      <c r="E1000" t="inlineStr">
        <is>
          <t>2024-05-13 11:06:19</t>
        </is>
      </c>
      <c r="F1000" t="inlineStr">
        <is>
          <t>666</t>
        </is>
      </c>
    </row>
    <row r="1001">
      <c r="A1001" t="inlineStr">
        <is>
          <t>ACASN3-SUB-02 (Informe de ensayo NA) (1).xlsx</t>
        </is>
      </c>
      <c r="B1001">
        <f>HYPERLINK("C:\Users\lmonroy\Tema\Optimización Hidrobiología\Otros\ACASN3-SUB-02 (Informe de ensayo NA) (1).xlsx", "Link")</f>
        <v/>
      </c>
      <c r="C1001" t="n">
        <v>47593</v>
      </c>
      <c r="D1001" t="inlineStr">
        <is>
          <t>2024-04-29 18:46:26</t>
        </is>
      </c>
      <c r="E1001" t="inlineStr">
        <is>
          <t>2024-05-13 11:06:19</t>
        </is>
      </c>
      <c r="F1001" t="inlineStr">
        <is>
          <t>666</t>
        </is>
      </c>
    </row>
    <row r="1002">
      <c r="A1002" t="inlineStr">
        <is>
          <t>ACASN3-SUB-02 (Informe de ensayo).v4.xlsx</t>
        </is>
      </c>
      <c r="B1002">
        <f>HYPERLINK("C:\Users\lmonroy\Tema\Optimización Hidrobiología\Otros\ACASN3-SUB-02 (Informe de ensayo).v4.xlsx", "Link")</f>
        <v/>
      </c>
      <c r="C1002" t="n">
        <v>306734</v>
      </c>
      <c r="D1002" t="inlineStr">
        <is>
          <t>2024-04-29 18:43:53</t>
        </is>
      </c>
      <c r="E1002" t="inlineStr">
        <is>
          <t>2024-05-13 11:06:19</t>
        </is>
      </c>
      <c r="F1002" t="inlineStr">
        <is>
          <t>666</t>
        </is>
      </c>
    </row>
    <row r="1003">
      <c r="A1003" t="inlineStr">
        <is>
          <t>CCNN - DICIEMBFRE - TRANSFERENCIA.xls</t>
        </is>
      </c>
      <c r="B1003">
        <f>HYPERLINK("C:\Users\lmonroy\Tema\PAGOS\CCNN - DICIEMBFRE - TRANSFERENCIA.xls", "Link")</f>
        <v/>
      </c>
      <c r="C1003" t="n">
        <v>213504</v>
      </c>
      <c r="D1003" t="inlineStr">
        <is>
          <t>2023-12-29 23:09:04</t>
        </is>
      </c>
      <c r="E1003" t="inlineStr">
        <is>
          <t>2023-12-29 23:09:01</t>
        </is>
      </c>
      <c r="F1003" t="inlineStr">
        <is>
          <t>666</t>
        </is>
      </c>
    </row>
    <row r="1004">
      <c r="A1004" t="inlineStr">
        <is>
          <t>CCNN DICIEMBRE - TRANSFERENCIA - ADICIONAL.xlsm</t>
        </is>
      </c>
      <c r="B1004">
        <f>HYPERLINK("C:\Users\lmonroy\Tema\PAGOS\CCNN DICIEMBRE - TRANSFERENCIA - ADICIONAL.xlsm", "Link")</f>
        <v/>
      </c>
      <c r="C1004" t="n">
        <v>90059</v>
      </c>
      <c r="D1004" t="inlineStr">
        <is>
          <t>2023-12-29 20:36:27</t>
        </is>
      </c>
      <c r="E1004" t="inlineStr">
        <is>
          <t>2023-12-29 20:34:53</t>
        </is>
      </c>
      <c r="F1004" t="inlineStr">
        <is>
          <t>666</t>
        </is>
      </c>
    </row>
    <row r="1005">
      <c r="A1005" t="inlineStr">
        <is>
          <t>Excel_Haberes TLC.xls</t>
        </is>
      </c>
      <c r="B1005">
        <f>HYPERLINK("C:\Users\lmonroy\Tema\PAGOS\Excel_Haberes TLC.xls", "Link")</f>
        <v/>
      </c>
      <c r="C1005" t="n">
        <v>167936</v>
      </c>
      <c r="D1005" t="inlineStr">
        <is>
          <t>2023-12-29 19:10:31</t>
        </is>
      </c>
      <c r="E1005" t="inlineStr">
        <is>
          <t>2023-12-29 08:48:05</t>
        </is>
      </c>
      <c r="F1005" t="inlineStr">
        <is>
          <t>666</t>
        </is>
      </c>
    </row>
    <row r="1006">
      <c r="A1006" t="inlineStr">
        <is>
          <t>PAGO 1ERA QUINCENA ENERO 2024 CCNN.xlsx</t>
        </is>
      </c>
      <c r="B1006">
        <f>HYPERLINK("C:\Users\lmonroy\Tema\PAGOS\PAGO 1ERA QUINCENA ENERO 2024 CCNN.xlsx", "Link")</f>
        <v/>
      </c>
      <c r="C1006" t="n">
        <v>86999</v>
      </c>
      <c r="D1006" t="inlineStr">
        <is>
          <t>2024-01-22 11:10:13</t>
        </is>
      </c>
      <c r="E1006" t="inlineStr">
        <is>
          <t>2024-01-12 22:31:28</t>
        </is>
      </c>
      <c r="F1006" t="inlineStr">
        <is>
          <t>666</t>
        </is>
      </c>
    </row>
    <row r="1007">
      <c r="A1007" t="inlineStr">
        <is>
          <t>PAGO PLANILLA SEGUNDA QUINCENA DICIEMBRE.xlsx</t>
        </is>
      </c>
      <c r="B1007">
        <f>HYPERLINK("C:\Users\lmonroy\Tema\PAGOS\PAGO PLANILLA SEGUNDA QUINCENA DICIEMBRE.xlsx", "Link")</f>
        <v/>
      </c>
      <c r="C1007" t="n">
        <v>69614</v>
      </c>
      <c r="D1007" t="inlineStr">
        <is>
          <t>2023-12-28 09:11:09</t>
        </is>
      </c>
      <c r="E1007" t="inlineStr">
        <is>
          <t>2023-12-28 09:10:28</t>
        </is>
      </c>
      <c r="F1007" t="inlineStr">
        <is>
          <t>666</t>
        </is>
      </c>
    </row>
    <row r="1008">
      <c r="A1008" t="inlineStr">
        <is>
          <t>STAFF - DICIEMBRE - TRANSFERENCIA.xls</t>
        </is>
      </c>
      <c r="B1008">
        <f>HYPERLINK("C:\Users\lmonroy\Tema\PAGOS\STAFF - DICIEMBRE - TRANSFERENCIA.xls", "Link")</f>
        <v/>
      </c>
      <c r="C1008" t="n">
        <v>231936</v>
      </c>
      <c r="D1008" t="inlineStr">
        <is>
          <t>2023-12-29 20:19:24</t>
        </is>
      </c>
      <c r="E1008" t="inlineStr">
        <is>
          <t>2023-12-29 20:19:21</t>
        </is>
      </c>
      <c r="F1008" t="inlineStr">
        <is>
          <t>666</t>
        </is>
      </c>
    </row>
    <row r="1009">
      <c r="A1009" t="inlineStr">
        <is>
          <t>BoletasPDF01-15.rar</t>
        </is>
      </c>
      <c r="B1009">
        <f>HYPERLINK("C:\Users\lmonroy\Tema\PLANILLA\BoletasPDF01-15.rar", "Link")</f>
        <v/>
      </c>
      <c r="C1009" t="n">
        <v>19573036</v>
      </c>
      <c r="D1009" t="inlineStr">
        <is>
          <t>2024-03-18 16:51:42</t>
        </is>
      </c>
      <c r="E1009" t="inlineStr">
        <is>
          <t>2024-03-18 16:51:41</t>
        </is>
      </c>
      <c r="F1009" t="inlineStr">
        <is>
          <t>666</t>
        </is>
      </c>
    </row>
    <row r="1010">
      <c r="A1010" t="inlineStr">
        <is>
          <t>BoletasPDF16-31.rar</t>
        </is>
      </c>
      <c r="B1010">
        <f>HYPERLINK("C:\Users\lmonroy\Tema\PLANILLA\BoletasPDF16-31.rar", "Link")</f>
        <v/>
      </c>
      <c r="C1010" t="n">
        <v>31251012</v>
      </c>
      <c r="D1010" t="inlineStr">
        <is>
          <t>2024-03-18 16:55:06</t>
        </is>
      </c>
      <c r="E1010" t="inlineStr">
        <is>
          <t>2024-03-18 16:55:03</t>
        </is>
      </c>
      <c r="F1010" t="inlineStr">
        <is>
          <t>666</t>
        </is>
      </c>
    </row>
    <row r="1011">
      <c r="A1011" t="inlineStr">
        <is>
          <t>Copia de 62531 HHEE - FERIADOS_Efectivamente pagados.xlsx</t>
        </is>
      </c>
      <c r="B1011">
        <f>HYPERLINK("C:\Users\lmonroy\Tema\PLANILLA\Copia de 62531 HHEE - FERIADOS_Efectivamente pagados.xlsx", "Link")</f>
        <v/>
      </c>
      <c r="C1011" t="n">
        <v>198678</v>
      </c>
      <c r="D1011" t="inlineStr">
        <is>
          <t>2024-03-18 15:52:21</t>
        </is>
      </c>
      <c r="E1011" t="inlineStr">
        <is>
          <t>2024-03-18 15:52:20</t>
        </is>
      </c>
      <c r="F1011" t="inlineStr">
        <is>
          <t>666</t>
        </is>
      </c>
    </row>
    <row r="1012">
      <c r="A1012" t="inlineStr">
        <is>
          <t>PLLA SUELDO DICIEMBRE 2023 - CCNN - 1 - 15.xlsm</t>
        </is>
      </c>
      <c r="B1012">
        <f>HYPERLINK("C:\Users\lmonroy\Tema\PLANILLA\PLLA SUELDO DICIEMBRE 2023 - CCNN - 1 - 15.xlsm", "Link")</f>
        <v/>
      </c>
      <c r="C1012" t="n">
        <v>1909253</v>
      </c>
      <c r="D1012" t="inlineStr">
        <is>
          <t>2024-03-18 16:54:50</t>
        </is>
      </c>
      <c r="E1012" t="inlineStr">
        <is>
          <t>2024-03-18 15:46:10</t>
        </is>
      </c>
      <c r="F1012" t="inlineStr">
        <is>
          <t>666</t>
        </is>
      </c>
    </row>
    <row r="1013">
      <c r="A1013" t="inlineStr">
        <is>
          <t>PLLA SUELDO DICIEMBRE 2023 - CCNN - 16 - 31.xlsm</t>
        </is>
      </c>
      <c r="B1013">
        <f>HYPERLINK("C:\Users\lmonroy\Tema\PLANILLA\PLLA SUELDO DICIEMBRE 2023 - CCNN - 16 - 31.xlsm", "Link")</f>
        <v/>
      </c>
      <c r="C1013" t="n">
        <v>2190673</v>
      </c>
      <c r="D1013" t="inlineStr">
        <is>
          <t>2024-03-18 16:54:40</t>
        </is>
      </c>
      <c r="E1013" t="inlineStr">
        <is>
          <t>2024-03-18 15:46:10</t>
        </is>
      </c>
      <c r="F1013" t="inlineStr">
        <is>
          <t>666</t>
        </is>
      </c>
    </row>
    <row r="1014">
      <c r="A1014" t="inlineStr">
        <is>
          <t>PLLA SUELDO MARZO 2024 - CCNN.xlsm</t>
        </is>
      </c>
      <c r="B1014">
        <f>HYPERLINK("C:\Users\lmonroy\Tema\PLANILLA\PLLA SUELDO MARZO 2024 - CCNN.xlsm", "Link")</f>
        <v/>
      </c>
      <c r="C1014" t="n">
        <v>1827805</v>
      </c>
      <c r="D1014" t="inlineStr">
        <is>
          <t>2024-04-01 23:38:41</t>
        </is>
      </c>
      <c r="E1014" t="inlineStr">
        <is>
          <t>2024-03-15 11:52:26</t>
        </is>
      </c>
      <c r="F1014" t="inlineStr">
        <is>
          <t>666</t>
        </is>
      </c>
    </row>
    <row r="1015">
      <c r="A1015" t="inlineStr">
        <is>
          <t>RV 62531  Informe de sustento de HE y días feriados.msg</t>
        </is>
      </c>
      <c r="B1015">
        <f>HYPERLINK("C:\Users\lmonroy\Tema\PLANILLA\RV 62531  Informe de sustento de HE y días feriados.msg", "Link")</f>
        <v/>
      </c>
      <c r="C1015" t="n">
        <v>1703424</v>
      </c>
      <c r="D1015" t="inlineStr">
        <is>
          <t>2024-03-18 15:44:59</t>
        </is>
      </c>
      <c r="E1015" t="inlineStr">
        <is>
          <t>2024-03-18 15:44:58</t>
        </is>
      </c>
      <c r="F1015" t="inlineStr">
        <is>
          <t>666</t>
        </is>
      </c>
    </row>
    <row r="1016">
      <c r="A1016" t="inlineStr">
        <is>
          <t>AHUANARI ASPAJO JOSE  T0001015.pdf</t>
        </is>
      </c>
      <c r="B1016">
        <f>HYPERLINK("C:\Users\lmonroy\Tema\PLANILLA\BoletasPDF01-15\AHUANARI ASPAJO JOSE  T0001015.pdf", "Link")</f>
        <v/>
      </c>
      <c r="C1016" t="n">
        <v>134377</v>
      </c>
      <c r="D1016" t="inlineStr">
        <is>
          <t>2024-03-18 16:39:20</t>
        </is>
      </c>
      <c r="E1016" t="inlineStr">
        <is>
          <t>2024-03-18 16:39:20</t>
        </is>
      </c>
      <c r="F1016" t="inlineStr">
        <is>
          <t>666</t>
        </is>
      </c>
    </row>
    <row r="1017">
      <c r="A1017" t="inlineStr">
        <is>
          <t>AHUANARI MANAJO MILLER  T0001016.pdf</t>
        </is>
      </c>
      <c r="B1017">
        <f>HYPERLINK("C:\Users\lmonroy\Tema\PLANILLA\BoletasPDF01-15\AHUANARI MANAJO MILLER  T0001016.pdf", "Link")</f>
        <v/>
      </c>
      <c r="C1017" t="n">
        <v>134274</v>
      </c>
      <c r="D1017" t="inlineStr">
        <is>
          <t>2024-03-18 16:38:31</t>
        </is>
      </c>
      <c r="E1017" t="inlineStr">
        <is>
          <t>2024-03-18 16:38:31</t>
        </is>
      </c>
      <c r="F1017" t="inlineStr">
        <is>
          <t>666</t>
        </is>
      </c>
    </row>
    <row r="1018">
      <c r="A1018" t="inlineStr">
        <is>
          <t>AHUITE ARAHUATA JACOB  T0001017.pdf</t>
        </is>
      </c>
      <c r="B1018">
        <f>HYPERLINK("C:\Users\lmonroy\Tema\PLANILLA\BoletasPDF01-15\AHUITE ARAHUATA JACOB  T0001017.pdf", "Link")</f>
        <v/>
      </c>
      <c r="C1018" t="n">
        <v>134295</v>
      </c>
      <c r="D1018" t="inlineStr">
        <is>
          <t>2024-03-18 16:38:18</t>
        </is>
      </c>
      <c r="E1018" t="inlineStr">
        <is>
          <t>2024-03-18 16:38:18</t>
        </is>
      </c>
      <c r="F1018" t="inlineStr">
        <is>
          <t>666</t>
        </is>
      </c>
    </row>
    <row r="1019">
      <c r="A1019" t="inlineStr">
        <is>
          <t>AHUITE MANIZARI AGUSTIN T0001376.pdf</t>
        </is>
      </c>
      <c r="B1019">
        <f>HYPERLINK("C:\Users\lmonroy\Tema\PLANILLA\BoletasPDF01-15\AHUITE MANIZARI AGUSTIN T0001376.pdf", "Link")</f>
        <v/>
      </c>
      <c r="C1019" t="n">
        <v>134395</v>
      </c>
      <c r="D1019" t="inlineStr">
        <is>
          <t>2024-03-18 16:38:22</t>
        </is>
      </c>
      <c r="E1019" t="inlineStr">
        <is>
          <t>2024-03-18 16:38:22</t>
        </is>
      </c>
      <c r="F1019" t="inlineStr">
        <is>
          <t>666</t>
        </is>
      </c>
    </row>
    <row r="1020">
      <c r="A1020" t="inlineStr">
        <is>
          <t>AHUITE MANIZARI LUIS  T0001020.pdf</t>
        </is>
      </c>
      <c r="B1020">
        <f>HYPERLINK("C:\Users\lmonroy\Tema\PLANILLA\BoletasPDF01-15\AHUITE MANIZARI LUIS  T0001020.pdf", "Link")</f>
        <v/>
      </c>
      <c r="C1020" t="n">
        <v>134294</v>
      </c>
      <c r="D1020" t="inlineStr">
        <is>
          <t>2024-03-18 16:38:30</t>
        </is>
      </c>
      <c r="E1020" t="inlineStr">
        <is>
          <t>2024-03-18 16:38:30</t>
        </is>
      </c>
      <c r="F1020" t="inlineStr">
        <is>
          <t>666</t>
        </is>
      </c>
    </row>
    <row r="1021">
      <c r="A1021" t="inlineStr">
        <is>
          <t>AJEICATE ARAHUATE CELSO  T0001023.pdf</t>
        </is>
      </c>
      <c r="B1021">
        <f>HYPERLINK("C:\Users\lmonroy\Tema\PLANILLA\BoletasPDF01-15\AJEICATE ARAHUATE CELSO  T0001023.pdf", "Link")</f>
        <v/>
      </c>
      <c r="C1021" t="n">
        <v>134372</v>
      </c>
      <c r="D1021" t="inlineStr">
        <is>
          <t>2024-03-18 16:38:02</t>
        </is>
      </c>
      <c r="E1021" t="inlineStr">
        <is>
          <t>2024-03-18 16:38:02</t>
        </is>
      </c>
      <c r="F1021" t="inlineStr">
        <is>
          <t>666</t>
        </is>
      </c>
    </row>
    <row r="1022">
      <c r="A1022" t="inlineStr">
        <is>
          <t>AMARINGO NAVARRO GUNDER  T0001024.pdf</t>
        </is>
      </c>
      <c r="B1022">
        <f>HYPERLINK("C:\Users\lmonroy\Tema\PLANILLA\BoletasPDF01-15\AMARINGO NAVARRO GUNDER  T0001024.pdf", "Link")</f>
        <v/>
      </c>
      <c r="C1022" t="n">
        <v>134292</v>
      </c>
      <c r="D1022" t="inlineStr">
        <is>
          <t>2024-03-18 16:39:16</t>
        </is>
      </c>
      <c r="E1022" t="inlineStr">
        <is>
          <t>2024-03-18 16:39:16</t>
        </is>
      </c>
      <c r="F1022" t="inlineStr">
        <is>
          <t>666</t>
        </is>
      </c>
    </row>
    <row r="1023">
      <c r="A1023" t="inlineStr">
        <is>
          <t>AMARINGO RUIZ LUIS WIDER T0001025.pdf</t>
        </is>
      </c>
      <c r="B1023">
        <f>HYPERLINK("C:\Users\lmonroy\Tema\PLANILLA\BoletasPDF01-15\AMARINGO RUIZ LUIS WIDER T0001025.pdf", "Link")</f>
        <v/>
      </c>
      <c r="C1023" t="n">
        <v>134390</v>
      </c>
      <c r="D1023" t="inlineStr">
        <is>
          <t>2024-03-18 16:37:55</t>
        </is>
      </c>
      <c r="E1023" t="inlineStr">
        <is>
          <t>2024-03-18 16:37:55</t>
        </is>
      </c>
      <c r="F1023" t="inlineStr">
        <is>
          <t>666</t>
        </is>
      </c>
    </row>
    <row r="1024">
      <c r="A1024" t="inlineStr">
        <is>
          <t>AMARINGO VASQUEZ DIRSEO  T0001026.pdf</t>
        </is>
      </c>
      <c r="B1024">
        <f>HYPERLINK("C:\Users\lmonroy\Tema\PLANILLA\BoletasPDF01-15\AMARINGO VASQUEZ DIRSEO  T0001026.pdf", "Link")</f>
        <v/>
      </c>
      <c r="C1024" t="n">
        <v>134377</v>
      </c>
      <c r="D1024" t="inlineStr">
        <is>
          <t>2024-03-18 16:39:27</t>
        </is>
      </c>
      <c r="E1024" t="inlineStr">
        <is>
          <t>2024-03-18 16:39:27</t>
        </is>
      </c>
      <c r="F1024" t="inlineStr">
        <is>
          <t>666</t>
        </is>
      </c>
    </row>
    <row r="1025">
      <c r="A1025" t="inlineStr">
        <is>
          <t>ANDRADE NUÑEZ ARTI LEO T0001456.pdf</t>
        </is>
      </c>
      <c r="B1025">
        <f>HYPERLINK("C:\Users\lmonroy\Tema\PLANILLA\BoletasPDF01-15\ANDRADE NUÑEZ ARTI LEO T0001456.pdf", "Link")</f>
        <v/>
      </c>
      <c r="C1025" t="n">
        <v>134390</v>
      </c>
      <c r="D1025" t="inlineStr">
        <is>
          <t>2024-03-18 16:38:48</t>
        </is>
      </c>
      <c r="E1025" t="inlineStr">
        <is>
          <t>2024-03-18 16:38:48</t>
        </is>
      </c>
      <c r="F1025" t="inlineStr">
        <is>
          <t>666</t>
        </is>
      </c>
    </row>
    <row r="1026">
      <c r="A1026" t="inlineStr">
        <is>
          <t>ARAHUATA AHUITE ARMANDO  T0001027.pdf</t>
        </is>
      </c>
      <c r="B1026">
        <f>HYPERLINK("C:\Users\lmonroy\Tema\PLANILLA\BoletasPDF01-15\ARAHUATA AHUITE ARMANDO  T0001027.pdf", "Link")</f>
        <v/>
      </c>
      <c r="C1026" t="n">
        <v>134295</v>
      </c>
      <c r="D1026" t="inlineStr">
        <is>
          <t>2024-03-18 16:39:07</t>
        </is>
      </c>
      <c r="E1026" t="inlineStr">
        <is>
          <t>2024-03-18 16:39:07</t>
        </is>
      </c>
      <c r="F1026" t="inlineStr">
        <is>
          <t>666</t>
        </is>
      </c>
    </row>
    <row r="1027">
      <c r="A1027" t="inlineStr">
        <is>
          <t>ARAHUATA AHUITE JACOB  T0001028.pdf</t>
        </is>
      </c>
      <c r="B1027">
        <f>HYPERLINK("C:\Users\lmonroy\Tema\PLANILLA\BoletasPDF01-15\ARAHUATA AHUITE JACOB  T0001028.pdf", "Link")</f>
        <v/>
      </c>
      <c r="C1027" t="n">
        <v>134388</v>
      </c>
      <c r="D1027" t="inlineStr">
        <is>
          <t>2024-03-18 16:38:47</t>
        </is>
      </c>
      <c r="E1027" t="inlineStr">
        <is>
          <t>2024-03-18 16:38:47</t>
        </is>
      </c>
      <c r="F1027" t="inlineStr">
        <is>
          <t>666</t>
        </is>
      </c>
    </row>
    <row r="1028">
      <c r="A1028" t="inlineStr">
        <is>
          <t>ARAHUATA AHUITE JUAN  T0001029.pdf</t>
        </is>
      </c>
      <c r="B1028">
        <f>HYPERLINK("C:\Users\lmonroy\Tema\PLANILLA\BoletasPDF01-15\ARAHUATA AHUITE JUAN  T0001029.pdf", "Link")</f>
        <v/>
      </c>
      <c r="C1028" t="n">
        <v>134385</v>
      </c>
      <c r="D1028" t="inlineStr">
        <is>
          <t>2024-03-18 16:37:50</t>
        </is>
      </c>
      <c r="E1028" t="inlineStr">
        <is>
          <t>2024-03-18 16:37:50</t>
        </is>
      </c>
      <c r="F1028" t="inlineStr">
        <is>
          <t>666</t>
        </is>
      </c>
    </row>
    <row r="1029">
      <c r="A1029" t="inlineStr">
        <is>
          <t>ARAHUATA VELA ELIAS  T0001030.pdf</t>
        </is>
      </c>
      <c r="B1029">
        <f>HYPERLINK("C:\Users\lmonroy\Tema\PLANILLA\BoletasPDF01-15\ARAHUATA VELA ELIAS  T0001030.pdf", "Link")</f>
        <v/>
      </c>
      <c r="C1029" t="n">
        <v>134293</v>
      </c>
      <c r="D1029" t="inlineStr">
        <is>
          <t>2024-03-18 16:38:28</t>
        </is>
      </c>
      <c r="E1029" t="inlineStr">
        <is>
          <t>2024-03-18 16:38:28</t>
        </is>
      </c>
      <c r="F1029" t="inlineStr">
        <is>
          <t>666</t>
        </is>
      </c>
    </row>
    <row r="1030">
      <c r="A1030" t="inlineStr">
        <is>
          <t>ARAHUATE AHUITE SALOMON  T0001031.pdf</t>
        </is>
      </c>
      <c r="B1030">
        <f>HYPERLINK("C:\Users\lmonroy\Tema\PLANILLA\BoletasPDF01-15\ARAHUATE AHUITE SALOMON  T0001031.pdf", "Link")</f>
        <v/>
      </c>
      <c r="C1030" t="n">
        <v>134302</v>
      </c>
      <c r="D1030" t="inlineStr">
        <is>
          <t>2024-03-18 16:38:10</t>
        </is>
      </c>
      <c r="E1030" t="inlineStr">
        <is>
          <t>2024-03-18 16:38:10</t>
        </is>
      </c>
      <c r="F1030" t="inlineStr">
        <is>
          <t>666</t>
        </is>
      </c>
    </row>
    <row r="1031">
      <c r="A1031" t="inlineStr">
        <is>
          <t>ARAHUATE INUMA JOSE  T0001032.pdf</t>
        </is>
      </c>
      <c r="B1031">
        <f>HYPERLINK("C:\Users\lmonroy\Tema\PLANILLA\BoletasPDF01-15\ARAHUATE INUMA JOSE  T0001032.pdf", "Link")</f>
        <v/>
      </c>
      <c r="C1031" t="n">
        <v>134294</v>
      </c>
      <c r="D1031" t="inlineStr">
        <is>
          <t>2024-03-18 16:38:21</t>
        </is>
      </c>
      <c r="E1031" t="inlineStr">
        <is>
          <t>2024-03-18 16:38:21</t>
        </is>
      </c>
      <c r="F1031" t="inlineStr">
        <is>
          <t>666</t>
        </is>
      </c>
    </row>
    <row r="1032">
      <c r="A1032" t="inlineStr">
        <is>
          <t>ARIRAMA CANAQUIRI OCTAVIO T0001464.pdf</t>
        </is>
      </c>
      <c r="B1032">
        <f>HYPERLINK("C:\Users\lmonroy\Tema\PLANILLA\BoletasPDF01-15\ARIRAMA CANAQUIRI OCTAVIO T0001464.pdf", "Link")</f>
        <v/>
      </c>
      <c r="C1032" t="n">
        <v>134295</v>
      </c>
      <c r="D1032" t="inlineStr">
        <is>
          <t>2024-03-18 16:39:05</t>
        </is>
      </c>
      <c r="E1032" t="inlineStr">
        <is>
          <t>2024-03-18 16:39:05</t>
        </is>
      </c>
      <c r="F1032" t="inlineStr">
        <is>
          <t>666</t>
        </is>
      </c>
    </row>
    <row r="1033">
      <c r="A1033" t="inlineStr">
        <is>
          <t>ARIRAMA DOÑE FRANCISCO JAVIER T0001033.pdf</t>
        </is>
      </c>
      <c r="B1033">
        <f>HYPERLINK("C:\Users\lmonroy\Tema\PLANILLA\BoletasPDF01-15\ARIRAMA DOÑE FRANCISCO JAVIER T0001033.pdf", "Link")</f>
        <v/>
      </c>
      <c r="C1033" t="n">
        <v>134290</v>
      </c>
      <c r="D1033" t="inlineStr">
        <is>
          <t>2024-03-18 16:38:55</t>
        </is>
      </c>
      <c r="E1033" t="inlineStr">
        <is>
          <t>2024-03-18 16:38:55</t>
        </is>
      </c>
      <c r="F1033" t="inlineStr">
        <is>
          <t>666</t>
        </is>
      </c>
    </row>
    <row r="1034">
      <c r="A1034" t="inlineStr">
        <is>
          <t>ARIRAMA SANDI FELIX T0001440.pdf</t>
        </is>
      </c>
      <c r="B1034">
        <f>HYPERLINK("C:\Users\lmonroy\Tema\PLANILLA\BoletasPDF01-15\ARIRAMA SANDI FELIX T0001440.pdf", "Link")</f>
        <v/>
      </c>
      <c r="C1034" t="n">
        <v>134382</v>
      </c>
      <c r="D1034" t="inlineStr">
        <is>
          <t>2024-03-18 16:38:11</t>
        </is>
      </c>
      <c r="E1034" t="inlineStr">
        <is>
          <t>2024-03-18 16:38:11</t>
        </is>
      </c>
      <c r="F1034" t="inlineStr">
        <is>
          <t>666</t>
        </is>
      </c>
    </row>
    <row r="1035">
      <c r="A1035" t="inlineStr">
        <is>
          <t>AYAMBO IJUMA FRANK DUX T0001035.pdf</t>
        </is>
      </c>
      <c r="B1035">
        <f>HYPERLINK("C:\Users\lmonroy\Tema\PLANILLA\BoletasPDF01-15\AYAMBO IJUMA FRANK DUX T0001035.pdf", "Link")</f>
        <v/>
      </c>
      <c r="C1035" t="n">
        <v>134301</v>
      </c>
      <c r="D1035" t="inlineStr">
        <is>
          <t>2024-03-18 16:39:26</t>
        </is>
      </c>
      <c r="E1035" t="inlineStr">
        <is>
          <t>2024-03-18 16:39:26</t>
        </is>
      </c>
      <c r="F1035" t="inlineStr">
        <is>
          <t>666</t>
        </is>
      </c>
    </row>
    <row r="1036">
      <c r="A1036" t="inlineStr">
        <is>
          <t>AYAMBO IJUMA JARRY  T0001036.pdf</t>
        </is>
      </c>
      <c r="B1036">
        <f>HYPERLINK("C:\Users\lmonroy\Tema\PLANILLA\BoletasPDF01-15\AYAMBO IJUMA JARRY  T0001036.pdf", "Link")</f>
        <v/>
      </c>
      <c r="C1036" t="n">
        <v>134396</v>
      </c>
      <c r="D1036" t="inlineStr">
        <is>
          <t>2024-03-18 16:38:16</t>
        </is>
      </c>
      <c r="E1036" t="inlineStr">
        <is>
          <t>2024-03-18 16:38:16</t>
        </is>
      </c>
      <c r="F1036" t="inlineStr">
        <is>
          <t>666</t>
        </is>
      </c>
    </row>
    <row r="1037">
      <c r="A1037" t="inlineStr">
        <is>
          <t>AYAMBO TORRES MANUEL  T0001037.pdf</t>
        </is>
      </c>
      <c r="B1037">
        <f>HYPERLINK("C:\Users\lmonroy\Tema\PLANILLA\BoletasPDF01-15\AYAMBO TORRES MANUEL  T0001037.pdf", "Link")</f>
        <v/>
      </c>
      <c r="C1037" t="n">
        <v>134292</v>
      </c>
      <c r="D1037" t="inlineStr">
        <is>
          <t>2024-03-18 16:39:15</t>
        </is>
      </c>
      <c r="E1037" t="inlineStr">
        <is>
          <t>2024-03-18 16:39:15</t>
        </is>
      </c>
      <c r="F1037" t="inlineStr">
        <is>
          <t>666</t>
        </is>
      </c>
    </row>
    <row r="1038">
      <c r="A1038" t="inlineStr">
        <is>
          <t>BARDALES CLEMENTE  GILBERTO  T0001038.pdf</t>
        </is>
      </c>
      <c r="B1038">
        <f>HYPERLINK("C:\Users\lmonroy\Tema\PLANILLA\BoletasPDF01-15\BARDALES CLEMENTE  GILBERTO  T0001038.pdf", "Link")</f>
        <v/>
      </c>
      <c r="C1038" t="n">
        <v>134274</v>
      </c>
      <c r="D1038" t="inlineStr">
        <is>
          <t>2024-03-18 16:39:31</t>
        </is>
      </c>
      <c r="E1038" t="inlineStr">
        <is>
          <t>2024-03-18 16:39:31</t>
        </is>
      </c>
      <c r="F1038" t="inlineStr">
        <is>
          <t>666</t>
        </is>
      </c>
    </row>
    <row r="1039">
      <c r="A1039" t="inlineStr">
        <is>
          <t>BARDALES OJAICURO GERSON  T0001040.pdf</t>
        </is>
      </c>
      <c r="B1039">
        <f>HYPERLINK("C:\Users\lmonroy\Tema\PLANILLA\BoletasPDF01-15\BARDALES OJAICURO GERSON  T0001040.pdf", "Link")</f>
        <v/>
      </c>
      <c r="C1039" t="n">
        <v>134280</v>
      </c>
      <c r="D1039" t="inlineStr">
        <is>
          <t>2024-03-18 16:39:32</t>
        </is>
      </c>
      <c r="E1039" t="inlineStr">
        <is>
          <t>2024-03-18 16:39:32</t>
        </is>
      </c>
      <c r="F1039" t="inlineStr">
        <is>
          <t>666</t>
        </is>
      </c>
    </row>
    <row r="1040">
      <c r="A1040" t="inlineStr">
        <is>
          <t>BARDALES PEREZ RISTER AROYO T0001041.pdf</t>
        </is>
      </c>
      <c r="B1040">
        <f>HYPERLINK("C:\Users\lmonroy\Tema\PLANILLA\BoletasPDF01-15\BARDALES PEREZ RISTER AROYO T0001041.pdf", "Link")</f>
        <v/>
      </c>
      <c r="C1040" t="n">
        <v>134287</v>
      </c>
      <c r="D1040" t="inlineStr">
        <is>
          <t>2024-03-18 16:39:28</t>
        </is>
      </c>
      <c r="E1040" t="inlineStr">
        <is>
          <t>2024-03-18 16:39:28</t>
        </is>
      </c>
      <c r="F1040" t="inlineStr">
        <is>
          <t>666</t>
        </is>
      </c>
    </row>
    <row r="1041">
      <c r="A1041" t="inlineStr">
        <is>
          <t>BARDALES RODRIGUEZ CLEISEN T0001447.pdf</t>
        </is>
      </c>
      <c r="B1041">
        <f>HYPERLINK("C:\Users\lmonroy\Tema\PLANILLA\BoletasPDF01-15\BARDALES RODRIGUEZ CLEISEN T0001447.pdf", "Link")</f>
        <v/>
      </c>
      <c r="C1041" t="n">
        <v>134295</v>
      </c>
      <c r="D1041" t="inlineStr">
        <is>
          <t>2024-03-18 16:38:24</t>
        </is>
      </c>
      <c r="E1041" t="inlineStr">
        <is>
          <t>2024-03-18 16:38:24</t>
        </is>
      </c>
      <c r="F1041" t="inlineStr">
        <is>
          <t>666</t>
        </is>
      </c>
    </row>
    <row r="1042">
      <c r="A1042" t="inlineStr">
        <is>
          <t>BARDALES SANCHEZ BRALIN T0001442.pdf</t>
        </is>
      </c>
      <c r="B1042">
        <f>HYPERLINK("C:\Users\lmonroy\Tema\PLANILLA\BoletasPDF01-15\BARDALES SANCHEZ BRALIN T0001442.pdf", "Link")</f>
        <v/>
      </c>
      <c r="C1042" t="n">
        <v>134382</v>
      </c>
      <c r="D1042" t="inlineStr">
        <is>
          <t>2024-03-18 16:38:15</t>
        </is>
      </c>
      <c r="E1042" t="inlineStr">
        <is>
          <t>2024-03-18 16:38:15</t>
        </is>
      </c>
      <c r="F1042" t="inlineStr">
        <is>
          <t>666</t>
        </is>
      </c>
    </row>
    <row r="1043">
      <c r="A1043" t="inlineStr">
        <is>
          <t>BARDALES SANCHEZ JACME JHORDAN T0001043.pdf</t>
        </is>
      </c>
      <c r="B1043">
        <f>HYPERLINK("C:\Users\lmonroy\Tema\PLANILLA\BoletasPDF01-15\BARDALES SANCHEZ JACME JHORDAN T0001043.pdf", "Link")</f>
        <v/>
      </c>
      <c r="C1043" t="n">
        <v>134295</v>
      </c>
      <c r="D1043" t="inlineStr">
        <is>
          <t>2024-03-18 16:38:52</t>
        </is>
      </c>
      <c r="E1043" t="inlineStr">
        <is>
          <t>2024-03-18 16:38:52</t>
        </is>
      </c>
      <c r="F1043" t="inlineStr">
        <is>
          <t>666</t>
        </is>
      </c>
    </row>
    <row r="1044">
      <c r="A1044" t="inlineStr">
        <is>
          <t>CACERES BRENIS ESLANDER ALFREDO T0001044.pdf</t>
        </is>
      </c>
      <c r="B1044">
        <f>HYPERLINK("C:\Users\lmonroy\Tema\PLANILLA\BoletasPDF01-15\CACERES BRENIS ESLANDER ALFREDO T0001044.pdf", "Link")</f>
        <v/>
      </c>
      <c r="C1044" t="n">
        <v>134276</v>
      </c>
      <c r="D1044" t="inlineStr">
        <is>
          <t>2024-03-18 16:38:52</t>
        </is>
      </c>
      <c r="E1044" t="inlineStr">
        <is>
          <t>2024-03-18 16:38:52</t>
        </is>
      </c>
      <c r="F1044" t="inlineStr">
        <is>
          <t>666</t>
        </is>
      </c>
    </row>
    <row r="1045">
      <c r="A1045" t="inlineStr">
        <is>
          <t>CAHUAZA IRARICA EXAR  T0001047.pdf</t>
        </is>
      </c>
      <c r="B1045">
        <f>HYPERLINK("C:\Users\lmonroy\Tema\PLANILLA\BoletasPDF01-15\CAHUAZA IRARICA EXAR  T0001047.pdf", "Link")</f>
        <v/>
      </c>
      <c r="C1045" t="n">
        <v>134369</v>
      </c>
      <c r="D1045" t="inlineStr">
        <is>
          <t>2024-03-18 16:38:34</t>
        </is>
      </c>
      <c r="E1045" t="inlineStr">
        <is>
          <t>2024-03-18 16:38:34</t>
        </is>
      </c>
      <c r="F1045" t="inlineStr">
        <is>
          <t>666</t>
        </is>
      </c>
    </row>
    <row r="1046">
      <c r="A1046" t="inlineStr">
        <is>
          <t>CAHUAZA MURAYARI NIXON  T0001048.pdf</t>
        </is>
      </c>
      <c r="B1046">
        <f>HYPERLINK("C:\Users\lmonroy\Tema\PLANILLA\BoletasPDF01-15\CAHUAZA MURAYARI NIXON  T0001048.pdf", "Link")</f>
        <v/>
      </c>
      <c r="C1046" t="n">
        <v>134387</v>
      </c>
      <c r="D1046" t="inlineStr">
        <is>
          <t>2024-03-18 16:38:06</t>
        </is>
      </c>
      <c r="E1046" t="inlineStr">
        <is>
          <t>2024-03-18 16:38:06</t>
        </is>
      </c>
      <c r="F1046" t="inlineStr">
        <is>
          <t>666</t>
        </is>
      </c>
    </row>
    <row r="1047">
      <c r="A1047" t="inlineStr">
        <is>
          <t>CARDENAS VALLES LUIS HOMERO T0001049.pdf</t>
        </is>
      </c>
      <c r="B1047">
        <f>HYPERLINK("C:\Users\lmonroy\Tema\PLANILLA\BoletasPDF01-15\CARDENAS VALLES LUIS HOMERO T0001049.pdf", "Link")</f>
        <v/>
      </c>
      <c r="C1047" t="n">
        <v>134394</v>
      </c>
      <c r="D1047" t="inlineStr">
        <is>
          <t>2024-03-18 16:37:47</t>
        </is>
      </c>
      <c r="E1047" t="inlineStr">
        <is>
          <t>2024-03-18 16:37:47</t>
        </is>
      </c>
      <c r="F1047" t="inlineStr">
        <is>
          <t>666</t>
        </is>
      </c>
    </row>
    <row r="1048">
      <c r="A1048" t="inlineStr">
        <is>
          <t>CARIHUASAIRO CHARPENTIER CHRISTIAN CANY T0001050.pdf</t>
        </is>
      </c>
      <c r="B1048">
        <f>HYPERLINK("C:\Users\lmonroy\Tema\PLANILLA\BoletasPDF01-15\CARIHUASAIRO CHARPENTIER CHRISTIAN CANY T0001050.pdf", "Link")</f>
        <v/>
      </c>
      <c r="C1048" t="n">
        <v>134401</v>
      </c>
      <c r="D1048" t="inlineStr">
        <is>
          <t>2024-03-18 16:38:37</t>
        </is>
      </c>
      <c r="E1048" t="inlineStr">
        <is>
          <t>2024-03-18 16:38:37</t>
        </is>
      </c>
      <c r="F1048" t="inlineStr">
        <is>
          <t>666</t>
        </is>
      </c>
    </row>
    <row r="1049">
      <c r="A1049" t="inlineStr">
        <is>
          <t>CARIHUASAIRO TARICUARIMA MOISES  T0001051.pdf</t>
        </is>
      </c>
      <c r="B1049">
        <f>HYPERLINK("C:\Users\lmonroy\Tema\PLANILLA\BoletasPDF01-15\CARIHUASAIRO TARICUARIMA MOISES  T0001051.pdf", "Link")</f>
        <v/>
      </c>
      <c r="C1049" t="n">
        <v>134394</v>
      </c>
      <c r="D1049" t="inlineStr">
        <is>
          <t>2024-03-18 16:37:53</t>
        </is>
      </c>
      <c r="E1049" t="inlineStr">
        <is>
          <t>2024-03-18 16:37:53</t>
        </is>
      </c>
      <c r="F1049" t="inlineStr">
        <is>
          <t>666</t>
        </is>
      </c>
    </row>
    <row r="1050">
      <c r="A1050" t="inlineStr">
        <is>
          <t>CASTAÑON MACUSI WILSON  T0001053.pdf</t>
        </is>
      </c>
      <c r="B1050">
        <f>HYPERLINK("C:\Users\lmonroy\Tema\PLANILLA\BoletasPDF01-15\CASTAÑON MACUSI WILSON  T0001053.pdf", "Link")</f>
        <v/>
      </c>
      <c r="C1050" t="n">
        <v>134400</v>
      </c>
      <c r="D1050" t="inlineStr">
        <is>
          <t>2024-03-18 16:39:32</t>
        </is>
      </c>
      <c r="E1050" t="inlineStr">
        <is>
          <t>2024-03-18 16:39:32</t>
        </is>
      </c>
      <c r="F1050" t="inlineStr">
        <is>
          <t>666</t>
        </is>
      </c>
    </row>
    <row r="1051">
      <c r="A1051" t="inlineStr">
        <is>
          <t>CAYNAMARI MURAYARI RUSBEL ERIBERTO T0001054.pdf</t>
        </is>
      </c>
      <c r="B1051">
        <f>HYPERLINK("C:\Users\lmonroy\Tema\PLANILLA\BoletasPDF01-15\CAYNAMARI MURAYARI RUSBEL ERIBERTO T0001054.pdf", "Link")</f>
        <v/>
      </c>
      <c r="C1051" t="n">
        <v>134301</v>
      </c>
      <c r="D1051" t="inlineStr">
        <is>
          <t>2024-03-18 16:38:19</t>
        </is>
      </c>
      <c r="E1051" t="inlineStr">
        <is>
          <t>2024-03-18 16:38:19</t>
        </is>
      </c>
      <c r="F1051" t="inlineStr">
        <is>
          <t>666</t>
        </is>
      </c>
    </row>
    <row r="1052">
      <c r="A1052" t="inlineStr">
        <is>
          <t>CHARPENTIER MURAYARI REIMER T0001444.pdf</t>
        </is>
      </c>
      <c r="B1052">
        <f>HYPERLINK("C:\Users\lmonroy\Tema\PLANILLA\BoletasPDF01-15\CHARPENTIER MURAYARI REIMER T0001444.pdf", "Link")</f>
        <v/>
      </c>
      <c r="C1052" t="n">
        <v>134300</v>
      </c>
      <c r="D1052" t="inlineStr">
        <is>
          <t>2024-03-18 16:38:17</t>
        </is>
      </c>
      <c r="E1052" t="inlineStr">
        <is>
          <t>2024-03-18 16:38:17</t>
        </is>
      </c>
      <c r="F1052" t="inlineStr">
        <is>
          <t>666</t>
        </is>
      </c>
    </row>
    <row r="1053">
      <c r="A1053" t="inlineStr">
        <is>
          <t>CHARPENTIER ZAIRO JORGE T0001373.pdf</t>
        </is>
      </c>
      <c r="B1053">
        <f>HYPERLINK("C:\Users\lmonroy\Tema\PLANILLA\BoletasPDF01-15\CHARPENTIER ZAIRO JORGE T0001373.pdf", "Link")</f>
        <v/>
      </c>
      <c r="C1053" t="n">
        <v>134367</v>
      </c>
      <c r="D1053" t="inlineStr">
        <is>
          <t>2024-03-18 16:40:31</t>
        </is>
      </c>
      <c r="E1053" t="inlineStr">
        <is>
          <t>2024-03-18 16:40:31</t>
        </is>
      </c>
      <c r="F1053" t="inlineStr">
        <is>
          <t>666</t>
        </is>
      </c>
    </row>
    <row r="1054">
      <c r="A1054" t="inlineStr">
        <is>
          <t>CHAVEZ TECO SEGUNDO TEOBALDO T0001055.pdf</t>
        </is>
      </c>
      <c r="B1054">
        <f>HYPERLINK("C:\Users\lmonroy\Tema\PLANILLA\BoletasPDF01-15\CHAVEZ TECO SEGUNDO TEOBALDO T0001055.pdf", "Link")</f>
        <v/>
      </c>
      <c r="C1054" t="n">
        <v>134373</v>
      </c>
      <c r="D1054" t="inlineStr">
        <is>
          <t>2024-03-18 16:39:33</t>
        </is>
      </c>
      <c r="E1054" t="inlineStr">
        <is>
          <t>2024-03-18 16:39:33</t>
        </is>
      </c>
      <c r="F1054" t="inlineStr">
        <is>
          <t>666</t>
        </is>
      </c>
    </row>
    <row r="1055">
      <c r="A1055" t="inlineStr">
        <is>
          <t>CHAVEZ VIENA FRANK JOEL T0001056.pdf</t>
        </is>
      </c>
      <c r="B1055">
        <f>HYPERLINK("C:\Users\lmonroy\Tema\PLANILLA\BoletasPDF01-15\CHAVEZ VIENA FRANK JOEL T0001056.pdf", "Link")</f>
        <v/>
      </c>
      <c r="C1055" t="n">
        <v>134281</v>
      </c>
      <c r="D1055" t="inlineStr">
        <is>
          <t>2024-03-18 16:39:34</t>
        </is>
      </c>
      <c r="E1055" t="inlineStr">
        <is>
          <t>2024-03-18 16:39:34</t>
        </is>
      </c>
      <c r="F1055" t="inlineStr">
        <is>
          <t>666</t>
        </is>
      </c>
    </row>
    <row r="1056">
      <c r="A1056" t="inlineStr">
        <is>
          <t>CHOTA HUALINGA JOSE  T0001439.pdf</t>
        </is>
      </c>
      <c r="B1056">
        <f>HYPERLINK("C:\Users\lmonroy\Tema\PLANILLA\BoletasPDF01-15\CHOTA HUALINGA JOSE  T0001439.pdf", "Link")</f>
        <v/>
      </c>
      <c r="C1056" t="n">
        <v>134287</v>
      </c>
      <c r="D1056" t="inlineStr">
        <is>
          <t>2024-03-18 16:38:08</t>
        </is>
      </c>
      <c r="E1056" t="inlineStr">
        <is>
          <t>2024-03-18 16:38:08</t>
        </is>
      </c>
      <c r="F1056" t="inlineStr">
        <is>
          <t>666</t>
        </is>
      </c>
    </row>
    <row r="1057">
      <c r="A1057" t="inlineStr">
        <is>
          <t>CHOTA NURIBE RICARDO T0001432.pdf</t>
        </is>
      </c>
      <c r="B1057">
        <f>HYPERLINK("C:\Users\lmonroy\Tema\PLANILLA\BoletasPDF01-15\CHOTA NURIBE RICARDO T0001432.pdf", "Link")</f>
        <v/>
      </c>
      <c r="C1057" t="n">
        <v>134287</v>
      </c>
      <c r="D1057" t="inlineStr">
        <is>
          <t>2024-03-18 16:37:52</t>
        </is>
      </c>
      <c r="E1057" t="inlineStr">
        <is>
          <t>2024-03-18 16:37:52</t>
        </is>
      </c>
      <c r="F1057" t="inlineStr">
        <is>
          <t>666</t>
        </is>
      </c>
    </row>
    <row r="1058">
      <c r="A1058" t="inlineStr">
        <is>
          <t>CHOTA NURIBE SEGUNDO JOSE  T0001441.pdf</t>
        </is>
      </c>
      <c r="B1058">
        <f>HYPERLINK("C:\Users\lmonroy\Tema\PLANILLA\BoletasPDF01-15\CHOTA NURIBE SEGUNDO JOSE  T0001441.pdf", "Link")</f>
        <v/>
      </c>
      <c r="C1058" t="n">
        <v>134388</v>
      </c>
      <c r="D1058" t="inlineStr">
        <is>
          <t>2024-03-18 16:38:12</t>
        </is>
      </c>
      <c r="E1058" t="inlineStr">
        <is>
          <t>2024-03-18 16:38:12</t>
        </is>
      </c>
      <c r="F1058" t="inlineStr">
        <is>
          <t>666</t>
        </is>
      </c>
    </row>
    <row r="1059">
      <c r="A1059" t="inlineStr">
        <is>
          <t>CHUMBE SABOYA VICTOR  T0001058.pdf</t>
        </is>
      </c>
      <c r="B1059">
        <f>HYPERLINK("C:\Users\lmonroy\Tema\PLANILLA\BoletasPDF01-15\CHUMBE SABOYA VICTOR  T0001058.pdf", "Link")</f>
        <v/>
      </c>
      <c r="C1059" t="n">
        <v>134388</v>
      </c>
      <c r="D1059" t="inlineStr">
        <is>
          <t>2024-03-18 16:39:01</t>
        </is>
      </c>
      <c r="E1059" t="inlineStr">
        <is>
          <t>2024-03-18 16:39:01</t>
        </is>
      </c>
      <c r="F1059" t="inlineStr">
        <is>
          <t>666</t>
        </is>
      </c>
    </row>
    <row r="1060">
      <c r="A1060" t="inlineStr">
        <is>
          <t>CLEMENTE SANGAMA MANUEL  T0001059.pdf</t>
        </is>
      </c>
      <c r="B1060">
        <f>HYPERLINK("C:\Users\lmonroy\Tema\PLANILLA\BoletasPDF01-15\CLEMENTE SANGAMA MANUEL  T0001059.pdf", "Link")</f>
        <v/>
      </c>
      <c r="C1060" t="n">
        <v>134271</v>
      </c>
      <c r="D1060" t="inlineStr">
        <is>
          <t>2024-03-18 16:38:03</t>
        </is>
      </c>
      <c r="E1060" t="inlineStr">
        <is>
          <t>2024-03-18 16:38:03</t>
        </is>
      </c>
      <c r="F1060" t="inlineStr">
        <is>
          <t>666</t>
        </is>
      </c>
    </row>
    <row r="1061">
      <c r="A1061" t="inlineStr">
        <is>
          <t>CLEMENTE TARICUARIMA JOSE  T0001060.pdf</t>
        </is>
      </c>
      <c r="B1061">
        <f>HYPERLINK("C:\Users\lmonroy\Tema\PLANILLA\BoletasPDF01-15\CLEMENTE TARICUARIMA JOSE  T0001060.pdf", "Link")</f>
        <v/>
      </c>
      <c r="C1061" t="n">
        <v>134292</v>
      </c>
      <c r="D1061" t="inlineStr">
        <is>
          <t>2024-03-18 16:39:35</t>
        </is>
      </c>
      <c r="E1061" t="inlineStr">
        <is>
          <t>2024-03-18 16:39:35</t>
        </is>
      </c>
      <c r="F1061" t="inlineStr">
        <is>
          <t>666</t>
        </is>
      </c>
    </row>
    <row r="1062">
      <c r="A1062" t="inlineStr">
        <is>
          <t>CLEMENTE TARICUARIMA MANUEL  T0001061.pdf</t>
        </is>
      </c>
      <c r="B1062">
        <f>HYPERLINK("C:\Users\lmonroy\Tema\PLANILLA\BoletasPDF01-15\CLEMENTE TARICUARIMA MANUEL  T0001061.pdf", "Link")</f>
        <v/>
      </c>
      <c r="C1062" t="n">
        <v>134297</v>
      </c>
      <c r="D1062" t="inlineStr">
        <is>
          <t>2024-03-18 16:39:36</t>
        </is>
      </c>
      <c r="E1062" t="inlineStr">
        <is>
          <t>2024-03-18 16:39:36</t>
        </is>
      </c>
      <c r="F1062" t="inlineStr">
        <is>
          <t>666</t>
        </is>
      </c>
    </row>
    <row r="1063">
      <c r="A1063" t="inlineStr">
        <is>
          <t>COHELO JAVA CELSO  T0001062.pdf</t>
        </is>
      </c>
      <c r="B1063">
        <f>HYPERLINK("C:\Users\lmonroy\Tema\PLANILLA\BoletasPDF01-15\COHELO JAVA CELSO  T0001062.pdf", "Link")</f>
        <v/>
      </c>
      <c r="C1063" t="n">
        <v>134275</v>
      </c>
      <c r="D1063" t="inlineStr">
        <is>
          <t>2024-03-18 16:37:56</t>
        </is>
      </c>
      <c r="E1063" t="inlineStr">
        <is>
          <t>2024-03-18 16:37:56</t>
        </is>
      </c>
      <c r="F1063" t="inlineStr">
        <is>
          <t>666</t>
        </is>
      </c>
    </row>
    <row r="1064">
      <c r="A1064" t="inlineStr">
        <is>
          <t>CUACHI MANUYAMA ELVIS  T0001063.pdf</t>
        </is>
      </c>
      <c r="B1064">
        <f>HYPERLINK("C:\Users\lmonroy\Tema\PLANILLA\BoletasPDF01-15\CUACHI MANUYAMA ELVIS  T0001063.pdf", "Link")</f>
        <v/>
      </c>
      <c r="C1064" t="n">
        <v>134294</v>
      </c>
      <c r="D1064" t="inlineStr">
        <is>
          <t>2024-03-18 16:39:04</t>
        </is>
      </c>
      <c r="E1064" t="inlineStr">
        <is>
          <t>2024-03-18 16:39:04</t>
        </is>
      </c>
      <c r="F1064" t="inlineStr">
        <is>
          <t>666</t>
        </is>
      </c>
    </row>
    <row r="1065">
      <c r="A1065" t="inlineStr">
        <is>
          <t>CUNAYA OJEICATE RIGOBERTO T0001452.pdf</t>
        </is>
      </c>
      <c r="B1065">
        <f>HYPERLINK("C:\Users\lmonroy\Tema\PLANILLA\BoletasPDF01-15\CUNAYA OJEICATE RIGOBERTO T0001452.pdf", "Link")</f>
        <v/>
      </c>
      <c r="C1065" t="n">
        <v>134300</v>
      </c>
      <c r="D1065" t="inlineStr">
        <is>
          <t>2024-03-18 16:38:39</t>
        </is>
      </c>
      <c r="E1065" t="inlineStr">
        <is>
          <t>2024-03-18 16:38:39</t>
        </is>
      </c>
      <c r="F1065" t="inlineStr">
        <is>
          <t>666</t>
        </is>
      </c>
    </row>
    <row r="1066">
      <c r="A1066" t="inlineStr">
        <is>
          <t>CURI MURAYARI HILDEBRANDO T0001469.pdf</t>
        </is>
      </c>
      <c r="B1066">
        <f>HYPERLINK("C:\Users\lmonroy\Tema\PLANILLA\BoletasPDF01-15\CURI MURAYARI HILDEBRANDO T0001469.pdf", "Link")</f>
        <v/>
      </c>
      <c r="C1066" t="n">
        <v>134297</v>
      </c>
      <c r="D1066" t="inlineStr">
        <is>
          <t>2024-03-18 16:39:11</t>
        </is>
      </c>
      <c r="E1066" t="inlineStr">
        <is>
          <t>2024-03-18 16:39:11</t>
        </is>
      </c>
      <c r="F1066" t="inlineStr">
        <is>
          <t>666</t>
        </is>
      </c>
    </row>
    <row r="1067">
      <c r="A1067" t="inlineStr">
        <is>
          <t>CURITIMA IRARICA EDGAR T0001445.pdf</t>
        </is>
      </c>
      <c r="B1067">
        <f>HYPERLINK("C:\Users\lmonroy\Tema\PLANILLA\BoletasPDF01-15\CURITIMA IRARICA EDGAR T0001445.pdf", "Link")</f>
        <v/>
      </c>
      <c r="C1067" t="n">
        <v>134292</v>
      </c>
      <c r="D1067" t="inlineStr">
        <is>
          <t>2024-03-18 16:38:20</t>
        </is>
      </c>
      <c r="E1067" t="inlineStr">
        <is>
          <t>2024-03-18 16:38:20</t>
        </is>
      </c>
      <c r="F1067" t="inlineStr">
        <is>
          <t>666</t>
        </is>
      </c>
    </row>
    <row r="1068">
      <c r="A1068" t="inlineStr">
        <is>
          <t>CURITIMA PALMERA JERRI  T0001064.pdf</t>
        </is>
      </c>
      <c r="B1068">
        <f>HYPERLINK("C:\Users\lmonroy\Tema\PLANILLA\BoletasPDF01-15\CURITIMA PALMERA JERRI  T0001064.pdf", "Link")</f>
        <v/>
      </c>
      <c r="C1068" t="n">
        <v>134366</v>
      </c>
      <c r="D1068" t="inlineStr">
        <is>
          <t>2024-03-18 16:38:59</t>
        </is>
      </c>
      <c r="E1068" t="inlineStr">
        <is>
          <t>2024-03-18 16:38:59</t>
        </is>
      </c>
      <c r="F1068" t="inlineStr">
        <is>
          <t>666</t>
        </is>
      </c>
    </row>
    <row r="1069">
      <c r="A1069" t="inlineStr">
        <is>
          <t>CURITIMA PUYO AILBER  T0001065.pdf</t>
        </is>
      </c>
      <c r="B1069">
        <f>HYPERLINK("C:\Users\lmonroy\Tema\PLANILLA\BoletasPDF01-15\CURITIMA PUYO AILBER  T0001065.pdf", "Link")</f>
        <v/>
      </c>
      <c r="C1069" t="n">
        <v>134287</v>
      </c>
      <c r="D1069" t="inlineStr">
        <is>
          <t>2024-03-18 16:39:20</t>
        </is>
      </c>
      <c r="E1069" t="inlineStr">
        <is>
          <t>2024-03-18 16:39:20</t>
        </is>
      </c>
      <c r="F1069" t="inlineStr">
        <is>
          <t>666</t>
        </is>
      </c>
    </row>
    <row r="1070">
      <c r="A1070" t="inlineStr">
        <is>
          <t>DAHUA PINEDO MAURO  T0001066.pdf</t>
        </is>
      </c>
      <c r="B1070">
        <f>HYPERLINK("C:\Users\lmonroy\Tema\PLANILLA\BoletasPDF01-15\DAHUA PINEDO MAURO  T0001066.pdf", "Link")</f>
        <v/>
      </c>
      <c r="C1070" t="n">
        <v>134384</v>
      </c>
      <c r="D1070" t="inlineStr">
        <is>
          <t>2024-03-18 16:39:37</t>
        </is>
      </c>
      <c r="E1070" t="inlineStr">
        <is>
          <t>2024-03-18 16:39:37</t>
        </is>
      </c>
      <c r="F1070" t="inlineStr">
        <is>
          <t>666</t>
        </is>
      </c>
    </row>
    <row r="1071">
      <c r="A1071" t="inlineStr">
        <is>
          <t>DASILVA TORRES DANNY DANIEL T0001067.pdf</t>
        </is>
      </c>
      <c r="B1071">
        <f>HYPERLINK("C:\Users\lmonroy\Tema\PLANILLA\BoletasPDF01-15\DASILVA TORRES DANNY DANIEL T0001067.pdf", "Link")</f>
        <v/>
      </c>
      <c r="C1071" t="n">
        <v>134279</v>
      </c>
      <c r="D1071" t="inlineStr">
        <is>
          <t>2024-03-18 16:38:26</t>
        </is>
      </c>
      <c r="E1071" t="inlineStr">
        <is>
          <t>2024-03-18 16:38:26</t>
        </is>
      </c>
      <c r="F1071" t="inlineStr">
        <is>
          <t>666</t>
        </is>
      </c>
    </row>
    <row r="1072">
      <c r="A1072" t="inlineStr">
        <is>
          <t>DORADO CASTRO RAFAEL  T0001457.pdf</t>
        </is>
      </c>
      <c r="B1072">
        <f>HYPERLINK("C:\Users\lmonroy\Tema\PLANILLA\BoletasPDF01-15\DORADO CASTRO RAFAEL  T0001457.pdf", "Link")</f>
        <v/>
      </c>
      <c r="C1072" t="n">
        <v>134290</v>
      </c>
      <c r="D1072" t="inlineStr">
        <is>
          <t>2024-03-18 16:38:51</t>
        </is>
      </c>
      <c r="E1072" t="inlineStr">
        <is>
          <t>2024-03-18 16:38:51</t>
        </is>
      </c>
      <c r="F1072" t="inlineStr">
        <is>
          <t>666</t>
        </is>
      </c>
    </row>
    <row r="1073">
      <c r="A1073" t="inlineStr">
        <is>
          <t>DURAN CURITIMA HILTER T0001471.pdf</t>
        </is>
      </c>
      <c r="B1073">
        <f>HYPERLINK("C:\Users\lmonroy\Tema\PLANILLA\BoletasPDF01-15\DURAN CURITIMA HILTER T0001471.pdf", "Link")</f>
        <v/>
      </c>
      <c r="C1073" t="n">
        <v>134379</v>
      </c>
      <c r="D1073" t="inlineStr">
        <is>
          <t>2024-03-18 16:39:25</t>
        </is>
      </c>
      <c r="E1073" t="inlineStr">
        <is>
          <t>2024-03-18 16:39:25</t>
        </is>
      </c>
      <c r="F1073" t="inlineStr">
        <is>
          <t>666</t>
        </is>
      </c>
    </row>
    <row r="1074">
      <c r="A1074" t="inlineStr">
        <is>
          <t>FATAMA HIDALGO AQUILES  T0001068.pdf</t>
        </is>
      </c>
      <c r="B1074">
        <f>HYPERLINK("C:\Users\lmonroy\Tema\PLANILLA\BoletasPDF01-15\FATAMA HIDALGO AQUILES  T0001068.pdf", "Link")</f>
        <v/>
      </c>
      <c r="C1074" t="n">
        <v>134268</v>
      </c>
      <c r="D1074" t="inlineStr">
        <is>
          <t>2024-03-18 16:38:25</t>
        </is>
      </c>
      <c r="E1074" t="inlineStr">
        <is>
          <t>2024-03-18 16:38:25</t>
        </is>
      </c>
      <c r="F1074" t="inlineStr">
        <is>
          <t>666</t>
        </is>
      </c>
    </row>
    <row r="1075">
      <c r="A1075" t="inlineStr">
        <is>
          <t>FATAMA HIDALGO LEANDRO  T0001069.pdf</t>
        </is>
      </c>
      <c r="B1075">
        <f>HYPERLINK("C:\Users\lmonroy\Tema\PLANILLA\BoletasPDF01-15\FATAMA HIDALGO LEANDRO  T0001069.pdf", "Link")</f>
        <v/>
      </c>
      <c r="C1075" t="n">
        <v>134280</v>
      </c>
      <c r="D1075" t="inlineStr">
        <is>
          <t>2024-03-18 16:39:09</t>
        </is>
      </c>
      <c r="E1075" t="inlineStr">
        <is>
          <t>2024-03-18 16:39:09</t>
        </is>
      </c>
      <c r="F1075" t="inlineStr">
        <is>
          <t>666</t>
        </is>
      </c>
    </row>
    <row r="1076">
      <c r="A1076" t="inlineStr">
        <is>
          <t>FLORES PEREA ALEXANDER  T0001070.pdf</t>
        </is>
      </c>
      <c r="B1076">
        <f>HYPERLINK("C:\Users\lmonroy\Tema\PLANILLA\BoletasPDF01-15\FLORES PEREA ALEXANDER  T0001070.pdf", "Link")</f>
        <v/>
      </c>
      <c r="C1076" t="n">
        <v>134381</v>
      </c>
      <c r="D1076" t="inlineStr">
        <is>
          <t>2024-03-18 16:38:37</t>
        </is>
      </c>
      <c r="E1076" t="inlineStr">
        <is>
          <t>2024-03-18 16:38:37</t>
        </is>
      </c>
      <c r="F1076" t="inlineStr">
        <is>
          <t>666</t>
        </is>
      </c>
    </row>
    <row r="1077">
      <c r="A1077" t="inlineStr">
        <is>
          <t>FLORES PEREA EXIDIO  T0001071.pdf</t>
        </is>
      </c>
      <c r="B1077">
        <f>HYPERLINK("C:\Users\lmonroy\Tema\PLANILLA\BoletasPDF01-15\FLORES PEREA EXIDIO  T0001071.pdf", "Link")</f>
        <v/>
      </c>
      <c r="C1077" t="n">
        <v>134380</v>
      </c>
      <c r="D1077" t="inlineStr">
        <is>
          <t>2024-03-18 16:38:58</t>
        </is>
      </c>
      <c r="E1077" t="inlineStr">
        <is>
          <t>2024-03-18 16:38:58</t>
        </is>
      </c>
      <c r="F1077" t="inlineStr">
        <is>
          <t>666</t>
        </is>
      </c>
    </row>
    <row r="1078">
      <c r="A1078" t="inlineStr">
        <is>
          <t>FLORES PEREZ MARCELO  T0001072.pdf</t>
        </is>
      </c>
      <c r="B1078">
        <f>HYPERLINK("C:\Users\lmonroy\Tema\PLANILLA\BoletasPDF01-15\FLORES PEREZ MARCELO  T0001072.pdf", "Link")</f>
        <v/>
      </c>
      <c r="C1078" t="n">
        <v>134282</v>
      </c>
      <c r="D1078" t="inlineStr">
        <is>
          <t>2024-03-18 16:38:05</t>
        </is>
      </c>
      <c r="E1078" t="inlineStr">
        <is>
          <t>2024-03-18 16:38:05</t>
        </is>
      </c>
      <c r="F1078" t="inlineStr">
        <is>
          <t>666</t>
        </is>
      </c>
    </row>
    <row r="1079">
      <c r="A1079" t="inlineStr">
        <is>
          <t>FUGUISTA MACUSI MANUEL  T0001073.pdf</t>
        </is>
      </c>
      <c r="B1079">
        <f>HYPERLINK("C:\Users\lmonroy\Tema\PLANILLA\BoletasPDF01-15\FUGUISTA MACUSI MANUEL  T0001073.pdf", "Link")</f>
        <v/>
      </c>
      <c r="C1079" t="n">
        <v>134388</v>
      </c>
      <c r="D1079" t="inlineStr">
        <is>
          <t>2024-03-18 16:39:38</t>
        </is>
      </c>
      <c r="E1079" t="inlineStr">
        <is>
          <t>2024-03-18 16:39:38</t>
        </is>
      </c>
      <c r="F1079" t="inlineStr">
        <is>
          <t>666</t>
        </is>
      </c>
    </row>
    <row r="1080">
      <c r="A1080" t="inlineStr">
        <is>
          <t>FUGUISTA MACUSI MIGUEL  T0001074.pdf</t>
        </is>
      </c>
      <c r="B1080">
        <f>HYPERLINK("C:\Users\lmonroy\Tema\PLANILLA\BoletasPDF01-15\FUGUISTA MACUSI MIGUEL  T0001074.pdf", "Link")</f>
        <v/>
      </c>
      <c r="C1080" t="n">
        <v>134388</v>
      </c>
      <c r="D1080" t="inlineStr">
        <is>
          <t>2024-03-18 16:39:39</t>
        </is>
      </c>
      <c r="E1080" t="inlineStr">
        <is>
          <t>2024-03-18 16:39:39</t>
        </is>
      </c>
      <c r="F1080" t="inlineStr">
        <is>
          <t>666</t>
        </is>
      </c>
    </row>
    <row r="1081">
      <c r="A1081" t="inlineStr">
        <is>
          <t>GARCIA RAMIREZ RUSBEL  T0001075.pdf</t>
        </is>
      </c>
      <c r="B1081">
        <f>HYPERLINK("C:\Users\lmonroy\Tema\PLANILLA\BoletasPDF01-15\GARCIA RAMIREZ RUSBEL  T0001075.pdf", "Link")</f>
        <v/>
      </c>
      <c r="C1081" t="n">
        <v>134388</v>
      </c>
      <c r="D1081" t="inlineStr">
        <is>
          <t>2024-03-18 16:39:39</t>
        </is>
      </c>
      <c r="E1081" t="inlineStr">
        <is>
          <t>2024-03-18 16:39:39</t>
        </is>
      </c>
      <c r="F1081" t="inlineStr">
        <is>
          <t>666</t>
        </is>
      </c>
    </row>
    <row r="1082">
      <c r="A1082" t="inlineStr">
        <is>
          <t>GARCIA REYNA LIZANDRO  T0001076.pdf</t>
        </is>
      </c>
      <c r="B1082">
        <f>HYPERLINK("C:\Users\lmonroy\Tema\PLANILLA\BoletasPDF01-15\GARCIA REYNA LIZANDRO  T0001076.pdf", "Link")</f>
        <v/>
      </c>
      <c r="C1082" t="n">
        <v>134266</v>
      </c>
      <c r="D1082" t="inlineStr">
        <is>
          <t>2024-03-18 16:39:17</t>
        </is>
      </c>
      <c r="E1082" t="inlineStr">
        <is>
          <t>2024-03-18 16:39:17</t>
        </is>
      </c>
      <c r="F1082" t="inlineStr">
        <is>
          <t>666</t>
        </is>
      </c>
    </row>
    <row r="1083">
      <c r="A1083" t="inlineStr">
        <is>
          <t>GARCIA ROJAS CARLOS WELLINGTON T0001077.pdf</t>
        </is>
      </c>
      <c r="B1083">
        <f>HYPERLINK("C:\Users\lmonroy\Tema\PLANILLA\BoletasPDF01-15\GARCIA ROJAS CARLOS WELLINGTON T0001077.pdf", "Link")</f>
        <v/>
      </c>
      <c r="C1083" t="n">
        <v>134398</v>
      </c>
      <c r="D1083" t="inlineStr">
        <is>
          <t>2024-03-18 16:37:48</t>
        </is>
      </c>
      <c r="E1083" t="inlineStr">
        <is>
          <t>2024-03-18 16:37:48</t>
        </is>
      </c>
      <c r="F1083" t="inlineStr">
        <is>
          <t>666</t>
        </is>
      </c>
    </row>
    <row r="1084">
      <c r="A1084" t="inlineStr">
        <is>
          <t>GARCIA YUIMACHI JAYLER  T0001078.pdf</t>
        </is>
      </c>
      <c r="B1084">
        <f>HYPERLINK("C:\Users\lmonroy\Tema\PLANILLA\BoletasPDF01-15\GARCIA YUIMACHI JAYLER  T0001078.pdf", "Link")</f>
        <v/>
      </c>
      <c r="C1084" t="n">
        <v>134292</v>
      </c>
      <c r="D1084" t="inlineStr">
        <is>
          <t>2024-03-18 16:39:40</t>
        </is>
      </c>
      <c r="E1084" t="inlineStr">
        <is>
          <t>2024-03-18 16:39:40</t>
        </is>
      </c>
      <c r="F1084" t="inlineStr">
        <is>
          <t>666</t>
        </is>
      </c>
    </row>
    <row r="1085">
      <c r="A1085" t="inlineStr">
        <is>
          <t>GARCIA YUIMACHI ROYER  T0001079.pdf</t>
        </is>
      </c>
      <c r="B1085">
        <f>HYPERLINK("C:\Users\lmonroy\Tema\PLANILLA\BoletasPDF01-15\GARCIA YUIMACHI ROYER  T0001079.pdf", "Link")</f>
        <v/>
      </c>
      <c r="C1085" t="n">
        <v>134365</v>
      </c>
      <c r="D1085" t="inlineStr">
        <is>
          <t>2024-03-18 16:39:41</t>
        </is>
      </c>
      <c r="E1085" t="inlineStr">
        <is>
          <t>2024-03-18 16:39:41</t>
        </is>
      </c>
      <c r="F1085" t="inlineStr">
        <is>
          <t>666</t>
        </is>
      </c>
    </row>
    <row r="1086">
      <c r="A1086" t="inlineStr">
        <is>
          <t>GONZALES DIAZ LORENZO  T0001080.pdf</t>
        </is>
      </c>
      <c r="B1086">
        <f>HYPERLINK("C:\Users\lmonroy\Tema\PLANILLA\BoletasPDF01-15\GONZALES DIAZ LORENZO  T0001080.pdf", "Link")</f>
        <v/>
      </c>
      <c r="C1086" t="n">
        <v>134279</v>
      </c>
      <c r="D1086" t="inlineStr">
        <is>
          <t>2024-03-18 16:39:04</t>
        </is>
      </c>
      <c r="E1086" t="inlineStr">
        <is>
          <t>2024-03-18 16:39:04</t>
        </is>
      </c>
      <c r="F1086" t="inlineStr">
        <is>
          <t>666</t>
        </is>
      </c>
    </row>
    <row r="1087">
      <c r="A1087" t="inlineStr">
        <is>
          <t>IGNACIO INUMA EMILIO  T0001084.pdf</t>
        </is>
      </c>
      <c r="B1087">
        <f>HYPERLINK("C:\Users\lmonroy\Tema\PLANILLA\BoletasPDF01-15\IGNACIO INUMA EMILIO  T0001084.pdf", "Link")</f>
        <v/>
      </c>
      <c r="C1087" t="n">
        <v>134384</v>
      </c>
      <c r="D1087" t="inlineStr">
        <is>
          <t>2024-03-18 16:39:42</t>
        </is>
      </c>
      <c r="E1087" t="inlineStr">
        <is>
          <t>2024-03-18 16:39:42</t>
        </is>
      </c>
      <c r="F1087" t="inlineStr">
        <is>
          <t>666</t>
        </is>
      </c>
    </row>
    <row r="1088">
      <c r="A1088" t="inlineStr">
        <is>
          <t>IGNACIO INUMA FELIPE  T0001085.pdf</t>
        </is>
      </c>
      <c r="B1088">
        <f>HYPERLINK("C:\Users\lmonroy\Tema\PLANILLA\BoletasPDF01-15\IGNACIO INUMA FELIPE  T0001085.pdf", "Link")</f>
        <v/>
      </c>
      <c r="C1088" t="n">
        <v>134276</v>
      </c>
      <c r="D1088" t="inlineStr">
        <is>
          <t>2024-03-18 16:39:43</t>
        </is>
      </c>
      <c r="E1088" t="inlineStr">
        <is>
          <t>2024-03-18 16:39:43</t>
        </is>
      </c>
      <c r="F1088" t="inlineStr">
        <is>
          <t>666</t>
        </is>
      </c>
    </row>
    <row r="1089">
      <c r="A1089" t="inlineStr">
        <is>
          <t>IGNACIO INUMA JORGE  T0001086.pdf</t>
        </is>
      </c>
      <c r="B1089">
        <f>HYPERLINK("C:\Users\lmonroy\Tema\PLANILLA\BoletasPDF01-15\IGNACIO INUMA JORGE  T0001086.pdf", "Link")</f>
        <v/>
      </c>
      <c r="C1089" t="n">
        <v>134285</v>
      </c>
      <c r="D1089" t="inlineStr">
        <is>
          <t>2024-03-18 16:39:44</t>
        </is>
      </c>
      <c r="E1089" t="inlineStr">
        <is>
          <t>2024-03-18 16:39:44</t>
        </is>
      </c>
      <c r="F1089" t="inlineStr">
        <is>
          <t>666</t>
        </is>
      </c>
    </row>
    <row r="1090">
      <c r="A1090" t="inlineStr">
        <is>
          <t>IGNACIO TARICUARIMA CARLOS  T0001088.pdf</t>
        </is>
      </c>
      <c r="B1090">
        <f>HYPERLINK("C:\Users\lmonroy\Tema\PLANILLA\BoletasPDF01-15\IGNACIO TARICUARIMA CARLOS  T0001088.pdf", "Link")</f>
        <v/>
      </c>
      <c r="C1090" t="n">
        <v>134282</v>
      </c>
      <c r="D1090" t="inlineStr">
        <is>
          <t>2024-03-18 16:39:45</t>
        </is>
      </c>
      <c r="E1090" t="inlineStr">
        <is>
          <t>2024-03-18 16:39:45</t>
        </is>
      </c>
      <c r="F1090" t="inlineStr">
        <is>
          <t>666</t>
        </is>
      </c>
    </row>
    <row r="1091">
      <c r="A1091" t="inlineStr">
        <is>
          <t>INUMA ARAHUATA VICENTE T0001375.pdf</t>
        </is>
      </c>
      <c r="B1091">
        <f>HYPERLINK("C:\Users\lmonroy\Tema\PLANILLA\BoletasPDF01-15\INUMA ARAHUATA VICENTE T0001375.pdf", "Link")</f>
        <v/>
      </c>
      <c r="C1091" t="n">
        <v>134292</v>
      </c>
      <c r="D1091" t="inlineStr">
        <is>
          <t>2024-03-18 16:39:19</t>
        </is>
      </c>
      <c r="E1091" t="inlineStr">
        <is>
          <t>2024-03-18 16:39:19</t>
        </is>
      </c>
      <c r="F1091" t="inlineStr">
        <is>
          <t>666</t>
        </is>
      </c>
    </row>
    <row r="1092">
      <c r="A1092" t="inlineStr">
        <is>
          <t>INUMA CACHIRICO CUSTODIO  T0001091.pdf</t>
        </is>
      </c>
      <c r="B1092">
        <f>HYPERLINK("C:\Users\lmonroy\Tema\PLANILLA\BoletasPDF01-15\INUMA CACHIRICO CUSTODIO  T0001091.pdf", "Link")</f>
        <v/>
      </c>
      <c r="C1092" t="n">
        <v>134301</v>
      </c>
      <c r="D1092" t="inlineStr">
        <is>
          <t>2024-03-18 16:37:49</t>
        </is>
      </c>
      <c r="E1092" t="inlineStr">
        <is>
          <t>2024-03-18 16:37:49</t>
        </is>
      </c>
      <c r="F1092" t="inlineStr">
        <is>
          <t>666</t>
        </is>
      </c>
    </row>
    <row r="1093">
      <c r="A1093" t="inlineStr">
        <is>
          <t>INUMA INUMA ORLANDO T0001377.pdf</t>
        </is>
      </c>
      <c r="B1093">
        <f>HYPERLINK("C:\Users\lmonroy\Tema\PLANILLA\BoletasPDF01-15\INUMA INUMA ORLANDO T0001377.pdf", "Link")</f>
        <v/>
      </c>
      <c r="C1093" t="n">
        <v>134280</v>
      </c>
      <c r="D1093" t="inlineStr">
        <is>
          <t>2024-03-18 16:40:32</t>
        </is>
      </c>
      <c r="E1093" t="inlineStr">
        <is>
          <t>2024-03-18 16:40:32</t>
        </is>
      </c>
      <c r="F1093" t="inlineStr">
        <is>
          <t>666</t>
        </is>
      </c>
    </row>
    <row r="1094">
      <c r="A1094" t="inlineStr">
        <is>
          <t>INUMA MACUSI ALBERTO  T0001093.pdf</t>
        </is>
      </c>
      <c r="B1094">
        <f>HYPERLINK("C:\Users\lmonroy\Tema\PLANILLA\BoletasPDF01-15\INUMA MACUSI ALBERTO  T0001093.pdf", "Link")</f>
        <v/>
      </c>
      <c r="C1094" t="n">
        <v>134276</v>
      </c>
      <c r="D1094" t="inlineStr">
        <is>
          <t>2024-03-18 16:39:45</t>
        </is>
      </c>
      <c r="E1094" t="inlineStr">
        <is>
          <t>2024-03-18 16:39:45</t>
        </is>
      </c>
      <c r="F1094" t="inlineStr">
        <is>
          <t>666</t>
        </is>
      </c>
    </row>
    <row r="1095">
      <c r="A1095" t="inlineStr">
        <is>
          <t>INUMA MACUSI GINER  T0001094.pdf</t>
        </is>
      </c>
      <c r="B1095">
        <f>HYPERLINK("C:\Users\lmonroy\Tema\PLANILLA\BoletasPDF01-15\INUMA MACUSI GINER  T0001094.pdf", "Link")</f>
        <v/>
      </c>
      <c r="C1095" t="n">
        <v>134288</v>
      </c>
      <c r="D1095" t="inlineStr">
        <is>
          <t>2024-03-18 16:39:46</t>
        </is>
      </c>
      <c r="E1095" t="inlineStr">
        <is>
          <t>2024-03-18 16:39:46</t>
        </is>
      </c>
      <c r="F1095" t="inlineStr">
        <is>
          <t>666</t>
        </is>
      </c>
    </row>
    <row r="1096">
      <c r="A1096" t="inlineStr">
        <is>
          <t>INUMA MACUSI JOSE  T0001095.pdf</t>
        </is>
      </c>
      <c r="B1096">
        <f>HYPERLINK("C:\Users\lmonroy\Tema\PLANILLA\BoletasPDF01-15\INUMA MACUSI JOSE  T0001095.pdf", "Link")</f>
        <v/>
      </c>
      <c r="C1096" t="n">
        <v>134285</v>
      </c>
      <c r="D1096" t="inlineStr">
        <is>
          <t>2024-03-18 16:39:21</t>
        </is>
      </c>
      <c r="E1096" t="inlineStr">
        <is>
          <t>2024-03-18 16:39:21</t>
        </is>
      </c>
      <c r="F1096" t="inlineStr">
        <is>
          <t>666</t>
        </is>
      </c>
    </row>
    <row r="1097">
      <c r="A1097" t="inlineStr">
        <is>
          <t>INUMA NURIBE GERMAN  T0001098.pdf</t>
        </is>
      </c>
      <c r="B1097">
        <f>HYPERLINK("C:\Users\lmonroy\Tema\PLANILLA\BoletasPDF01-15\INUMA NURIBE GERMAN  T0001098.pdf", "Link")</f>
        <v/>
      </c>
      <c r="C1097" t="n">
        <v>134272</v>
      </c>
      <c r="D1097" t="inlineStr">
        <is>
          <t>2024-03-18 16:39:47</t>
        </is>
      </c>
      <c r="E1097" t="inlineStr">
        <is>
          <t>2024-03-18 16:39:47</t>
        </is>
      </c>
      <c r="F1097" t="inlineStr">
        <is>
          <t>666</t>
        </is>
      </c>
    </row>
    <row r="1098">
      <c r="A1098" t="inlineStr">
        <is>
          <t>INUMA NURIBE GUSTAVO T0001372.pdf</t>
        </is>
      </c>
      <c r="B1098">
        <f>HYPERLINK("C:\Users\lmonroy\Tema\PLANILLA\BoletasPDF01-15\INUMA NURIBE GUSTAVO T0001372.pdf", "Link")</f>
        <v/>
      </c>
      <c r="C1098" t="n">
        <v>134386</v>
      </c>
      <c r="D1098" t="inlineStr">
        <is>
          <t>2024-03-18 16:40:30</t>
        </is>
      </c>
      <c r="E1098" t="inlineStr">
        <is>
          <t>2024-03-18 16:40:30</t>
        </is>
      </c>
      <c r="F1098" t="inlineStr">
        <is>
          <t>666</t>
        </is>
      </c>
    </row>
    <row r="1099">
      <c r="A1099" t="inlineStr">
        <is>
          <t>INUMA NURIBE JULIO  T0001099.pdf</t>
        </is>
      </c>
      <c r="B1099">
        <f>HYPERLINK("C:\Users\lmonroy\Tema\PLANILLA\BoletasPDF01-15\INUMA NURIBE JULIO  T0001099.pdf", "Link")</f>
        <v/>
      </c>
      <c r="C1099" t="n">
        <v>134285</v>
      </c>
      <c r="D1099" t="inlineStr">
        <is>
          <t>2024-03-18 16:39:48</t>
        </is>
      </c>
      <c r="E1099" t="inlineStr">
        <is>
          <t>2024-03-18 16:39:48</t>
        </is>
      </c>
      <c r="F1099" t="inlineStr">
        <is>
          <t>666</t>
        </is>
      </c>
    </row>
    <row r="1100">
      <c r="A1100" t="inlineStr">
        <is>
          <t>INUMA NURIBE MARIANO  T0001100.pdf</t>
        </is>
      </c>
      <c r="B1100">
        <f>HYPERLINK("C:\Users\lmonroy\Tema\PLANILLA\BoletasPDF01-15\INUMA NURIBE MARIANO  T0001100.pdf", "Link")</f>
        <v/>
      </c>
      <c r="C1100" t="n">
        <v>134290</v>
      </c>
      <c r="D1100" t="inlineStr">
        <is>
          <t>2024-03-18 16:39:49</t>
        </is>
      </c>
      <c r="E1100" t="inlineStr">
        <is>
          <t>2024-03-18 16:39:49</t>
        </is>
      </c>
      <c r="F1100" t="inlineStr">
        <is>
          <t>666</t>
        </is>
      </c>
    </row>
    <row r="1101">
      <c r="A1101" t="inlineStr">
        <is>
          <t>INUMA OJEYCATE TIMOTEO  T0001101.pdf</t>
        </is>
      </c>
      <c r="B1101">
        <f>HYPERLINK("C:\Users\lmonroy\Tema\PLANILLA\BoletasPDF01-15\INUMA OJEYCATE TIMOTEO  T0001101.pdf", "Link")</f>
        <v/>
      </c>
      <c r="C1101" t="n">
        <v>134302</v>
      </c>
      <c r="D1101" t="inlineStr">
        <is>
          <t>2024-03-18 16:38:46</t>
        </is>
      </c>
      <c r="E1101" t="inlineStr">
        <is>
          <t>2024-03-18 16:38:46</t>
        </is>
      </c>
      <c r="F1101" t="inlineStr">
        <is>
          <t>666</t>
        </is>
      </c>
    </row>
    <row r="1102">
      <c r="A1102" t="inlineStr">
        <is>
          <t>INUMA RUFINO LISANDRO  T0001102.pdf</t>
        </is>
      </c>
      <c r="B1102">
        <f>HYPERLINK("C:\Users\lmonroy\Tema\PLANILLA\BoletasPDF01-15\INUMA RUFINO LISANDRO  T0001102.pdf", "Link")</f>
        <v/>
      </c>
      <c r="C1102" t="n">
        <v>134271</v>
      </c>
      <c r="D1102" t="inlineStr">
        <is>
          <t>2024-03-18 16:39:50</t>
        </is>
      </c>
      <c r="E1102" t="inlineStr">
        <is>
          <t>2024-03-18 16:39:50</t>
        </is>
      </c>
      <c r="F1102" t="inlineStr">
        <is>
          <t>666</t>
        </is>
      </c>
    </row>
    <row r="1103">
      <c r="A1103" t="inlineStr">
        <is>
          <t>INUMA RUFINO ORLANDO  T0001103.pdf</t>
        </is>
      </c>
      <c r="B1103">
        <f>HYPERLINK("C:\Users\lmonroy\Tema\PLANILLA\BoletasPDF01-15\INUMA RUFINO ORLANDO  T0001103.pdf", "Link")</f>
        <v/>
      </c>
      <c r="C1103" t="n">
        <v>134275</v>
      </c>
      <c r="D1103" t="inlineStr">
        <is>
          <t>2024-03-18 16:39:51</t>
        </is>
      </c>
      <c r="E1103" t="inlineStr">
        <is>
          <t>2024-03-18 16:39:51</t>
        </is>
      </c>
      <c r="F1103" t="inlineStr">
        <is>
          <t>666</t>
        </is>
      </c>
    </row>
    <row r="1104">
      <c r="A1104" t="inlineStr">
        <is>
          <t>INUMA VELA ABRAHAM T0001104.pdf</t>
        </is>
      </c>
      <c r="B1104">
        <f>HYPERLINK("C:\Users\lmonroy\Tema\PLANILLA\BoletasPDF01-15\INUMA VELA ABRAHAM T0001104.pdf", "Link")</f>
        <v/>
      </c>
      <c r="C1104" t="n">
        <v>134365</v>
      </c>
      <c r="D1104" t="inlineStr">
        <is>
          <t>2024-03-18 16:39:51</t>
        </is>
      </c>
      <c r="E1104" t="inlineStr">
        <is>
          <t>2024-03-18 16:39:51</t>
        </is>
      </c>
      <c r="F1104" t="inlineStr">
        <is>
          <t>666</t>
        </is>
      </c>
    </row>
    <row r="1105">
      <c r="A1105" t="inlineStr">
        <is>
          <t>INUMA VELA ARTEMIO  T0001105.pdf</t>
        </is>
      </c>
      <c r="B1105">
        <f>HYPERLINK("C:\Users\lmonroy\Tema\PLANILLA\BoletasPDF01-15\INUMA VELA ARTEMIO  T0001105.pdf", "Link")</f>
        <v/>
      </c>
      <c r="C1105" t="n">
        <v>134380</v>
      </c>
      <c r="D1105" t="inlineStr">
        <is>
          <t>2024-03-18 16:39:52</t>
        </is>
      </c>
      <c r="E1105" t="inlineStr">
        <is>
          <t>2024-03-18 16:39:52</t>
        </is>
      </c>
      <c r="F1105" t="inlineStr">
        <is>
          <t>666</t>
        </is>
      </c>
    </row>
    <row r="1106">
      <c r="A1106" t="inlineStr">
        <is>
          <t>INUMA VELA JAIME  T0001106.pdf</t>
        </is>
      </c>
      <c r="B1106">
        <f>HYPERLINK("C:\Users\lmonroy\Tema\PLANILLA\BoletasPDF01-15\INUMA VELA JAIME  T0001106.pdf", "Link")</f>
        <v/>
      </c>
      <c r="C1106" t="n">
        <v>134269</v>
      </c>
      <c r="D1106" t="inlineStr">
        <is>
          <t>2024-03-18 16:39:53</t>
        </is>
      </c>
      <c r="E1106" t="inlineStr">
        <is>
          <t>2024-03-18 16:39:53</t>
        </is>
      </c>
      <c r="F1106" t="inlineStr">
        <is>
          <t>666</t>
        </is>
      </c>
    </row>
    <row r="1107">
      <c r="A1107" t="inlineStr">
        <is>
          <t>INUMA VELA LUCHO  T0001107.pdf</t>
        </is>
      </c>
      <c r="B1107">
        <f>HYPERLINK("C:\Users\lmonroy\Tema\PLANILLA\BoletasPDF01-15\INUMA VELA LUCHO  T0001107.pdf", "Link")</f>
        <v/>
      </c>
      <c r="C1107" t="n">
        <v>134379</v>
      </c>
      <c r="D1107" t="inlineStr">
        <is>
          <t>2024-03-18 16:39:54</t>
        </is>
      </c>
      <c r="E1107" t="inlineStr">
        <is>
          <t>2024-03-18 16:39:54</t>
        </is>
      </c>
      <c r="F1107" t="inlineStr">
        <is>
          <t>666</t>
        </is>
      </c>
    </row>
    <row r="1108">
      <c r="A1108" t="inlineStr">
        <is>
          <t>INUMA VELA RAFAEL  T0001108.pdf</t>
        </is>
      </c>
      <c r="B1108">
        <f>HYPERLINK("C:\Users\lmonroy\Tema\PLANILLA\BoletasPDF01-15\INUMA VELA RAFAEL  T0001108.pdf", "Link")</f>
        <v/>
      </c>
      <c r="C1108" t="n">
        <v>134359</v>
      </c>
      <c r="D1108" t="inlineStr">
        <is>
          <t>2024-03-18 16:39:55</t>
        </is>
      </c>
      <c r="E1108" t="inlineStr">
        <is>
          <t>2024-03-18 16:39:55</t>
        </is>
      </c>
      <c r="F1108" t="inlineStr">
        <is>
          <t>666</t>
        </is>
      </c>
    </row>
    <row r="1109">
      <c r="A1109" t="inlineStr">
        <is>
          <t>INUMA VELA RICARDO T0001371.pdf</t>
        </is>
      </c>
      <c r="B1109">
        <f>HYPERLINK("C:\Users\lmonroy\Tema\PLANILLA\BoletasPDF01-15\INUMA VELA RICARDO T0001371.pdf", "Link")</f>
        <v/>
      </c>
      <c r="C1109" t="n">
        <v>134273</v>
      </c>
      <c r="D1109" t="inlineStr">
        <is>
          <t>2024-03-18 16:40:29</t>
        </is>
      </c>
      <c r="E1109" t="inlineStr">
        <is>
          <t>2024-03-18 16:40:29</t>
        </is>
      </c>
      <c r="F1109" t="inlineStr">
        <is>
          <t>666</t>
        </is>
      </c>
    </row>
    <row r="1110">
      <c r="A1110" t="inlineStr">
        <is>
          <t>INUMA VELA WILSON  T0001109.pdf</t>
        </is>
      </c>
      <c r="B1110">
        <f>HYPERLINK("C:\Users\lmonroy\Tema\PLANILLA\BoletasPDF01-15\INUMA VELA WILSON  T0001109.pdf", "Link")</f>
        <v/>
      </c>
      <c r="C1110" t="n">
        <v>134287</v>
      </c>
      <c r="D1110" t="inlineStr">
        <is>
          <t>2024-03-18 16:39:56</t>
        </is>
      </c>
      <c r="E1110" t="inlineStr">
        <is>
          <t>2024-03-18 16:39:56</t>
        </is>
      </c>
      <c r="F1110" t="inlineStr">
        <is>
          <t>666</t>
        </is>
      </c>
    </row>
    <row r="1111">
      <c r="A1111" t="inlineStr">
        <is>
          <t>IRARICA AHUANARI CARLOS  T0001110.pdf</t>
        </is>
      </c>
      <c r="B1111">
        <f>HYPERLINK("C:\Users\lmonroy\Tema\PLANILLA\BoletasPDF01-15\IRARICA AHUANARI CARLOS  T0001110.pdf", "Link")</f>
        <v/>
      </c>
      <c r="C1111" t="n">
        <v>134289</v>
      </c>
      <c r="D1111" t="inlineStr">
        <is>
          <t>2024-03-18 16:39:22</t>
        </is>
      </c>
      <c r="E1111" t="inlineStr">
        <is>
          <t>2024-03-18 16:39:22</t>
        </is>
      </c>
      <c r="F1111" t="inlineStr">
        <is>
          <t>666</t>
        </is>
      </c>
    </row>
    <row r="1112">
      <c r="A1112" t="inlineStr">
        <is>
          <t>IRARICA CURITIMA JULIO  T0001111.pdf</t>
        </is>
      </c>
      <c r="B1112">
        <f>HYPERLINK("C:\Users\lmonroy\Tema\PLANILLA\BoletasPDF01-15\IRARICA CURITIMA JULIO  T0001111.pdf", "Link")</f>
        <v/>
      </c>
      <c r="C1112" t="n">
        <v>134270</v>
      </c>
      <c r="D1112" t="inlineStr">
        <is>
          <t>2024-03-18 16:39:03</t>
        </is>
      </c>
      <c r="E1112" t="inlineStr">
        <is>
          <t>2024-03-18 16:39:03</t>
        </is>
      </c>
      <c r="F1112" t="inlineStr">
        <is>
          <t>666</t>
        </is>
      </c>
    </row>
    <row r="1113">
      <c r="A1113" t="inlineStr">
        <is>
          <t>IRARICA IRARICA WILLY  T0001112.pdf</t>
        </is>
      </c>
      <c r="B1113">
        <f>HYPERLINK("C:\Users\lmonroy\Tema\PLANILLA\BoletasPDF01-15\IRARICA IRARICA WILLY  T0001112.pdf", "Link")</f>
        <v/>
      </c>
      <c r="C1113" t="n">
        <v>134385</v>
      </c>
      <c r="D1113" t="inlineStr">
        <is>
          <t>2024-03-18 16:38:53</t>
        </is>
      </c>
      <c r="E1113" t="inlineStr">
        <is>
          <t>2024-03-18 16:38:53</t>
        </is>
      </c>
      <c r="F1113" t="inlineStr">
        <is>
          <t>666</t>
        </is>
      </c>
    </row>
    <row r="1114">
      <c r="A1114" t="inlineStr">
        <is>
          <t>IRARICA PUYO FELIX ALEJANDRO T0001113.pdf</t>
        </is>
      </c>
      <c r="B1114">
        <f>HYPERLINK("C:\Users\lmonroy\Tema\PLANILLA\BoletasPDF01-15\IRARICA PUYO FELIX ALEJANDRO T0001113.pdf", "Link")</f>
        <v/>
      </c>
      <c r="C1114" t="n">
        <v>134399</v>
      </c>
      <c r="D1114" t="inlineStr">
        <is>
          <t>2024-03-18 16:39:06</t>
        </is>
      </c>
      <c r="E1114" t="inlineStr">
        <is>
          <t>2024-03-18 16:39:06</t>
        </is>
      </c>
      <c r="F1114" t="inlineStr">
        <is>
          <t>666</t>
        </is>
      </c>
    </row>
    <row r="1115">
      <c r="A1115" t="inlineStr">
        <is>
          <t>IRARICA SANCHEZ EUGENIO SANTIAGO T0001115.pdf</t>
        </is>
      </c>
      <c r="B1115">
        <f>HYPERLINK("C:\Users\lmonroy\Tema\PLANILLA\BoletasPDF01-15\IRARICA SANCHEZ EUGENIO SANTIAGO T0001115.pdf", "Link")</f>
        <v/>
      </c>
      <c r="C1115" t="n">
        <v>134408</v>
      </c>
      <c r="D1115" t="inlineStr">
        <is>
          <t>2024-03-18 16:38:31</t>
        </is>
      </c>
      <c r="E1115" t="inlineStr">
        <is>
          <t>2024-03-18 16:38:31</t>
        </is>
      </c>
      <c r="F1115" t="inlineStr">
        <is>
          <t>666</t>
        </is>
      </c>
    </row>
    <row r="1116">
      <c r="A1116" t="inlineStr">
        <is>
          <t>IRARICA SANCHEZ JULIO JAVIER T0001116.pdf</t>
        </is>
      </c>
      <c r="B1116">
        <f>HYPERLINK("C:\Users\lmonroy\Tema\PLANILLA\BoletasPDF01-15\IRARICA SANCHEZ JULIO JAVIER T0001116.pdf", "Link")</f>
        <v/>
      </c>
      <c r="C1116" t="n">
        <v>134279</v>
      </c>
      <c r="D1116" t="inlineStr">
        <is>
          <t>2024-03-18 16:39:30</t>
        </is>
      </c>
      <c r="E1116" t="inlineStr">
        <is>
          <t>2024-03-18 16:39:30</t>
        </is>
      </c>
      <c r="F1116" t="inlineStr">
        <is>
          <t>666</t>
        </is>
      </c>
    </row>
    <row r="1117">
      <c r="A1117" t="inlineStr">
        <is>
          <t>JABA MAHUA JAVIER  T0001118.pdf</t>
        </is>
      </c>
      <c r="B1117">
        <f>HYPERLINK("C:\Users\lmonroy\Tema\PLANILLA\BoletasPDF01-15\JABA MAHUA JAVIER  T0001118.pdf", "Link")</f>
        <v/>
      </c>
      <c r="C1117" t="n">
        <v>134287</v>
      </c>
      <c r="D1117" t="inlineStr">
        <is>
          <t>2024-03-18 16:39:18</t>
        </is>
      </c>
      <c r="E1117" t="inlineStr">
        <is>
          <t>2024-03-18 16:39:18</t>
        </is>
      </c>
      <c r="F1117" t="inlineStr">
        <is>
          <t>666</t>
        </is>
      </c>
    </row>
    <row r="1118">
      <c r="A1118" t="inlineStr">
        <is>
          <t>JABA MORENO LUIS  T0001120.pdf</t>
        </is>
      </c>
      <c r="B1118">
        <f>HYPERLINK("C:\Users\lmonroy\Tema\PLANILLA\BoletasPDF01-15\JABA MORENO LUIS  T0001120.pdf", "Link")</f>
        <v/>
      </c>
      <c r="C1118" t="n">
        <v>134272</v>
      </c>
      <c r="D1118" t="inlineStr">
        <is>
          <t>2024-03-18 16:39:08</t>
        </is>
      </c>
      <c r="E1118" t="inlineStr">
        <is>
          <t>2024-03-18 16:39:08</t>
        </is>
      </c>
      <c r="F1118" t="inlineStr">
        <is>
          <t>666</t>
        </is>
      </c>
    </row>
    <row r="1119">
      <c r="A1119" t="inlineStr">
        <is>
          <t>JABA MORENO SALIS  T0001121.pdf</t>
        </is>
      </c>
      <c r="B1119">
        <f>HYPERLINK("C:\Users\lmonroy\Tema\PLANILLA\BoletasPDF01-15\JABA MORENO SALIS  T0001121.pdf", "Link")</f>
        <v/>
      </c>
      <c r="C1119" t="n">
        <v>134269</v>
      </c>
      <c r="D1119" t="inlineStr">
        <is>
          <t>2024-03-18 16:38:44</t>
        </is>
      </c>
      <c r="E1119" t="inlineStr">
        <is>
          <t>2024-03-18 16:38:44</t>
        </is>
      </c>
      <c r="F1119" t="inlineStr">
        <is>
          <t>666</t>
        </is>
      </c>
    </row>
    <row r="1120">
      <c r="A1120" t="inlineStr">
        <is>
          <t>JAVA RIOS ADRIANO  T0001125.pdf</t>
        </is>
      </c>
      <c r="B1120">
        <f>HYPERLINK("C:\Users\lmonroy\Tema\PLANILLA\BoletasPDF01-15\JAVA RIOS ADRIANO  T0001125.pdf", "Link")</f>
        <v/>
      </c>
      <c r="C1120" t="n">
        <v>134274</v>
      </c>
      <c r="D1120" t="inlineStr">
        <is>
          <t>2024-03-18 16:39:57</t>
        </is>
      </c>
      <c r="E1120" t="inlineStr">
        <is>
          <t>2024-03-18 16:39:57</t>
        </is>
      </c>
      <c r="F1120" t="inlineStr">
        <is>
          <t>666</t>
        </is>
      </c>
    </row>
    <row r="1121">
      <c r="A1121" t="inlineStr">
        <is>
          <t>JAVA RIOS BILLY  T0001126.pdf</t>
        </is>
      </c>
      <c r="B1121">
        <f>HYPERLINK("C:\Users\lmonroy\Tema\PLANILLA\BoletasPDF01-15\JAVA RIOS BILLY  T0001126.pdf", "Link")</f>
        <v/>
      </c>
      <c r="C1121" t="n">
        <v>134275</v>
      </c>
      <c r="D1121" t="inlineStr">
        <is>
          <t>2024-03-18 16:39:58</t>
        </is>
      </c>
      <c r="E1121" t="inlineStr">
        <is>
          <t>2024-03-18 16:39:58</t>
        </is>
      </c>
      <c r="F1121" t="inlineStr">
        <is>
          <t>666</t>
        </is>
      </c>
    </row>
    <row r="1122">
      <c r="A1122" t="inlineStr">
        <is>
          <t>JAVA RIOS PLACIDO  T0001127.pdf</t>
        </is>
      </c>
      <c r="B1122">
        <f>HYPERLINK("C:\Users\lmonroy\Tema\PLANILLA\BoletasPDF01-15\JAVA RIOS PLACIDO  T0001127.pdf", "Link")</f>
        <v/>
      </c>
      <c r="C1122" t="n">
        <v>134264</v>
      </c>
      <c r="D1122" t="inlineStr">
        <is>
          <t>2024-03-18 16:39:59</t>
        </is>
      </c>
      <c r="E1122" t="inlineStr">
        <is>
          <t>2024-03-18 16:39:59</t>
        </is>
      </c>
      <c r="F1122" t="inlineStr">
        <is>
          <t>666</t>
        </is>
      </c>
    </row>
    <row r="1123">
      <c r="A1123" t="inlineStr">
        <is>
          <t>JAVA RIOS WEIDER T0001379.pdf</t>
        </is>
      </c>
      <c r="B1123">
        <f>HYPERLINK("C:\Users\lmonroy\Tema\PLANILLA\BoletasPDF01-15\JAVA RIOS WEIDER T0001379.pdf", "Link")</f>
        <v/>
      </c>
      <c r="C1123" t="n">
        <v>134289</v>
      </c>
      <c r="D1123" t="inlineStr">
        <is>
          <t>2024-03-18 16:40:34</t>
        </is>
      </c>
      <c r="E1123" t="inlineStr">
        <is>
          <t>2024-03-18 16:40:34</t>
        </is>
      </c>
      <c r="F1123" t="inlineStr">
        <is>
          <t>666</t>
        </is>
      </c>
    </row>
    <row r="1124">
      <c r="A1124" t="inlineStr">
        <is>
          <t>JAVA TORRES DARWIN T0001378.pdf</t>
        </is>
      </c>
      <c r="B1124">
        <f>HYPERLINK("C:\Users\lmonroy\Tema\PLANILLA\BoletasPDF01-15\JAVA TORRES DARWIN T0001378.pdf", "Link")</f>
        <v/>
      </c>
      <c r="C1124" t="n">
        <v>134302</v>
      </c>
      <c r="D1124" t="inlineStr">
        <is>
          <t>2024-03-18 16:40:33</t>
        </is>
      </c>
      <c r="E1124" t="inlineStr">
        <is>
          <t>2024-03-18 16:40:33</t>
        </is>
      </c>
      <c r="F1124" t="inlineStr">
        <is>
          <t>666</t>
        </is>
      </c>
    </row>
    <row r="1125">
      <c r="A1125" t="inlineStr">
        <is>
          <t>JESUS SANDI SEGUNDO  T0001128.pdf</t>
        </is>
      </c>
      <c r="B1125">
        <f>HYPERLINK("C:\Users\lmonroy\Tema\PLANILLA\BoletasPDF01-15\JESUS SANDI SEGUNDO  T0001128.pdf", "Link")</f>
        <v/>
      </c>
      <c r="C1125" t="n">
        <v>134271</v>
      </c>
      <c r="D1125" t="inlineStr">
        <is>
          <t>2024-03-18 16:39:59</t>
        </is>
      </c>
      <c r="E1125" t="inlineStr">
        <is>
          <t>2024-03-18 16:39:59</t>
        </is>
      </c>
      <c r="F1125" t="inlineStr">
        <is>
          <t>666</t>
        </is>
      </c>
    </row>
    <row r="1126">
      <c r="A1126" t="inlineStr">
        <is>
          <t>JOGUISTA MACUSI RIGOBERTO  T0001134.pdf</t>
        </is>
      </c>
      <c r="B1126">
        <f>HYPERLINK("C:\Users\lmonroy\Tema\PLANILLA\BoletasPDF01-15\JOGUISTA MACUSI RIGOBERTO  T0001134.pdf", "Link")</f>
        <v/>
      </c>
      <c r="C1126" t="n">
        <v>134271</v>
      </c>
      <c r="D1126" t="inlineStr">
        <is>
          <t>2024-03-18 16:40:00</t>
        </is>
      </c>
      <c r="E1126" t="inlineStr">
        <is>
          <t>2024-03-18 16:40:00</t>
        </is>
      </c>
      <c r="F1126" t="inlineStr">
        <is>
          <t>666</t>
        </is>
      </c>
    </row>
    <row r="1127">
      <c r="A1127" t="inlineStr">
        <is>
          <t>JOQUISTA MACUSI ROBINSON  T0001135.pdf</t>
        </is>
      </c>
      <c r="B1127">
        <f>HYPERLINK("C:\Users\lmonroy\Tema\PLANILLA\BoletasPDF01-15\JOQUISTA MACUSI ROBINSON  T0001135.pdf", "Link")</f>
        <v/>
      </c>
      <c r="C1127" t="n">
        <v>134278</v>
      </c>
      <c r="D1127" t="inlineStr">
        <is>
          <t>2024-03-18 16:40:01</t>
        </is>
      </c>
      <c r="E1127" t="inlineStr">
        <is>
          <t>2024-03-18 16:40:01</t>
        </is>
      </c>
      <c r="F1127" t="inlineStr">
        <is>
          <t>666</t>
        </is>
      </c>
    </row>
    <row r="1128">
      <c r="A1128" t="inlineStr">
        <is>
          <t>LLERENA TORRES MILTON  T0001141.pdf</t>
        </is>
      </c>
      <c r="B1128">
        <f>HYPERLINK("C:\Users\lmonroy\Tema\PLANILLA\BoletasPDF01-15\LLERENA TORRES MILTON  T0001141.pdf", "Link")</f>
        <v/>
      </c>
      <c r="C1128" t="n">
        <v>134379</v>
      </c>
      <c r="D1128" t="inlineStr">
        <is>
          <t>2024-03-18 16:39:23</t>
        </is>
      </c>
      <c r="E1128" t="inlineStr">
        <is>
          <t>2024-03-18 16:39:23</t>
        </is>
      </c>
      <c r="F1128" t="inlineStr">
        <is>
          <t>666</t>
        </is>
      </c>
    </row>
    <row r="1129">
      <c r="A1129" t="inlineStr">
        <is>
          <t>LOPEZ MACUSI LUIS  T0001149.pdf</t>
        </is>
      </c>
      <c r="B1129">
        <f>HYPERLINK("C:\Users\lmonroy\Tema\PLANILLA\BoletasPDF01-15\LOPEZ MACUSI LUIS  T0001149.pdf", "Link")</f>
        <v/>
      </c>
      <c r="C1129" t="n">
        <v>134258</v>
      </c>
      <c r="D1129" t="inlineStr">
        <is>
          <t>2024-03-18 16:38:04</t>
        </is>
      </c>
      <c r="E1129" t="inlineStr">
        <is>
          <t>2024-03-18 16:38:04</t>
        </is>
      </c>
      <c r="F1129" t="inlineStr">
        <is>
          <t>666</t>
        </is>
      </c>
    </row>
    <row r="1130">
      <c r="A1130" t="inlineStr">
        <is>
          <t>LOPEZ MACUSI SEGUNDO CUSTODIO T0001150.pdf</t>
        </is>
      </c>
      <c r="B1130">
        <f>HYPERLINK("C:\Users\lmonroy\Tema\PLANILLA\BoletasPDF01-15\LOPEZ MACUSI SEGUNDO CUSTODIO T0001150.pdf", "Link")</f>
        <v/>
      </c>
      <c r="C1130" t="n">
        <v>134270</v>
      </c>
      <c r="D1130" t="inlineStr">
        <is>
          <t>2024-03-18 16:39:02</t>
        </is>
      </c>
      <c r="E1130" t="inlineStr">
        <is>
          <t>2024-03-18 16:39:02</t>
        </is>
      </c>
      <c r="F1130" t="inlineStr">
        <is>
          <t>666</t>
        </is>
      </c>
    </row>
    <row r="1131">
      <c r="A1131" t="inlineStr">
        <is>
          <t>LOPEZ RODRIGUEZ DILMER AROLDO T0001151.pdf</t>
        </is>
      </c>
      <c r="B1131">
        <f>HYPERLINK("C:\Users\lmonroy\Tema\PLANILLA\BoletasPDF01-15\LOPEZ RODRIGUEZ DILMER AROLDO T0001151.pdf", "Link")</f>
        <v/>
      </c>
      <c r="C1131" t="n">
        <v>134292</v>
      </c>
      <c r="D1131" t="inlineStr">
        <is>
          <t>2024-03-18 16:40:02</t>
        </is>
      </c>
      <c r="E1131" t="inlineStr">
        <is>
          <t>2024-03-18 16:40:02</t>
        </is>
      </c>
      <c r="F1131" t="inlineStr">
        <is>
          <t>666</t>
        </is>
      </c>
    </row>
    <row r="1132">
      <c r="A1132" t="inlineStr">
        <is>
          <t>MACAYO YAICATE ABRAHAN  T0001153.pdf</t>
        </is>
      </c>
      <c r="B1132">
        <f>HYPERLINK("C:\Users\lmonroy\Tema\PLANILLA\BoletasPDF01-15\MACAYO YAICATE ABRAHAN  T0001153.pdf", "Link")</f>
        <v/>
      </c>
      <c r="C1132" t="n">
        <v>134390</v>
      </c>
      <c r="D1132" t="inlineStr">
        <is>
          <t>2024-03-18 16:37:54</t>
        </is>
      </c>
      <c r="E1132" t="inlineStr">
        <is>
          <t>2024-03-18 16:37:54</t>
        </is>
      </c>
      <c r="F1132" t="inlineStr">
        <is>
          <t>666</t>
        </is>
      </c>
    </row>
    <row r="1133">
      <c r="A1133" t="inlineStr">
        <is>
          <t>MACEDO TRIGOSO ANTHONY NICK T0001155.pdf</t>
        </is>
      </c>
      <c r="B1133">
        <f>HYPERLINK("C:\Users\lmonroy\Tema\PLANILLA\BoletasPDF01-15\MACEDO TRIGOSO ANTHONY NICK T0001155.pdf", "Link")</f>
        <v/>
      </c>
      <c r="C1133" t="n">
        <v>134379</v>
      </c>
      <c r="D1133" t="inlineStr">
        <is>
          <t>2024-03-18 16:40:03</t>
        </is>
      </c>
      <c r="E1133" t="inlineStr">
        <is>
          <t>2024-03-18 16:40:03</t>
        </is>
      </c>
      <c r="F1133" t="inlineStr">
        <is>
          <t>666</t>
        </is>
      </c>
    </row>
    <row r="1134">
      <c r="A1134" t="inlineStr">
        <is>
          <t>MACUSI CLEMENTE ALBERTO  T0001159.pdf</t>
        </is>
      </c>
      <c r="B1134">
        <f>HYPERLINK("C:\Users\lmonroy\Tema\PLANILLA\BoletasPDF01-15\MACUSI CLEMENTE ALBERTO  T0001159.pdf", "Link")</f>
        <v/>
      </c>
      <c r="C1134" t="n">
        <v>134390</v>
      </c>
      <c r="D1134" t="inlineStr">
        <is>
          <t>2024-03-18 16:38:07</t>
        </is>
      </c>
      <c r="E1134" t="inlineStr">
        <is>
          <t>2024-03-18 16:38:07</t>
        </is>
      </c>
      <c r="F1134" t="inlineStr">
        <is>
          <t>666</t>
        </is>
      </c>
    </row>
    <row r="1135">
      <c r="A1135" t="inlineStr">
        <is>
          <t>MACUSI INUMA ROBINSON  T0001162.pdf</t>
        </is>
      </c>
      <c r="B1135">
        <f>HYPERLINK("C:\Users\lmonroy\Tema\PLANILLA\BoletasPDF01-15\MACUSI INUMA ROBINSON  T0001162.pdf", "Link")</f>
        <v/>
      </c>
      <c r="C1135" t="n">
        <v>134290</v>
      </c>
      <c r="D1135" t="inlineStr">
        <is>
          <t>2024-03-18 16:40:04</t>
        </is>
      </c>
      <c r="E1135" t="inlineStr">
        <is>
          <t>2024-03-18 16:40:04</t>
        </is>
      </c>
      <c r="F1135" t="inlineStr">
        <is>
          <t>666</t>
        </is>
      </c>
    </row>
    <row r="1136">
      <c r="A1136" t="inlineStr">
        <is>
          <t>MACUSI JOGUISTA HUMBERTO  T0001165.pdf</t>
        </is>
      </c>
      <c r="B1136">
        <f>HYPERLINK("C:\Users\lmonroy\Tema\PLANILLA\BoletasPDF01-15\MACUSI JOGUISTA HUMBERTO  T0001165.pdf", "Link")</f>
        <v/>
      </c>
      <c r="C1136" t="n">
        <v>134275</v>
      </c>
      <c r="D1136" t="inlineStr">
        <is>
          <t>2024-03-18 16:40:04</t>
        </is>
      </c>
      <c r="E1136" t="inlineStr">
        <is>
          <t>2024-03-18 16:40:04</t>
        </is>
      </c>
      <c r="F1136" t="inlineStr">
        <is>
          <t>666</t>
        </is>
      </c>
    </row>
    <row r="1137">
      <c r="A1137" t="inlineStr">
        <is>
          <t>MACUSI JOGUISTA SANTIAGO  T0001167.pdf</t>
        </is>
      </c>
      <c r="B1137">
        <f>HYPERLINK("C:\Users\lmonroy\Tema\PLANILLA\BoletasPDF01-15\MACUSI JOGUISTA SANTIAGO  T0001167.pdf", "Link")</f>
        <v/>
      </c>
      <c r="C1137" t="n">
        <v>134302</v>
      </c>
      <c r="D1137" t="inlineStr">
        <is>
          <t>2024-03-18 16:40:05</t>
        </is>
      </c>
      <c r="E1137" t="inlineStr">
        <is>
          <t>2024-03-18 16:40:05</t>
        </is>
      </c>
      <c r="F1137" t="inlineStr">
        <is>
          <t>666</t>
        </is>
      </c>
    </row>
    <row r="1138">
      <c r="A1138" t="inlineStr">
        <is>
          <t>MACUSI OJAICATE CUSTODIO  T0001169.pdf</t>
        </is>
      </c>
      <c r="B1138">
        <f>HYPERLINK("C:\Users\lmonroy\Tema\PLANILLA\BoletasPDF01-15\MACUSI OJAICATE CUSTODIO  T0001169.pdf", "Link")</f>
        <v/>
      </c>
      <c r="C1138" t="n">
        <v>134394</v>
      </c>
      <c r="D1138" t="inlineStr">
        <is>
          <t>2024-03-18 16:40:06</t>
        </is>
      </c>
      <c r="E1138" t="inlineStr">
        <is>
          <t>2024-03-18 16:40:06</t>
        </is>
      </c>
      <c r="F1138" t="inlineStr">
        <is>
          <t>666</t>
        </is>
      </c>
    </row>
    <row r="1139">
      <c r="A1139" t="inlineStr">
        <is>
          <t>MACUSI VELA IGNACIO  T0001172.pdf</t>
        </is>
      </c>
      <c r="B1139">
        <f>HYPERLINK("C:\Users\lmonroy\Tema\PLANILLA\BoletasPDF01-15\MACUSI VELA IGNACIO  T0001172.pdf", "Link")</f>
        <v/>
      </c>
      <c r="C1139" t="n">
        <v>134274</v>
      </c>
      <c r="D1139" t="inlineStr">
        <is>
          <t>2024-03-18 16:40:07</t>
        </is>
      </c>
      <c r="E1139" t="inlineStr">
        <is>
          <t>2024-03-18 16:40:07</t>
        </is>
      </c>
      <c r="F1139" t="inlineStr">
        <is>
          <t>666</t>
        </is>
      </c>
    </row>
    <row r="1140">
      <c r="A1140" t="inlineStr">
        <is>
          <t>MACUSI VELA JORGE T0001388.pdf</t>
        </is>
      </c>
      <c r="B1140">
        <f>HYPERLINK("C:\Users\lmonroy\Tema\PLANILLA\BoletasPDF01-15\MACUSI VELA JORGE T0001388.pdf", "Link")</f>
        <v/>
      </c>
      <c r="C1140" t="n">
        <v>134282</v>
      </c>
      <c r="D1140" t="inlineStr">
        <is>
          <t>2024-03-18 16:38:29</t>
        </is>
      </c>
      <c r="E1140" t="inlineStr">
        <is>
          <t>2024-03-18 16:38:29</t>
        </is>
      </c>
      <c r="F1140" t="inlineStr">
        <is>
          <t>666</t>
        </is>
      </c>
    </row>
    <row r="1141">
      <c r="A1141" t="inlineStr">
        <is>
          <t>MACUSI VELA JUAN  T0001175.pdf</t>
        </is>
      </c>
      <c r="B1141">
        <f>HYPERLINK("C:\Users\lmonroy\Tema\PLANILLA\BoletasPDF01-15\MACUSI VELA JUAN  T0001175.pdf", "Link")</f>
        <v/>
      </c>
      <c r="C1141" t="n">
        <v>134285</v>
      </c>
      <c r="D1141" t="inlineStr">
        <is>
          <t>2024-03-18 16:38:13</t>
        </is>
      </c>
      <c r="E1141" t="inlineStr">
        <is>
          <t>2024-03-18 16:38:13</t>
        </is>
      </c>
      <c r="F1141" t="inlineStr">
        <is>
          <t>666</t>
        </is>
      </c>
    </row>
    <row r="1142">
      <c r="A1142" t="inlineStr">
        <is>
          <t>MANAJO REATEGUI  JHULINO  T0001180.pdf</t>
        </is>
      </c>
      <c r="B1142">
        <f>HYPERLINK("C:\Users\lmonroy\Tema\PLANILLA\BoletasPDF01-15\MANAJO REATEGUI  JHULINO  T0001180.pdf", "Link")</f>
        <v/>
      </c>
      <c r="C1142" t="n">
        <v>134382</v>
      </c>
      <c r="D1142" t="inlineStr">
        <is>
          <t>2024-03-18 16:40:08</t>
        </is>
      </c>
      <c r="E1142" t="inlineStr">
        <is>
          <t>2024-03-18 16:40:08</t>
        </is>
      </c>
      <c r="F1142" t="inlineStr">
        <is>
          <t>666</t>
        </is>
      </c>
    </row>
    <row r="1143">
      <c r="A1143" t="inlineStr">
        <is>
          <t>MANAJO REATEGUI ALEXANDER  T0001181.pdf</t>
        </is>
      </c>
      <c r="B1143">
        <f>HYPERLINK("C:\Users\lmonroy\Tema\PLANILLA\BoletasPDF01-15\MANAJO REATEGUI ALEXANDER  T0001181.pdf", "Link")</f>
        <v/>
      </c>
      <c r="C1143" t="n">
        <v>134379</v>
      </c>
      <c r="D1143" t="inlineStr">
        <is>
          <t>2024-03-18 16:40:09</t>
        </is>
      </c>
      <c r="E1143" t="inlineStr">
        <is>
          <t>2024-03-18 16:40:09</t>
        </is>
      </c>
      <c r="F1143" t="inlineStr">
        <is>
          <t>666</t>
        </is>
      </c>
    </row>
    <row r="1144">
      <c r="A1144" t="inlineStr">
        <is>
          <t>MARICAHUA ALVAN JEN  T0001183.pdf</t>
        </is>
      </c>
      <c r="B1144">
        <f>HYPERLINK("C:\Users\lmonroy\Tema\PLANILLA\BoletasPDF01-15\MARICAHUA ALVAN JEN  T0001183.pdf", "Link")</f>
        <v/>
      </c>
      <c r="C1144" t="n">
        <v>134289</v>
      </c>
      <c r="D1144" t="inlineStr">
        <is>
          <t>2024-03-18 16:38:36</t>
        </is>
      </c>
      <c r="E1144" t="inlineStr">
        <is>
          <t>2024-03-18 16:38:36</t>
        </is>
      </c>
      <c r="F1144" t="inlineStr">
        <is>
          <t>666</t>
        </is>
      </c>
    </row>
    <row r="1145">
      <c r="A1145" t="inlineStr">
        <is>
          <t>MEZA MANIHUARI ROMER ABDIAS T0001186.pdf</t>
        </is>
      </c>
      <c r="B1145">
        <f>HYPERLINK("C:\Users\lmonroy\Tema\PLANILLA\BoletasPDF01-15\MEZA MANIHUARI ROMER ABDIAS T0001186.pdf", "Link")</f>
        <v/>
      </c>
      <c r="C1145" t="n">
        <v>134292</v>
      </c>
      <c r="D1145" t="inlineStr">
        <is>
          <t>2024-03-18 16:37:59</t>
        </is>
      </c>
      <c r="E1145" t="inlineStr">
        <is>
          <t>2024-03-18 16:37:59</t>
        </is>
      </c>
      <c r="F1145" t="inlineStr">
        <is>
          <t>666</t>
        </is>
      </c>
    </row>
    <row r="1146">
      <c r="A1146" t="inlineStr">
        <is>
          <t>MONTES SANDI ANTONI STEVEN T0001187.pdf</t>
        </is>
      </c>
      <c r="B1146">
        <f>HYPERLINK("C:\Users\lmonroy\Tema\PLANILLA\BoletasPDF01-15\MONTES SANDI ANTONI STEVEN T0001187.pdf", "Link")</f>
        <v/>
      </c>
      <c r="C1146" t="n">
        <v>134268</v>
      </c>
      <c r="D1146" t="inlineStr">
        <is>
          <t>2024-03-18 16:40:10</t>
        </is>
      </c>
      <c r="E1146" t="inlineStr">
        <is>
          <t>2024-03-18 16:40:10</t>
        </is>
      </c>
      <c r="F1146" t="inlineStr">
        <is>
          <t>666</t>
        </is>
      </c>
    </row>
    <row r="1147">
      <c r="A1147" t="inlineStr">
        <is>
          <t>NORIBE TARICUARIMA JUAN  T0001195.pdf</t>
        </is>
      </c>
      <c r="B1147">
        <f>HYPERLINK("C:\Users\lmonroy\Tema\PLANILLA\BoletasPDF01-15\NORIBE TARICUARIMA JUAN  T0001195.pdf", "Link")</f>
        <v/>
      </c>
      <c r="C1147" t="n">
        <v>134363</v>
      </c>
      <c r="D1147" t="inlineStr">
        <is>
          <t>2024-03-18 16:37:58</t>
        </is>
      </c>
      <c r="E1147" t="inlineStr">
        <is>
          <t>2024-03-18 16:37:58</t>
        </is>
      </c>
      <c r="F1147" t="inlineStr">
        <is>
          <t>666</t>
        </is>
      </c>
    </row>
    <row r="1148">
      <c r="A1148" t="inlineStr">
        <is>
          <t>NORIEGA VELA FELIPE T0001197.pdf</t>
        </is>
      </c>
      <c r="B1148">
        <f>HYPERLINK("C:\Users\lmonroy\Tema\PLANILLA\BoletasPDF01-15\NORIEGA VELA FELIPE T0001197.pdf", "Link")</f>
        <v/>
      </c>
      <c r="C1148" t="n">
        <v>134273</v>
      </c>
      <c r="D1148" t="inlineStr">
        <is>
          <t>2024-03-18 16:40:10</t>
        </is>
      </c>
      <c r="E1148" t="inlineStr">
        <is>
          <t>2024-03-18 16:40:10</t>
        </is>
      </c>
      <c r="F1148" t="inlineStr">
        <is>
          <t>666</t>
        </is>
      </c>
    </row>
    <row r="1149">
      <c r="A1149" t="inlineStr">
        <is>
          <t>NORIEGA VELA MANUEL  T0001199.pdf</t>
        </is>
      </c>
      <c r="B1149">
        <f>HYPERLINK("C:\Users\lmonroy\Tema\PLANILLA\BoletasPDF01-15\NORIEGA VELA MANUEL  T0001199.pdf", "Link")</f>
        <v/>
      </c>
      <c r="C1149" t="n">
        <v>134284</v>
      </c>
      <c r="D1149" t="inlineStr">
        <is>
          <t>2024-03-18 16:40:11</t>
        </is>
      </c>
      <c r="E1149" t="inlineStr">
        <is>
          <t>2024-03-18 16:40:11</t>
        </is>
      </c>
      <c r="F1149" t="inlineStr">
        <is>
          <t>666</t>
        </is>
      </c>
    </row>
    <row r="1150">
      <c r="A1150" t="inlineStr">
        <is>
          <t>NORIEGA VELA POMPILIO  T0001200.pdf</t>
        </is>
      </c>
      <c r="B1150">
        <f>HYPERLINK("C:\Users\lmonroy\Tema\PLANILLA\BoletasPDF01-15\NORIEGA VELA POMPILIO  T0001200.pdf", "Link")</f>
        <v/>
      </c>
      <c r="C1150" t="n">
        <v>134287</v>
      </c>
      <c r="D1150" t="inlineStr">
        <is>
          <t>2024-03-18 16:40:12</t>
        </is>
      </c>
      <c r="E1150" t="inlineStr">
        <is>
          <t>2024-03-18 16:40:12</t>
        </is>
      </c>
      <c r="F1150" t="inlineStr">
        <is>
          <t>666</t>
        </is>
      </c>
    </row>
    <row r="1151">
      <c r="A1151" t="inlineStr">
        <is>
          <t>NORIEGA VELA ROBERT  T0001201.pdf</t>
        </is>
      </c>
      <c r="B1151">
        <f>HYPERLINK("C:\Users\lmonroy\Tema\PLANILLA\BoletasPDF01-15\NORIEGA VELA ROBERT  T0001201.pdf", "Link")</f>
        <v/>
      </c>
      <c r="C1151" t="n">
        <v>134268</v>
      </c>
      <c r="D1151" t="inlineStr">
        <is>
          <t>2024-03-18 16:40:13</t>
        </is>
      </c>
      <c r="E1151" t="inlineStr">
        <is>
          <t>2024-03-18 16:40:13</t>
        </is>
      </c>
      <c r="F1151" t="inlineStr">
        <is>
          <t>666</t>
        </is>
      </c>
    </row>
    <row r="1152">
      <c r="A1152" t="inlineStr">
        <is>
          <t>NORIEGA VELA WILSON  T0001202.pdf</t>
        </is>
      </c>
      <c r="B1152">
        <f>HYPERLINK("C:\Users\lmonroy\Tema\PLANILLA\BoletasPDF01-15\NORIEGA VELA WILSON  T0001202.pdf", "Link")</f>
        <v/>
      </c>
      <c r="C1152" t="n">
        <v>134279</v>
      </c>
      <c r="D1152" t="inlineStr">
        <is>
          <t>2024-03-18 16:40:14</t>
        </is>
      </c>
      <c r="E1152" t="inlineStr">
        <is>
          <t>2024-03-18 16:40:14</t>
        </is>
      </c>
      <c r="F1152" t="inlineStr">
        <is>
          <t>666</t>
        </is>
      </c>
    </row>
    <row r="1153">
      <c r="A1153" t="inlineStr">
        <is>
          <t>NUBE CURICO JOSE LUIS T0001203.pdf</t>
        </is>
      </c>
      <c r="B1153">
        <f>HYPERLINK("C:\Users\lmonroy\Tema\PLANILLA\BoletasPDF01-15\NUBE CURICO JOSE LUIS T0001203.pdf", "Link")</f>
        <v/>
      </c>
      <c r="C1153" t="n">
        <v>134372</v>
      </c>
      <c r="D1153" t="inlineStr">
        <is>
          <t>2024-03-18 16:37:56</t>
        </is>
      </c>
      <c r="E1153" t="inlineStr">
        <is>
          <t>2024-03-18 16:37:56</t>
        </is>
      </c>
      <c r="F1153" t="inlineStr">
        <is>
          <t>666</t>
        </is>
      </c>
    </row>
    <row r="1154">
      <c r="A1154" t="inlineStr">
        <is>
          <t>NURIBE JOGUISTA IGNACIO  T0001206.pdf</t>
        </is>
      </c>
      <c r="B1154">
        <f>HYPERLINK("C:\Users\lmonroy\Tema\PLANILLA\BoletasPDF01-15\NURIBE JOGUISTA IGNACIO  T0001206.pdf", "Link")</f>
        <v/>
      </c>
      <c r="C1154" t="n">
        <v>134287</v>
      </c>
      <c r="D1154" t="inlineStr">
        <is>
          <t>2024-03-18 16:38:23</t>
        </is>
      </c>
      <c r="E1154" t="inlineStr">
        <is>
          <t>2024-03-18 16:38:23</t>
        </is>
      </c>
      <c r="F1154" t="inlineStr">
        <is>
          <t>666</t>
        </is>
      </c>
    </row>
    <row r="1155">
      <c r="A1155" t="inlineStr">
        <is>
          <t>OCHOA MONTES SIGFRIDO  T0001212.pdf</t>
        </is>
      </c>
      <c r="B1155">
        <f>HYPERLINK("C:\Users\lmonroy\Tema\PLANILLA\BoletasPDF01-15\OCHOA MONTES SIGFRIDO  T0001212.pdf", "Link")</f>
        <v/>
      </c>
      <c r="C1155" t="n">
        <v>134389</v>
      </c>
      <c r="D1155" t="inlineStr">
        <is>
          <t>2024-03-18 16:39:12</t>
        </is>
      </c>
      <c r="E1155" t="inlineStr">
        <is>
          <t>2024-03-18 16:39:12</t>
        </is>
      </c>
      <c r="F1155" t="inlineStr">
        <is>
          <t>666</t>
        </is>
      </c>
    </row>
    <row r="1156">
      <c r="A1156" t="inlineStr">
        <is>
          <t>OJAICATE ARAHUATA CARLOS  T0001213.pdf</t>
        </is>
      </c>
      <c r="B1156">
        <f>HYPERLINK("C:\Users\lmonroy\Tema\PLANILLA\BoletasPDF01-15\OJAICATE ARAHUATA CARLOS  T0001213.pdf", "Link")</f>
        <v/>
      </c>
      <c r="C1156" t="n">
        <v>134394</v>
      </c>
      <c r="D1156" t="inlineStr">
        <is>
          <t>2024-03-18 16:38:27</t>
        </is>
      </c>
      <c r="E1156" t="inlineStr">
        <is>
          <t>2024-03-18 16:38:27</t>
        </is>
      </c>
      <c r="F1156" t="inlineStr">
        <is>
          <t>666</t>
        </is>
      </c>
    </row>
    <row r="1157">
      <c r="A1157" t="inlineStr">
        <is>
          <t>PACAYA MANAJO LLERSON  T0001226.pdf</t>
        </is>
      </c>
      <c r="B1157">
        <f>HYPERLINK("C:\Users\lmonroy\Tema\PLANILLA\BoletasPDF01-15\PACAYA MANAJO LLERSON  T0001226.pdf", "Link")</f>
        <v/>
      </c>
      <c r="C1157" t="n">
        <v>134287</v>
      </c>
      <c r="D1157" t="inlineStr">
        <is>
          <t>2024-03-18 16:38:03</t>
        </is>
      </c>
      <c r="E1157" t="inlineStr">
        <is>
          <t>2024-03-18 16:38:03</t>
        </is>
      </c>
      <c r="F1157" t="inlineStr">
        <is>
          <t>666</t>
        </is>
      </c>
    </row>
    <row r="1158">
      <c r="A1158" t="inlineStr">
        <is>
          <t>PEREA PEREYRA DANI DEYVIS T0001237.pdf</t>
        </is>
      </c>
      <c r="B1158">
        <f>HYPERLINK("C:\Users\lmonroy\Tema\PLANILLA\BoletasPDF01-15\PEREA PEREYRA DANI DEYVIS T0001237.pdf", "Link")</f>
        <v/>
      </c>
      <c r="C1158" t="n">
        <v>134385</v>
      </c>
      <c r="D1158" t="inlineStr">
        <is>
          <t>2024-03-18 16:38:32</t>
        </is>
      </c>
      <c r="E1158" t="inlineStr">
        <is>
          <t>2024-03-18 16:38:32</t>
        </is>
      </c>
      <c r="F1158" t="inlineStr">
        <is>
          <t>666</t>
        </is>
      </c>
    </row>
    <row r="1159">
      <c r="A1159" t="inlineStr">
        <is>
          <t>PEREIRA SORIA JAIRO  T0001239.pdf</t>
        </is>
      </c>
      <c r="B1159">
        <f>HYPERLINK("C:\Users\lmonroy\Tema\PLANILLA\BoletasPDF01-15\PEREIRA SORIA JAIRO  T0001239.pdf", "Link")</f>
        <v/>
      </c>
      <c r="C1159" t="n">
        <v>134380</v>
      </c>
      <c r="D1159" t="inlineStr">
        <is>
          <t>2024-03-18 16:38:00</t>
        </is>
      </c>
      <c r="E1159" t="inlineStr">
        <is>
          <t>2024-03-18 16:38:00</t>
        </is>
      </c>
      <c r="F1159" t="inlineStr">
        <is>
          <t>666</t>
        </is>
      </c>
    </row>
    <row r="1160">
      <c r="A1160" t="inlineStr">
        <is>
          <t>PEREZ FALCON CESAR MANUEL T0001241.pdf</t>
        </is>
      </c>
      <c r="B1160">
        <f>HYPERLINK("C:\Users\lmonroy\Tema\PLANILLA\BoletasPDF01-15\PEREZ FALCON CESAR MANUEL T0001241.pdf", "Link")</f>
        <v/>
      </c>
      <c r="C1160" t="n">
        <v>134389</v>
      </c>
      <c r="D1160" t="inlineStr">
        <is>
          <t>2024-03-18 16:38:35</t>
        </is>
      </c>
      <c r="E1160" t="inlineStr">
        <is>
          <t>2024-03-18 16:38:35</t>
        </is>
      </c>
      <c r="F1160" t="inlineStr">
        <is>
          <t>666</t>
        </is>
      </c>
    </row>
    <row r="1161">
      <c r="A1161" t="inlineStr">
        <is>
          <t>QUISTO INUMA JACINTO  T0001249.pdf</t>
        </is>
      </c>
      <c r="B1161">
        <f>HYPERLINK("C:\Users\lmonroy\Tema\PLANILLA\BoletasPDF01-15\QUISTO INUMA JACINTO  T0001249.pdf", "Link")</f>
        <v/>
      </c>
      <c r="C1161" t="n">
        <v>134274</v>
      </c>
      <c r="D1161" t="inlineStr">
        <is>
          <t>2024-03-18 16:40:15</t>
        </is>
      </c>
      <c r="E1161" t="inlineStr">
        <is>
          <t>2024-03-18 16:40:15</t>
        </is>
      </c>
      <c r="F1161" t="inlineStr">
        <is>
          <t>666</t>
        </is>
      </c>
    </row>
    <row r="1162">
      <c r="A1162" t="inlineStr">
        <is>
          <t>RAMIREZ HIDALGO NELVIN MANUEL  T0001255.pdf</t>
        </is>
      </c>
      <c r="B1162">
        <f>HYPERLINK("C:\Users\lmonroy\Tema\PLANILLA\BoletasPDF01-15\RAMIREZ HIDALGO NELVIN MANUEL  T0001255.pdf", "Link")</f>
        <v/>
      </c>
      <c r="C1162" t="n">
        <v>134308</v>
      </c>
      <c r="D1162" t="inlineStr">
        <is>
          <t>2024-03-18 16:38:42</t>
        </is>
      </c>
      <c r="E1162" t="inlineStr">
        <is>
          <t>2024-03-18 16:38:42</t>
        </is>
      </c>
      <c r="F1162" t="inlineStr">
        <is>
          <t>666</t>
        </is>
      </c>
    </row>
    <row r="1163">
      <c r="A1163" t="inlineStr">
        <is>
          <t>RAMON INUMA JUAN  T0001258.pdf</t>
        </is>
      </c>
      <c r="B1163">
        <f>HYPERLINK("C:\Users\lmonroy\Tema\PLANILLA\BoletasPDF01-15\RAMON INUMA JUAN  T0001258.pdf", "Link")</f>
        <v/>
      </c>
      <c r="C1163" t="n">
        <v>134380</v>
      </c>
      <c r="D1163" t="inlineStr">
        <is>
          <t>2024-03-18 16:38:57</t>
        </is>
      </c>
      <c r="E1163" t="inlineStr">
        <is>
          <t>2024-03-18 16:38:57</t>
        </is>
      </c>
      <c r="F1163" t="inlineStr">
        <is>
          <t>666</t>
        </is>
      </c>
    </row>
    <row r="1164">
      <c r="A1164" t="inlineStr">
        <is>
          <t>RENGIFO GARATE JHONY T0001259.pdf</t>
        </is>
      </c>
      <c r="B1164">
        <f>HYPERLINK("C:\Users\lmonroy\Tema\PLANILLA\BoletasPDF01-15\RENGIFO GARATE JHONY T0001259.pdf", "Link")</f>
        <v/>
      </c>
      <c r="C1164" t="n">
        <v>134277</v>
      </c>
      <c r="D1164" t="inlineStr">
        <is>
          <t>2024-03-18 16:40:15</t>
        </is>
      </c>
      <c r="E1164" t="inlineStr">
        <is>
          <t>2024-03-18 16:40:15</t>
        </is>
      </c>
      <c r="F1164" t="inlineStr">
        <is>
          <t>666</t>
        </is>
      </c>
    </row>
    <row r="1165">
      <c r="A1165" t="inlineStr">
        <is>
          <t>ROFINO QUISTO PEDRO  T0001278.pdf</t>
        </is>
      </c>
      <c r="B1165">
        <f>HYPERLINK("C:\Users\lmonroy\Tema\PLANILLA\BoletasPDF01-15\ROFINO QUISTO PEDRO  T0001278.pdf", "Link")</f>
        <v/>
      </c>
      <c r="C1165" t="n">
        <v>134377</v>
      </c>
      <c r="D1165" t="inlineStr">
        <is>
          <t>2024-03-18 16:40:19</t>
        </is>
      </c>
      <c r="E1165" t="inlineStr">
        <is>
          <t>2024-03-18 16:40:19</t>
        </is>
      </c>
      <c r="F1165" t="inlineStr">
        <is>
          <t>666</t>
        </is>
      </c>
    </row>
    <row r="1166">
      <c r="A1166" t="inlineStr">
        <is>
          <t>ROJAS INUMA JULIO CESAR T0001273.pdf</t>
        </is>
      </c>
      <c r="B1166">
        <f>HYPERLINK("C:\Users\lmonroy\Tema\PLANILLA\BoletasPDF01-15\ROJAS INUMA JULIO CESAR T0001273.pdf", "Link")</f>
        <v/>
      </c>
      <c r="C1166" t="n">
        <v>134298</v>
      </c>
      <c r="D1166" t="inlineStr">
        <is>
          <t>2024-03-18 16:40:16</t>
        </is>
      </c>
      <c r="E1166" t="inlineStr">
        <is>
          <t>2024-03-18 16:40:16</t>
        </is>
      </c>
      <c r="F1166" t="inlineStr">
        <is>
          <t>666</t>
        </is>
      </c>
    </row>
    <row r="1167">
      <c r="A1167" t="inlineStr">
        <is>
          <t>ROJAS INUMA SEGUNDO MANUEL T0001274.pdf</t>
        </is>
      </c>
      <c r="B1167">
        <f>HYPERLINK("C:\Users\lmonroy\Tema\PLANILLA\BoletasPDF01-15\ROJAS INUMA SEGUNDO MANUEL T0001274.pdf", "Link")</f>
        <v/>
      </c>
      <c r="C1167" t="n">
        <v>134380</v>
      </c>
      <c r="D1167" t="inlineStr">
        <is>
          <t>2024-03-18 16:40:17</t>
        </is>
      </c>
      <c r="E1167" t="inlineStr">
        <is>
          <t>2024-03-18 16:40:17</t>
        </is>
      </c>
      <c r="F1167" t="inlineStr">
        <is>
          <t>666</t>
        </is>
      </c>
    </row>
    <row r="1168">
      <c r="A1168" t="inlineStr">
        <is>
          <t>RUFINO MACUSI ANTONIO  T0001277.pdf</t>
        </is>
      </c>
      <c r="B1168">
        <f>HYPERLINK("C:\Users\lmonroy\Tema\PLANILLA\BoletasPDF01-15\RUFINO MACUSI ANTONIO  T0001277.pdf", "Link")</f>
        <v/>
      </c>
      <c r="C1168" t="n">
        <v>134367</v>
      </c>
      <c r="D1168" t="inlineStr">
        <is>
          <t>2024-03-18 16:40:18</t>
        </is>
      </c>
      <c r="E1168" t="inlineStr">
        <is>
          <t>2024-03-18 16:40:18</t>
        </is>
      </c>
      <c r="F1168" t="inlineStr">
        <is>
          <t>666</t>
        </is>
      </c>
    </row>
    <row r="1169">
      <c r="A1169" t="inlineStr">
        <is>
          <t>RUIZ LA TORRE DINGER  T0001284.pdf</t>
        </is>
      </c>
      <c r="B1169">
        <f>HYPERLINK("C:\Users\lmonroy\Tema\PLANILLA\BoletasPDF01-15\RUIZ LA TORRE DINGER  T0001284.pdf", "Link")</f>
        <v/>
      </c>
      <c r="C1169" t="n">
        <v>134389</v>
      </c>
      <c r="D1169" t="inlineStr">
        <is>
          <t>2024-03-18 16:39:13</t>
        </is>
      </c>
      <c r="E1169" t="inlineStr">
        <is>
          <t>2024-03-18 16:39:13</t>
        </is>
      </c>
      <c r="F1169" t="inlineStr">
        <is>
          <t>666</t>
        </is>
      </c>
    </row>
    <row r="1170">
      <c r="A1170" t="inlineStr">
        <is>
          <t>SAIRO DASILVA WALDIR  T0001294.pdf</t>
        </is>
      </c>
      <c r="B1170">
        <f>HYPERLINK("C:\Users\lmonroy\Tema\PLANILLA\BoletasPDF01-15\SAIRO DASILVA WALDIR  T0001294.pdf", "Link")</f>
        <v/>
      </c>
      <c r="C1170" t="n">
        <v>134378</v>
      </c>
      <c r="D1170" t="inlineStr">
        <is>
          <t>2024-03-18 16:40:20</t>
        </is>
      </c>
      <c r="E1170" t="inlineStr">
        <is>
          <t>2024-03-18 16:40:20</t>
        </is>
      </c>
      <c r="F1170" t="inlineStr">
        <is>
          <t>666</t>
        </is>
      </c>
    </row>
    <row r="1171">
      <c r="A1171" t="inlineStr">
        <is>
          <t>SANDI TARICUARIMA ROQUI T0001298.pdf</t>
        </is>
      </c>
      <c r="B1171">
        <f>HYPERLINK("C:\Users\lmonroy\Tema\PLANILLA\BoletasPDF01-15\SANDI TARICUARIMA ROQUI T0001298.pdf", "Link")</f>
        <v/>
      </c>
      <c r="C1171" t="n">
        <v>134293</v>
      </c>
      <c r="D1171" t="inlineStr">
        <is>
          <t>2024-03-18 16:40:21</t>
        </is>
      </c>
      <c r="E1171" t="inlineStr">
        <is>
          <t>2024-03-18 16:40:21</t>
        </is>
      </c>
      <c r="F1171" t="inlineStr">
        <is>
          <t>666</t>
        </is>
      </c>
    </row>
    <row r="1172">
      <c r="A1172" t="inlineStr">
        <is>
          <t>SHAPIAMA COQUINCHE MARCIAL PAOLO T0001301.pdf</t>
        </is>
      </c>
      <c r="B1172">
        <f>HYPERLINK("C:\Users\lmonroy\Tema\PLANILLA\BoletasPDF01-15\SHAPIAMA COQUINCHE MARCIAL PAOLO T0001301.pdf", "Link")</f>
        <v/>
      </c>
      <c r="C1172" t="n">
        <v>134298</v>
      </c>
      <c r="D1172" t="inlineStr">
        <is>
          <t>2024-03-18 16:40:22</t>
        </is>
      </c>
      <c r="E1172" t="inlineStr">
        <is>
          <t>2024-03-18 16:40:22</t>
        </is>
      </c>
      <c r="F1172" t="inlineStr">
        <is>
          <t>666</t>
        </is>
      </c>
    </row>
    <row r="1173">
      <c r="A1173" t="inlineStr">
        <is>
          <t>SPOZZITTO YAÑEZ MIGUEL ANGEL T0001302.pdf</t>
        </is>
      </c>
      <c r="B1173">
        <f>HYPERLINK("C:\Users\lmonroy\Tema\PLANILLA\BoletasPDF01-15\SPOZZITTO YAÑEZ MIGUEL ANGEL T0001302.pdf", "Link")</f>
        <v/>
      </c>
      <c r="C1173" t="n">
        <v>134399</v>
      </c>
      <c r="D1173" t="inlineStr">
        <is>
          <t>2024-03-18 16:37:48</t>
        </is>
      </c>
      <c r="E1173" t="inlineStr">
        <is>
          <t>2024-03-18 16:37:48</t>
        </is>
      </c>
      <c r="F1173" t="inlineStr">
        <is>
          <t>666</t>
        </is>
      </c>
    </row>
    <row r="1174">
      <c r="A1174" t="inlineStr">
        <is>
          <t>TIHUAIRO MURAYARI JORGE LUIS T0001308.pdf</t>
        </is>
      </c>
      <c r="B1174">
        <f>HYPERLINK("C:\Users\lmonroy\Tema\PLANILLA\BoletasPDF01-15\TIHUAIRO MURAYARI JORGE LUIS T0001308.pdf", "Link")</f>
        <v/>
      </c>
      <c r="C1174" t="n">
        <v>134303</v>
      </c>
      <c r="D1174" t="inlineStr">
        <is>
          <t>2024-03-18 16:39:24</t>
        </is>
      </c>
      <c r="E1174" t="inlineStr">
        <is>
          <t>2024-03-18 16:39:24</t>
        </is>
      </c>
      <c r="F1174" t="inlineStr">
        <is>
          <t>666</t>
        </is>
      </c>
    </row>
    <row r="1175">
      <c r="A1175" t="inlineStr">
        <is>
          <t>TORRES SANDOVAL ADONIAS  T0001310.pdf</t>
        </is>
      </c>
      <c r="B1175">
        <f>HYPERLINK("C:\Users\lmonroy\Tema\PLANILLA\BoletasPDF01-15\TORRES SANDOVAL ADONIAS  T0001310.pdf", "Link")</f>
        <v/>
      </c>
      <c r="C1175" t="n">
        <v>134377</v>
      </c>
      <c r="D1175" t="inlineStr">
        <is>
          <t>2024-03-18 16:40:23</t>
        </is>
      </c>
      <c r="E1175" t="inlineStr">
        <is>
          <t>2024-03-18 16:40:23</t>
        </is>
      </c>
      <c r="F1175" t="inlineStr">
        <is>
          <t>666</t>
        </is>
      </c>
    </row>
    <row r="1176">
      <c r="A1176" t="inlineStr">
        <is>
          <t>TUANAMA IRARICA HERMOGENES CURTI T0001313.pdf</t>
        </is>
      </c>
      <c r="B1176">
        <f>HYPERLINK("C:\Users\lmonroy\Tema\PLANILLA\BoletasPDF01-15\TUANAMA IRARICA HERMOGENES CURTI T0001313.pdf", "Link")</f>
        <v/>
      </c>
      <c r="C1176" t="n">
        <v>134305</v>
      </c>
      <c r="D1176" t="inlineStr">
        <is>
          <t>2024-03-18 16:38:44</t>
        </is>
      </c>
      <c r="E1176" t="inlineStr">
        <is>
          <t>2024-03-18 16:38:44</t>
        </is>
      </c>
      <c r="F1176" t="inlineStr">
        <is>
          <t>666</t>
        </is>
      </c>
    </row>
    <row r="1177">
      <c r="A1177" t="inlineStr">
        <is>
          <t>TUANAMA IRARICA JAVAN  T0001392.pdf</t>
        </is>
      </c>
      <c r="B1177">
        <f>HYPERLINK("C:\Users\lmonroy\Tema\PLANILLA\BoletasPDF01-15\TUANAMA IRARICA JAVAN  T0001392.pdf", "Link")</f>
        <v/>
      </c>
      <c r="C1177" t="n">
        <v>134265</v>
      </c>
      <c r="D1177" t="inlineStr">
        <is>
          <t>2024-03-18 16:38:43</t>
        </is>
      </c>
      <c r="E1177" t="inlineStr">
        <is>
          <t>2024-03-18 16:38:43</t>
        </is>
      </c>
      <c r="F1177" t="inlineStr">
        <is>
          <t>666</t>
        </is>
      </c>
    </row>
    <row r="1178">
      <c r="A1178" t="inlineStr">
        <is>
          <t>TUANAMA MURAYARI HUGO  T0001314.pdf</t>
        </is>
      </c>
      <c r="B1178">
        <f>HYPERLINK("C:\Users\lmonroy\Tema\PLANILLA\BoletasPDF01-15\TUANAMA MURAYARI HUGO  T0001314.pdf", "Link")</f>
        <v/>
      </c>
      <c r="C1178" t="n">
        <v>134289</v>
      </c>
      <c r="D1178" t="inlineStr">
        <is>
          <t>2024-03-18 16:38:01</t>
        </is>
      </c>
      <c r="E1178" t="inlineStr">
        <is>
          <t>2024-03-18 16:38:01</t>
        </is>
      </c>
      <c r="F1178" t="inlineStr">
        <is>
          <t>666</t>
        </is>
      </c>
    </row>
    <row r="1179">
      <c r="A1179" t="inlineStr">
        <is>
          <t>TUANAMA MURAYARI SAMUEL  T0001316.pdf</t>
        </is>
      </c>
      <c r="B1179">
        <f>HYPERLINK("C:\Users\lmonroy\Tema\PLANILLA\BoletasPDF01-15\TUANAMA MURAYARI SAMUEL  T0001316.pdf", "Link")</f>
        <v/>
      </c>
      <c r="C1179" t="n">
        <v>134394</v>
      </c>
      <c r="D1179" t="inlineStr">
        <is>
          <t>2024-03-18 16:38:58</t>
        </is>
      </c>
      <c r="E1179" t="inlineStr">
        <is>
          <t>2024-03-18 16:38:58</t>
        </is>
      </c>
      <c r="F1179" t="inlineStr">
        <is>
          <t>666</t>
        </is>
      </c>
    </row>
    <row r="1180">
      <c r="A1180" t="inlineStr">
        <is>
          <t>TUESTA ACHING MARCO ANTONIO T0001317.pdf</t>
        </is>
      </c>
      <c r="B1180">
        <f>HYPERLINK("C:\Users\lmonroy\Tema\PLANILLA\BoletasPDF01-15\TUESTA ACHING MARCO ANTONIO T0001317.pdf", "Link")</f>
        <v/>
      </c>
      <c r="C1180" t="n">
        <v>134397</v>
      </c>
      <c r="D1180" t="inlineStr">
        <is>
          <t>2024-03-18 16:39:14</t>
        </is>
      </c>
      <c r="E1180" t="inlineStr">
        <is>
          <t>2024-03-18 16:39:14</t>
        </is>
      </c>
      <c r="F1180" t="inlineStr">
        <is>
          <t>666</t>
        </is>
      </c>
    </row>
    <row r="1181">
      <c r="A1181" t="inlineStr">
        <is>
          <t>URQUIA SALAS MARCIO LORENZO T0001318.pdf</t>
        </is>
      </c>
      <c r="B1181">
        <f>HYPERLINK("C:\Users\lmonroy\Tema\PLANILLA\BoletasPDF01-15\URQUIA SALAS MARCIO LORENZO T0001318.pdf", "Link")</f>
        <v/>
      </c>
      <c r="C1181" t="n">
        <v>134274</v>
      </c>
      <c r="D1181" t="inlineStr">
        <is>
          <t>2024-03-18 16:39:10</t>
        </is>
      </c>
      <c r="E1181" t="inlineStr">
        <is>
          <t>2024-03-18 16:39:10</t>
        </is>
      </c>
      <c r="F1181" t="inlineStr">
        <is>
          <t>666</t>
        </is>
      </c>
    </row>
    <row r="1182">
      <c r="A1182" t="inlineStr">
        <is>
          <t>VALDERRAMA MACUYAMA ERICK  T0001319.pdf</t>
        </is>
      </c>
      <c r="B1182">
        <f>HYPERLINK("C:\Users\lmonroy\Tema\PLANILLA\BoletasPDF01-15\VALDERRAMA MACUYAMA ERICK  T0001319.pdf", "Link")</f>
        <v/>
      </c>
      <c r="C1182" t="n">
        <v>134284</v>
      </c>
      <c r="D1182" t="inlineStr">
        <is>
          <t>2024-03-18 16:40:23</t>
        </is>
      </c>
      <c r="E1182" t="inlineStr">
        <is>
          <t>2024-03-18 16:40:23</t>
        </is>
      </c>
      <c r="F1182" t="inlineStr">
        <is>
          <t>666</t>
        </is>
      </c>
    </row>
    <row r="1183">
      <c r="A1183" t="inlineStr">
        <is>
          <t>VASQUEZ OJAICURO GILBERTO  T0001321.pdf</t>
        </is>
      </c>
      <c r="B1183">
        <f>HYPERLINK("C:\Users\lmonroy\Tema\PLANILLA\BoletasPDF01-15\VASQUEZ OJAICURO GILBERTO  T0001321.pdf", "Link")</f>
        <v/>
      </c>
      <c r="C1183" t="n">
        <v>134300</v>
      </c>
      <c r="D1183" t="inlineStr">
        <is>
          <t>2024-03-18 16:38:33</t>
        </is>
      </c>
      <c r="E1183" t="inlineStr">
        <is>
          <t>2024-03-18 16:38:33</t>
        </is>
      </c>
      <c r="F1183" t="inlineStr">
        <is>
          <t>666</t>
        </is>
      </c>
    </row>
    <row r="1184">
      <c r="A1184" t="inlineStr">
        <is>
          <t>VASQUEZ OJAICURO GUILLERMO  T0001322.pdf</t>
        </is>
      </c>
      <c r="B1184">
        <f>HYPERLINK("C:\Users\lmonroy\Tema\PLANILLA\BoletasPDF01-15\VASQUEZ OJAICURO GUILLERMO  T0001322.pdf", "Link")</f>
        <v/>
      </c>
      <c r="C1184" t="n">
        <v>134302</v>
      </c>
      <c r="D1184" t="inlineStr">
        <is>
          <t>2024-03-18 16:38:49</t>
        </is>
      </c>
      <c r="E1184" t="inlineStr">
        <is>
          <t>2024-03-18 16:38:49</t>
        </is>
      </c>
      <c r="F1184" t="inlineStr">
        <is>
          <t>666</t>
        </is>
      </c>
    </row>
    <row r="1185">
      <c r="A1185" t="inlineStr">
        <is>
          <t>VASQUEZ OJAICURO MIGUEL  T0001323.pdf</t>
        </is>
      </c>
      <c r="B1185">
        <f>HYPERLINK("C:\Users\lmonroy\Tema\PLANILLA\BoletasPDF01-15\VASQUEZ OJAICURO MIGUEL  T0001323.pdf", "Link")</f>
        <v/>
      </c>
      <c r="C1185" t="n">
        <v>134397</v>
      </c>
      <c r="D1185" t="inlineStr">
        <is>
          <t>2024-03-18 16:38:50</t>
        </is>
      </c>
      <c r="E1185" t="inlineStr">
        <is>
          <t>2024-03-18 16:38:50</t>
        </is>
      </c>
      <c r="F1185" t="inlineStr">
        <is>
          <t>666</t>
        </is>
      </c>
    </row>
    <row r="1186">
      <c r="A1186" t="inlineStr">
        <is>
          <t>VASQUEZ OJAICURO ROGER  T0001324.pdf</t>
        </is>
      </c>
      <c r="B1186">
        <f>HYPERLINK("C:\Users\lmonroy\Tema\PLANILLA\BoletasPDF01-15\VASQUEZ OJAICURO ROGER  T0001324.pdf", "Link")</f>
        <v/>
      </c>
      <c r="C1186" t="n">
        <v>134300</v>
      </c>
      <c r="D1186" t="inlineStr">
        <is>
          <t>2024-03-18 16:39:26</t>
        </is>
      </c>
      <c r="E1186" t="inlineStr">
        <is>
          <t>2024-03-18 16:39:26</t>
        </is>
      </c>
      <c r="F1186" t="inlineStr">
        <is>
          <t>666</t>
        </is>
      </c>
    </row>
    <row r="1187">
      <c r="A1187" t="inlineStr">
        <is>
          <t>VELA CUNAYA EMERSON T0001467.pdf</t>
        </is>
      </c>
      <c r="B1187">
        <f>HYPERLINK("C:\Users\lmonroy\Tema\PLANILLA\BoletasPDF01-15\VELA CUNAYA EMERSON T0001467.pdf", "Link")</f>
        <v/>
      </c>
      <c r="C1187" t="n">
        <v>134285</v>
      </c>
      <c r="D1187" t="inlineStr">
        <is>
          <t>2024-03-18 16:39:09</t>
        </is>
      </c>
      <c r="E1187" t="inlineStr">
        <is>
          <t>2024-03-18 16:39:09</t>
        </is>
      </c>
      <c r="F1187" t="inlineStr">
        <is>
          <t>666</t>
        </is>
      </c>
    </row>
    <row r="1188">
      <c r="A1188" t="inlineStr">
        <is>
          <t>VELA CUNAYA ROBINSON  T0001327.pdf</t>
        </is>
      </c>
      <c r="B1188">
        <f>HYPERLINK("C:\Users\lmonroy\Tema\PLANILLA\BoletasPDF01-15\VELA CUNAYA ROBINSON  T0001327.pdf", "Link")</f>
        <v/>
      </c>
      <c r="C1188" t="n">
        <v>134294</v>
      </c>
      <c r="D1188" t="inlineStr">
        <is>
          <t>2024-03-18 16:38:38</t>
        </is>
      </c>
      <c r="E1188" t="inlineStr">
        <is>
          <t>2024-03-18 16:38:38</t>
        </is>
      </c>
      <c r="F1188" t="inlineStr">
        <is>
          <t>666</t>
        </is>
      </c>
    </row>
    <row r="1189">
      <c r="A1189" t="inlineStr">
        <is>
          <t>VELA FATAMA ALBERTO  T0001328.pdf</t>
        </is>
      </c>
      <c r="B1189">
        <f>HYPERLINK("C:\Users\lmonroy\Tema\PLANILLA\BoletasPDF01-15\VELA FATAMA ALBERTO  T0001328.pdf", "Link")</f>
        <v/>
      </c>
      <c r="C1189" t="n">
        <v>134377</v>
      </c>
      <c r="D1189" t="inlineStr">
        <is>
          <t>2024-03-18 16:38:14</t>
        </is>
      </c>
      <c r="E1189" t="inlineStr">
        <is>
          <t>2024-03-18 16:38:14</t>
        </is>
      </c>
      <c r="F1189" t="inlineStr">
        <is>
          <t>666</t>
        </is>
      </c>
    </row>
    <row r="1190">
      <c r="A1190" t="inlineStr">
        <is>
          <t>VELA JUGUISTA NOLVERTO  T0001335.pdf</t>
        </is>
      </c>
      <c r="B1190">
        <f>HYPERLINK("C:\Users\lmonroy\Tema\PLANILLA\BoletasPDF01-15\VELA JUGUISTA NOLVERTO  T0001335.pdf", "Link")</f>
        <v/>
      </c>
      <c r="C1190" t="n">
        <v>134281</v>
      </c>
      <c r="D1190" t="inlineStr">
        <is>
          <t>2024-03-18 16:40:24</t>
        </is>
      </c>
      <c r="E1190" t="inlineStr">
        <is>
          <t>2024-03-18 16:40:24</t>
        </is>
      </c>
      <c r="F1190" t="inlineStr">
        <is>
          <t>666</t>
        </is>
      </c>
    </row>
    <row r="1191">
      <c r="A1191" t="inlineStr">
        <is>
          <t>VELA MURAYARI SAMUEL  T0001342.pdf</t>
        </is>
      </c>
      <c r="B1191">
        <f>HYPERLINK("C:\Users\lmonroy\Tema\PLANILLA\BoletasPDF01-15\VELA MURAYARI SAMUEL  T0001342.pdf", "Link")</f>
        <v/>
      </c>
      <c r="C1191" t="n">
        <v>134292</v>
      </c>
      <c r="D1191" t="inlineStr">
        <is>
          <t>2024-03-18 16:39:15</t>
        </is>
      </c>
      <c r="E1191" t="inlineStr">
        <is>
          <t>2024-03-18 16:39:15</t>
        </is>
      </c>
      <c r="F1191" t="inlineStr">
        <is>
          <t>666</t>
        </is>
      </c>
    </row>
    <row r="1192">
      <c r="A1192" t="inlineStr">
        <is>
          <t>VELA NURIBE VICTOR  T0001346.pdf</t>
        </is>
      </c>
      <c r="B1192">
        <f>HYPERLINK("C:\Users\lmonroy\Tema\PLANILLA\BoletasPDF01-15\VELA NURIBE VICTOR  T0001346.pdf", "Link")</f>
        <v/>
      </c>
      <c r="C1192" t="n">
        <v>134380</v>
      </c>
      <c r="D1192" t="inlineStr">
        <is>
          <t>2024-03-18 16:38:40</t>
        </is>
      </c>
      <c r="E1192" t="inlineStr">
        <is>
          <t>2024-03-18 16:38:40</t>
        </is>
      </c>
      <c r="F1192" t="inlineStr">
        <is>
          <t>666</t>
        </is>
      </c>
    </row>
    <row r="1193">
      <c r="A1193" t="inlineStr">
        <is>
          <t>VELA OJEYCATE WILDER  T0001351.pdf</t>
        </is>
      </c>
      <c r="B1193">
        <f>HYPERLINK("C:\Users\lmonroy\Tema\PLANILLA\BoletasPDF01-15\VELA OJEYCATE WILDER  T0001351.pdf", "Link")</f>
        <v/>
      </c>
      <c r="C1193" t="n">
        <v>134307</v>
      </c>
      <c r="D1193" t="inlineStr">
        <is>
          <t>2024-03-18 16:38:45</t>
        </is>
      </c>
      <c r="E1193" t="inlineStr">
        <is>
          <t>2024-03-18 16:38:45</t>
        </is>
      </c>
      <c r="F1193" t="inlineStr">
        <is>
          <t>666</t>
        </is>
      </c>
    </row>
    <row r="1194">
      <c r="A1194" t="inlineStr">
        <is>
          <t>VELA TORRES LLEVERSON  T0001353.pdf</t>
        </is>
      </c>
      <c r="B1194">
        <f>HYPERLINK("C:\Users\lmonroy\Tema\PLANILLA\BoletasPDF01-15\VELA TORRES LLEVERSON  T0001353.pdf", "Link")</f>
        <v/>
      </c>
      <c r="C1194" t="n">
        <v>134373</v>
      </c>
      <c r="D1194" t="inlineStr">
        <is>
          <t>2024-03-18 16:38:56</t>
        </is>
      </c>
      <c r="E1194" t="inlineStr">
        <is>
          <t>2024-03-18 16:38:56</t>
        </is>
      </c>
      <c r="F1194" t="inlineStr">
        <is>
          <t>666</t>
        </is>
      </c>
    </row>
    <row r="1195">
      <c r="A1195" t="inlineStr">
        <is>
          <t>VELA TORRES RONY MANASES T0001354.pdf</t>
        </is>
      </c>
      <c r="B1195">
        <f>HYPERLINK("C:\Users\lmonroy\Tema\PLANILLA\BoletasPDF01-15\VELA TORRES RONY MANASES T0001354.pdf", "Link")</f>
        <v/>
      </c>
      <c r="C1195" t="n">
        <v>134284</v>
      </c>
      <c r="D1195" t="inlineStr">
        <is>
          <t>2024-03-18 16:38:41</t>
        </is>
      </c>
      <c r="E1195" t="inlineStr">
        <is>
          <t>2024-03-18 16:38:41</t>
        </is>
      </c>
      <c r="F1195" t="inlineStr">
        <is>
          <t>666</t>
        </is>
      </c>
    </row>
    <row r="1196">
      <c r="A1196" t="inlineStr">
        <is>
          <t>VELA TORRES SAMUEL  T0001355.pdf</t>
        </is>
      </c>
      <c r="B1196">
        <f>HYPERLINK("C:\Users\lmonroy\Tema\PLANILLA\BoletasPDF01-15\VELA TORRES SAMUEL  T0001355.pdf", "Link")</f>
        <v/>
      </c>
      <c r="C1196" t="n">
        <v>134287</v>
      </c>
      <c r="D1196" t="inlineStr">
        <is>
          <t>2024-03-18 16:38:15</t>
        </is>
      </c>
      <c r="E1196" t="inlineStr">
        <is>
          <t>2024-03-18 16:38:15</t>
        </is>
      </c>
      <c r="F1196" t="inlineStr">
        <is>
          <t>666</t>
        </is>
      </c>
    </row>
    <row r="1197">
      <c r="A1197" t="inlineStr">
        <is>
          <t>VELASQUEZ RODRIGUEZ ROMEL T0001462.pdf</t>
        </is>
      </c>
      <c r="B1197">
        <f>HYPERLINK("C:\Users\lmonroy\Tema\PLANILLA\BoletasPDF01-15\VELASQUEZ RODRIGUEZ ROMEL T0001462.pdf", "Link")</f>
        <v/>
      </c>
      <c r="C1197" t="n">
        <v>134292</v>
      </c>
      <c r="D1197" t="inlineStr">
        <is>
          <t>2024-03-18 16:39:00</t>
        </is>
      </c>
      <c r="E1197" t="inlineStr">
        <is>
          <t>2024-03-18 16:39:00</t>
        </is>
      </c>
      <c r="F1197" t="inlineStr">
        <is>
          <t>666</t>
        </is>
      </c>
    </row>
    <row r="1198">
      <c r="A1198" t="inlineStr">
        <is>
          <t>VELASQUEZ TAPULLIMA ELDER T0001435.pdf</t>
        </is>
      </c>
      <c r="B1198">
        <f>HYPERLINK("C:\Users\lmonroy\Tema\PLANILLA\BoletasPDF01-15\VELASQUEZ TAPULLIMA ELDER T0001435.pdf", "Link")</f>
        <v/>
      </c>
      <c r="C1198" t="n">
        <v>134392</v>
      </c>
      <c r="D1198" t="inlineStr">
        <is>
          <t>2024-03-18 16:37:57</t>
        </is>
      </c>
      <c r="E1198" t="inlineStr">
        <is>
          <t>2024-03-18 16:37:57</t>
        </is>
      </c>
      <c r="F1198" t="inlineStr">
        <is>
          <t>666</t>
        </is>
      </c>
    </row>
    <row r="1199">
      <c r="A1199" t="inlineStr">
        <is>
          <t>VICENTE AHUITE JUAN  T0001356.pdf</t>
        </is>
      </c>
      <c r="B1199">
        <f>HYPERLINK("C:\Users\lmonroy\Tema\PLANILLA\BoletasPDF01-15\VICENTE AHUITE JUAN  T0001356.pdf", "Link")</f>
        <v/>
      </c>
      <c r="C1199" t="n">
        <v>134285</v>
      </c>
      <c r="D1199" t="inlineStr">
        <is>
          <t>2024-03-18 16:40:25</t>
        </is>
      </c>
      <c r="E1199" t="inlineStr">
        <is>
          <t>2024-03-18 16:40:25</t>
        </is>
      </c>
      <c r="F1199" t="inlineStr">
        <is>
          <t>666</t>
        </is>
      </c>
    </row>
    <row r="1200">
      <c r="A1200" t="inlineStr">
        <is>
          <t>VICENTE AHUITE SANTIAGO T0001369.pdf</t>
        </is>
      </c>
      <c r="B1200">
        <f>HYPERLINK("C:\Users\lmonroy\Tema\PLANILLA\BoletasPDF01-15\VICENTE AHUITE SANTIAGO T0001369.pdf", "Link")</f>
        <v/>
      </c>
      <c r="C1200" t="n">
        <v>134291</v>
      </c>
      <c r="D1200" t="inlineStr">
        <is>
          <t>2024-03-18 16:40:28</t>
        </is>
      </c>
      <c r="E1200" t="inlineStr">
        <is>
          <t>2024-03-18 16:40:28</t>
        </is>
      </c>
      <c r="F1200" t="inlineStr">
        <is>
          <t>666</t>
        </is>
      </c>
    </row>
    <row r="1201">
      <c r="A1201" t="inlineStr">
        <is>
          <t>VICTORIANO AHUITE MANUEL  T0001357.pdf</t>
        </is>
      </c>
      <c r="B1201">
        <f>HYPERLINK("C:\Users\lmonroy\Tema\PLANILLA\BoletasPDF01-15\VICTORIANO AHUITE MANUEL  T0001357.pdf", "Link")</f>
        <v/>
      </c>
      <c r="C1201" t="n">
        <v>134275</v>
      </c>
      <c r="D1201" t="inlineStr">
        <is>
          <t>2024-03-18 16:37:51</t>
        </is>
      </c>
      <c r="E1201" t="inlineStr">
        <is>
          <t>2024-03-18 16:37:51</t>
        </is>
      </c>
      <c r="F1201" t="inlineStr">
        <is>
          <t>666</t>
        </is>
      </c>
    </row>
    <row r="1202">
      <c r="A1202" t="inlineStr">
        <is>
          <t>VILCA RIOS EMANUEL  T0001359.pdf</t>
        </is>
      </c>
      <c r="B1202">
        <f>HYPERLINK("C:\Users\lmonroy\Tema\PLANILLA\BoletasPDF01-15\VILCA RIOS EMANUEL  T0001359.pdf", "Link")</f>
        <v/>
      </c>
      <c r="C1202" t="n">
        <v>134269</v>
      </c>
      <c r="D1202" t="inlineStr">
        <is>
          <t>2024-03-18 16:40:26</t>
        </is>
      </c>
      <c r="E1202" t="inlineStr">
        <is>
          <t>2024-03-18 16:40:26</t>
        </is>
      </c>
      <c r="F1202" t="inlineStr">
        <is>
          <t>666</t>
        </is>
      </c>
    </row>
    <row r="1203">
      <c r="A1203" t="inlineStr">
        <is>
          <t>VILLACORTA OLIVEIRA KILER  T0001360.pdf</t>
        </is>
      </c>
      <c r="B1203">
        <f>HYPERLINK("C:\Users\lmonroy\Tema\PLANILLA\BoletasPDF01-15\VILLACORTA OLIVEIRA KILER  T0001360.pdf", "Link")</f>
        <v/>
      </c>
      <c r="C1203" t="n">
        <v>134299</v>
      </c>
      <c r="D1203" t="inlineStr">
        <is>
          <t>2024-03-18 16:38:54</t>
        </is>
      </c>
      <c r="E1203" t="inlineStr">
        <is>
          <t>2024-03-18 16:38:54</t>
        </is>
      </c>
      <c r="F1203" t="inlineStr">
        <is>
          <t>666</t>
        </is>
      </c>
    </row>
    <row r="1204">
      <c r="A1204" t="inlineStr">
        <is>
          <t>YAHUARCANI SILVA MAGNER  T0001361.pdf</t>
        </is>
      </c>
      <c r="B1204">
        <f>HYPERLINK("C:\Users\lmonroy\Tema\PLANILLA\BoletasPDF01-15\YAHUARCANI SILVA MAGNER  T0001361.pdf", "Link")</f>
        <v/>
      </c>
      <c r="C1204" t="n">
        <v>134296</v>
      </c>
      <c r="D1204" t="inlineStr">
        <is>
          <t>2024-03-18 16:38:09</t>
        </is>
      </c>
      <c r="E1204" t="inlineStr">
        <is>
          <t>2024-03-18 16:38:09</t>
        </is>
      </c>
      <c r="F1204" t="inlineStr">
        <is>
          <t>666</t>
        </is>
      </c>
    </row>
    <row r="1205">
      <c r="A1205" t="inlineStr">
        <is>
          <t>YAHUARCANI SILVA WILDER EDUARDO T0001362.pdf</t>
        </is>
      </c>
      <c r="B1205">
        <f>HYPERLINK("C:\Users\lmonroy\Tema\PLANILLA\BoletasPDF01-15\YAHUARCANI SILVA WILDER EDUARDO T0001362.pdf", "Link")</f>
        <v/>
      </c>
      <c r="C1205" t="n">
        <v>134290</v>
      </c>
      <c r="D1205" t="inlineStr">
        <is>
          <t>2024-03-18 16:38:26</t>
        </is>
      </c>
      <c r="E1205" t="inlineStr">
        <is>
          <t>2024-03-18 16:38:26</t>
        </is>
      </c>
      <c r="F1205" t="inlineStr">
        <is>
          <t>666</t>
        </is>
      </c>
    </row>
    <row r="1206">
      <c r="A1206" t="inlineStr">
        <is>
          <t>YAICATE CLEMENTE MARIO  T0001363.pdf</t>
        </is>
      </c>
      <c r="B1206">
        <f>HYPERLINK("C:\Users\lmonroy\Tema\PLANILLA\BoletasPDF01-15\YAICATE CLEMENTE MARIO  T0001363.pdf", "Link")</f>
        <v/>
      </c>
      <c r="C1206" t="n">
        <v>134289</v>
      </c>
      <c r="D1206" t="inlineStr">
        <is>
          <t>2024-03-18 16:40:27</t>
        </is>
      </c>
      <c r="E1206" t="inlineStr">
        <is>
          <t>2024-03-18 16:40:27</t>
        </is>
      </c>
      <c r="F1206" t="inlineStr">
        <is>
          <t>666</t>
        </is>
      </c>
    </row>
    <row r="1207">
      <c r="A1207" t="inlineStr">
        <is>
          <t>YAICATE CURICO MOISES  T0001366.pdf</t>
        </is>
      </c>
      <c r="B1207">
        <f>HYPERLINK("C:\Users\lmonroy\Tema\PLANILLA\BoletasPDF01-15\YAICATE CURICO MOISES  T0001366.pdf", "Link")</f>
        <v/>
      </c>
      <c r="C1207" t="n">
        <v>134295</v>
      </c>
      <c r="D1207" t="inlineStr">
        <is>
          <t>2024-03-18 16:38:09</t>
        </is>
      </c>
      <c r="E1207" t="inlineStr">
        <is>
          <t>2024-03-18 16:38:09</t>
        </is>
      </c>
      <c r="F1207" t="inlineStr">
        <is>
          <t>666</t>
        </is>
      </c>
    </row>
    <row r="1208">
      <c r="A1208" t="inlineStr">
        <is>
          <t>YALTA TORRES ROBERTO PLACIDO T0001367.pdf</t>
        </is>
      </c>
      <c r="B1208">
        <f>HYPERLINK("C:\Users\lmonroy\Tema\PLANILLA\BoletasPDF01-15\YALTA TORRES ROBERTO PLACIDO T0001367.pdf", "Link")</f>
        <v/>
      </c>
      <c r="C1208" t="n">
        <v>134394</v>
      </c>
      <c r="D1208" t="inlineStr">
        <is>
          <t>2024-03-18 16:39:29</t>
        </is>
      </c>
      <c r="E1208" t="inlineStr">
        <is>
          <t>2024-03-18 16:39:29</t>
        </is>
      </c>
      <c r="F1208" t="inlineStr">
        <is>
          <t>666</t>
        </is>
      </c>
    </row>
    <row r="1209">
      <c r="A1209" t="inlineStr">
        <is>
          <t>AHUANARI ASPAJO JOSE  T0001015.pdf</t>
        </is>
      </c>
      <c r="B1209">
        <f>HYPERLINK("C:\Users\lmonroy\Tema\PLANILLA\BoletasPDF16-31\AHUANARI ASPAJO JOSE  T0001015.pdf", "Link")</f>
        <v/>
      </c>
      <c r="C1209" t="n">
        <v>166293</v>
      </c>
      <c r="D1209" t="inlineStr">
        <is>
          <t>2024-03-18 16:53:46</t>
        </is>
      </c>
      <c r="E1209" t="inlineStr">
        <is>
          <t>2024-03-18 16:53:46</t>
        </is>
      </c>
      <c r="F1209" t="inlineStr">
        <is>
          <t>666</t>
        </is>
      </c>
    </row>
    <row r="1210">
      <c r="A1210" t="inlineStr">
        <is>
          <t>AHUANARI MANAJO MILLER  T0001016.pdf</t>
        </is>
      </c>
      <c r="B1210">
        <f>HYPERLINK("C:\Users\lmonroy\Tema\PLANILLA\BoletasPDF16-31\AHUANARI MANAJO MILLER  T0001016.pdf", "Link")</f>
        <v/>
      </c>
      <c r="C1210" t="n">
        <v>166127</v>
      </c>
      <c r="D1210" t="inlineStr">
        <is>
          <t>2024-03-18 16:52:07</t>
        </is>
      </c>
      <c r="E1210" t="inlineStr">
        <is>
          <t>2024-03-18 16:52:07</t>
        </is>
      </c>
      <c r="F1210" t="inlineStr">
        <is>
          <t>666</t>
        </is>
      </c>
    </row>
    <row r="1211">
      <c r="A1211" t="inlineStr">
        <is>
          <t>AHUITE MACUSI LUIS  T0001018.pdf</t>
        </is>
      </c>
      <c r="B1211">
        <f>HYPERLINK("C:\Users\lmonroy\Tema\PLANILLA\BoletasPDF16-31\AHUITE MACUSI LUIS  T0001018.pdf", "Link")</f>
        <v/>
      </c>
      <c r="C1211" t="n">
        <v>166142</v>
      </c>
      <c r="D1211" t="inlineStr">
        <is>
          <t>2024-03-18 16:53:49</t>
        </is>
      </c>
      <c r="E1211" t="inlineStr">
        <is>
          <t>2024-03-18 16:53:49</t>
        </is>
      </c>
      <c r="F1211" t="inlineStr">
        <is>
          <t>666</t>
        </is>
      </c>
    </row>
    <row r="1212">
      <c r="A1212" t="inlineStr">
        <is>
          <t>AJEICATE ARAHUATE CELSO  T0001023.pdf</t>
        </is>
      </c>
      <c r="B1212">
        <f>HYPERLINK("C:\Users\lmonroy\Tema\PLANILLA\BoletasPDF16-31\AJEICATE ARAHUATE CELSO  T0001023.pdf", "Link")</f>
        <v/>
      </c>
      <c r="C1212" t="n">
        <v>166332</v>
      </c>
      <c r="D1212" t="inlineStr">
        <is>
          <t>2024-03-18 16:50:45</t>
        </is>
      </c>
      <c r="E1212" t="inlineStr">
        <is>
          <t>2024-03-18 16:50:45</t>
        </is>
      </c>
      <c r="F1212" t="inlineStr">
        <is>
          <t>666</t>
        </is>
      </c>
    </row>
    <row r="1213">
      <c r="A1213" t="inlineStr">
        <is>
          <t>AMARINGO NAVARRO GUNDER  T0001024.pdf</t>
        </is>
      </c>
      <c r="B1213">
        <f>HYPERLINK("C:\Users\lmonroy\Tema\PLANILLA\BoletasPDF16-31\AMARINGO NAVARRO GUNDER  T0001024.pdf", "Link")</f>
        <v/>
      </c>
      <c r="C1213" t="n">
        <v>166132</v>
      </c>
      <c r="D1213" t="inlineStr">
        <is>
          <t>2024-03-18 16:53:42</t>
        </is>
      </c>
      <c r="E1213" t="inlineStr">
        <is>
          <t>2024-03-18 16:53:42</t>
        </is>
      </c>
      <c r="F1213" t="inlineStr">
        <is>
          <t>666</t>
        </is>
      </c>
    </row>
    <row r="1214">
      <c r="A1214" t="inlineStr">
        <is>
          <t>AMARINGO RUIZ LUIS WIDER T0001025.pdf</t>
        </is>
      </c>
      <c r="B1214">
        <f>HYPERLINK("C:\Users\lmonroy\Tema\PLANILLA\BoletasPDF16-31\AMARINGO RUIZ LUIS WIDER T0001025.pdf", "Link")</f>
        <v/>
      </c>
      <c r="C1214" t="n">
        <v>166321</v>
      </c>
      <c r="D1214" t="inlineStr">
        <is>
          <t>2024-03-18 16:50:31</t>
        </is>
      </c>
      <c r="E1214" t="inlineStr">
        <is>
          <t>2024-03-18 16:50:31</t>
        </is>
      </c>
      <c r="F1214" t="inlineStr">
        <is>
          <t>666</t>
        </is>
      </c>
    </row>
    <row r="1215">
      <c r="A1215" t="inlineStr">
        <is>
          <t>AMARINGO VASQUEZ DIRSEO  T0001026.pdf</t>
        </is>
      </c>
      <c r="B1215">
        <f>HYPERLINK("C:\Users\lmonroy\Tema\PLANILLA\BoletasPDF16-31\AMARINGO VASQUEZ DIRSEO  T0001026.pdf", "Link")</f>
        <v/>
      </c>
      <c r="C1215" t="n">
        <v>166327</v>
      </c>
      <c r="D1215" t="inlineStr">
        <is>
          <t>2024-03-18 16:53:49</t>
        </is>
      </c>
      <c r="E1215" t="inlineStr">
        <is>
          <t>2024-03-18 16:53:49</t>
        </is>
      </c>
      <c r="F1215" t="inlineStr">
        <is>
          <t>666</t>
        </is>
      </c>
    </row>
    <row r="1216">
      <c r="A1216" t="inlineStr">
        <is>
          <t>ANDRADE NUÑEZ ARTI LEO T0001437.pdf</t>
        </is>
      </c>
      <c r="B1216">
        <f>HYPERLINK("C:\Users\lmonroy\Tema\PLANILLA\BoletasPDF16-31\ANDRADE NUÑEZ ARTI LEO T0001437.pdf", "Link")</f>
        <v/>
      </c>
      <c r="C1216" t="n">
        <v>166324</v>
      </c>
      <c r="D1216" t="inlineStr">
        <is>
          <t>2024-03-18 16:52:49</t>
        </is>
      </c>
      <c r="E1216" t="inlineStr">
        <is>
          <t>2024-03-18 16:52:49</t>
        </is>
      </c>
      <c r="F1216" t="inlineStr">
        <is>
          <t>666</t>
        </is>
      </c>
    </row>
    <row r="1217">
      <c r="A1217" t="inlineStr">
        <is>
          <t>ARIRAMA CANAQUIRI OCTAVIO T0001438.pdf</t>
        </is>
      </c>
      <c r="B1217">
        <f>HYPERLINK("C:\Users\lmonroy\Tema\PLANILLA\BoletasPDF16-31\ARIRAMA CANAQUIRI OCTAVIO T0001438.pdf", "Link")</f>
        <v/>
      </c>
      <c r="C1217" t="n">
        <v>166150</v>
      </c>
      <c r="D1217" t="inlineStr">
        <is>
          <t>2024-03-18 16:53:18</t>
        </is>
      </c>
      <c r="E1217" t="inlineStr">
        <is>
          <t>2024-03-18 16:53:18</t>
        </is>
      </c>
      <c r="F1217" t="inlineStr">
        <is>
          <t>666</t>
        </is>
      </c>
    </row>
    <row r="1218">
      <c r="A1218" t="inlineStr">
        <is>
          <t>ARIRAMA DOÑE FRANCISCO JAVIER T0001033.pdf</t>
        </is>
      </c>
      <c r="B1218">
        <f>HYPERLINK("C:\Users\lmonroy\Tema\PLANILLA\BoletasPDF16-31\ARIRAMA DOÑE FRANCISCO JAVIER T0001033.pdf", "Link")</f>
        <v/>
      </c>
      <c r="C1218" t="n">
        <v>166145</v>
      </c>
      <c r="D1218" t="inlineStr">
        <is>
          <t>2024-03-18 16:52:59</t>
        </is>
      </c>
      <c r="E1218" t="inlineStr">
        <is>
          <t>2024-03-18 16:52:59</t>
        </is>
      </c>
      <c r="F1218" t="inlineStr">
        <is>
          <t>666</t>
        </is>
      </c>
    </row>
    <row r="1219">
      <c r="A1219" t="inlineStr">
        <is>
          <t>ARIRAMA SANDI FELIX T0001439.pdf</t>
        </is>
      </c>
      <c r="B1219">
        <f>HYPERLINK("C:\Users\lmonroy\Tema\PLANILLA\BoletasPDF16-31\ARIRAMA SANDI FELIX T0001439.pdf", "Link")</f>
        <v/>
      </c>
      <c r="C1219" t="n">
        <v>166319</v>
      </c>
      <c r="D1219" t="inlineStr">
        <is>
          <t>2024-03-18 16:51:16</t>
        </is>
      </c>
      <c r="E1219" t="inlineStr">
        <is>
          <t>2024-03-18 16:51:16</t>
        </is>
      </c>
      <c r="F1219" t="inlineStr">
        <is>
          <t>666</t>
        </is>
      </c>
    </row>
    <row r="1220">
      <c r="A1220" t="inlineStr">
        <is>
          <t>AYAMBO IJUMA FRANK DUX T0001035.pdf</t>
        </is>
      </c>
      <c r="B1220">
        <f>HYPERLINK("C:\Users\lmonroy\Tema\PLANILLA\BoletasPDF16-31\AYAMBO IJUMA FRANK DUX T0001035.pdf", "Link")</f>
        <v/>
      </c>
      <c r="C1220" t="n">
        <v>166174</v>
      </c>
      <c r="D1220" t="inlineStr">
        <is>
          <t>2024-03-18 16:52:35</t>
        </is>
      </c>
      <c r="E1220" t="inlineStr">
        <is>
          <t>2024-03-18 16:52:35</t>
        </is>
      </c>
      <c r="F1220" t="inlineStr">
        <is>
          <t>666</t>
        </is>
      </c>
    </row>
    <row r="1221">
      <c r="A1221" t="inlineStr">
        <is>
          <t>AYAMBO IJUMA JARRY  T0001036.pdf</t>
        </is>
      </c>
      <c r="B1221">
        <f>HYPERLINK("C:\Users\lmonroy\Tema\PLANILLA\BoletasPDF16-31\AYAMBO IJUMA JARRY  T0001036.pdf", "Link")</f>
        <v/>
      </c>
      <c r="C1221" t="n">
        <v>166375</v>
      </c>
      <c r="D1221" t="inlineStr">
        <is>
          <t>2024-03-18 16:51:28</t>
        </is>
      </c>
      <c r="E1221" t="inlineStr">
        <is>
          <t>2024-03-18 16:51:28</t>
        </is>
      </c>
      <c r="F1221" t="inlineStr">
        <is>
          <t>666</t>
        </is>
      </c>
    </row>
    <row r="1222">
      <c r="A1222" t="inlineStr">
        <is>
          <t>AYAMBO TORRES MANUEL  T0001037.pdf</t>
        </is>
      </c>
      <c r="B1222">
        <f>HYPERLINK("C:\Users\lmonroy\Tema\PLANILLA\BoletasPDF16-31\AYAMBO TORRES MANUEL  T0001037.pdf", "Link")</f>
        <v/>
      </c>
      <c r="C1222" t="n">
        <v>166167</v>
      </c>
      <c r="D1222" t="inlineStr">
        <is>
          <t>2024-03-18 16:53:41</t>
        </is>
      </c>
      <c r="E1222" t="inlineStr">
        <is>
          <t>2024-03-18 16:53:41</t>
        </is>
      </c>
      <c r="F1222" t="inlineStr">
        <is>
          <t>666</t>
        </is>
      </c>
    </row>
    <row r="1223">
      <c r="A1223" t="inlineStr">
        <is>
          <t>BARDALES MACUSI SEGUNDO  T0001039.pdf</t>
        </is>
      </c>
      <c r="B1223">
        <f>HYPERLINK("C:\Users\lmonroy\Tema\PLANILLA\BoletasPDF16-31\BARDALES MACUSI SEGUNDO  T0001039.pdf", "Link")</f>
        <v/>
      </c>
      <c r="C1223" t="n">
        <v>166142</v>
      </c>
      <c r="D1223" t="inlineStr">
        <is>
          <t>2024-03-18 16:51:54</t>
        </is>
      </c>
      <c r="E1223" t="inlineStr">
        <is>
          <t>2024-03-18 16:51:54</t>
        </is>
      </c>
      <c r="F1223" t="inlineStr">
        <is>
          <t>666</t>
        </is>
      </c>
    </row>
    <row r="1224">
      <c r="A1224" t="inlineStr">
        <is>
          <t>BARDALES RODRIGUEZ CLEISEN T0001440.pdf</t>
        </is>
      </c>
      <c r="B1224">
        <f>HYPERLINK("C:\Users\lmonroy\Tema\PLANILLA\BoletasPDF16-31\BARDALES RODRIGUEZ CLEISEN T0001440.pdf", "Link")</f>
        <v/>
      </c>
      <c r="C1224" t="n">
        <v>166145</v>
      </c>
      <c r="D1224" t="inlineStr">
        <is>
          <t>2024-03-18 16:51:50</t>
        </is>
      </c>
      <c r="E1224" t="inlineStr">
        <is>
          <t>2024-03-18 16:51:50</t>
        </is>
      </c>
      <c r="F1224" t="inlineStr">
        <is>
          <t>666</t>
        </is>
      </c>
    </row>
    <row r="1225">
      <c r="A1225" t="inlineStr">
        <is>
          <t>BARDALES SANCHEZ BRALIN T0001441.pdf</t>
        </is>
      </c>
      <c r="B1225">
        <f>HYPERLINK("C:\Users\lmonroy\Tema\PLANILLA\BoletasPDF16-31\BARDALES SANCHEZ BRALIN T0001441.pdf", "Link")</f>
        <v/>
      </c>
      <c r="C1225" t="n">
        <v>166329</v>
      </c>
      <c r="D1225" t="inlineStr">
        <is>
          <t>2024-03-18 16:51:23</t>
        </is>
      </c>
      <c r="E1225" t="inlineStr">
        <is>
          <t>2024-03-18 16:51:23</t>
        </is>
      </c>
      <c r="F1225" t="inlineStr">
        <is>
          <t>666</t>
        </is>
      </c>
    </row>
    <row r="1226">
      <c r="A1226" t="inlineStr">
        <is>
          <t>BARDALES SANCHEZ JACME JHORDAN T0001043.pdf</t>
        </is>
      </c>
      <c r="B1226">
        <f>HYPERLINK("C:\Users\lmonroy\Tema\PLANILLA\BoletasPDF16-31\BARDALES SANCHEZ JACME JHORDAN T0001043.pdf", "Link")</f>
        <v/>
      </c>
      <c r="C1226" t="n">
        <v>166159</v>
      </c>
      <c r="D1226" t="inlineStr">
        <is>
          <t>2024-03-18 16:52:53</t>
        </is>
      </c>
      <c r="E1226" t="inlineStr">
        <is>
          <t>2024-03-18 16:52:53</t>
        </is>
      </c>
      <c r="F1226" t="inlineStr">
        <is>
          <t>666</t>
        </is>
      </c>
    </row>
    <row r="1227">
      <c r="A1227" t="inlineStr">
        <is>
          <t>CACHIRICO JOGUISTA ROBERTO  T0001045.pdf</t>
        </is>
      </c>
      <c r="B1227">
        <f>HYPERLINK("C:\Users\lmonroy\Tema\PLANILLA\BoletasPDF16-31\CACHIRICO JOGUISTA ROBERTO  T0001045.pdf", "Link")</f>
        <v/>
      </c>
      <c r="C1227" t="n">
        <v>166159</v>
      </c>
      <c r="D1227" t="inlineStr">
        <is>
          <t>2024-03-18 16:53:22</t>
        </is>
      </c>
      <c r="E1227" t="inlineStr">
        <is>
          <t>2024-03-18 16:53:22</t>
        </is>
      </c>
      <c r="F1227" t="inlineStr">
        <is>
          <t>666</t>
        </is>
      </c>
    </row>
    <row r="1228">
      <c r="A1228" t="inlineStr">
        <is>
          <t>CACHIRICO LOPEZ RONY T0001046.pdf</t>
        </is>
      </c>
      <c r="B1228">
        <f>HYPERLINK("C:\Users\lmonroy\Tema\PLANILLA\BoletasPDF16-31\CACHIRICO LOPEZ RONY T0001046.pdf", "Link")</f>
        <v/>
      </c>
      <c r="C1228" t="n">
        <v>166330</v>
      </c>
      <c r="D1228" t="inlineStr">
        <is>
          <t>2024-03-18 16:52:40</t>
        </is>
      </c>
      <c r="E1228" t="inlineStr">
        <is>
          <t>2024-03-18 16:52:40</t>
        </is>
      </c>
      <c r="F1228" t="inlineStr">
        <is>
          <t>666</t>
        </is>
      </c>
    </row>
    <row r="1229">
      <c r="A1229" t="inlineStr">
        <is>
          <t>CAHUAZA IRARICA EXAR  T0001047.pdf</t>
        </is>
      </c>
      <c r="B1229">
        <f>HYPERLINK("C:\Users\lmonroy\Tema\PLANILLA\BoletasPDF16-31\CAHUAZA IRARICA EXAR  T0001047.pdf", "Link")</f>
        <v/>
      </c>
      <c r="C1229" t="n">
        <v>166339</v>
      </c>
      <c r="D1229" t="inlineStr">
        <is>
          <t>2024-03-18 16:52:17</t>
        </is>
      </c>
      <c r="E1229" t="inlineStr">
        <is>
          <t>2024-03-18 16:52:17</t>
        </is>
      </c>
      <c r="F1229" t="inlineStr">
        <is>
          <t>666</t>
        </is>
      </c>
    </row>
    <row r="1230">
      <c r="A1230" t="inlineStr">
        <is>
          <t>CAHUAZA MURAYARI NIXON  T0001048.pdf</t>
        </is>
      </c>
      <c r="B1230">
        <f>HYPERLINK("C:\Users\lmonroy\Tema\PLANILLA\BoletasPDF16-31\CAHUAZA MURAYARI NIXON  T0001048.pdf", "Link")</f>
        <v/>
      </c>
      <c r="C1230" t="n">
        <v>166337</v>
      </c>
      <c r="D1230" t="inlineStr">
        <is>
          <t>2024-03-18 16:50:55</t>
        </is>
      </c>
      <c r="E1230" t="inlineStr">
        <is>
          <t>2024-03-18 16:50:55</t>
        </is>
      </c>
      <c r="F1230" t="inlineStr">
        <is>
          <t>666</t>
        </is>
      </c>
    </row>
    <row r="1231">
      <c r="A1231" t="inlineStr">
        <is>
          <t>CARDENAS VALLES LUIS HOMERO T0001049.pdf</t>
        </is>
      </c>
      <c r="B1231">
        <f>HYPERLINK("C:\Users\lmonroy\Tema\PLANILLA\BoletasPDF16-31\CARDENAS VALLES LUIS HOMERO T0001049.pdf", "Link")</f>
        <v/>
      </c>
      <c r="C1231" t="n">
        <v>166330</v>
      </c>
      <c r="D1231" t="inlineStr">
        <is>
          <t>2024-03-18 16:50:18</t>
        </is>
      </c>
      <c r="E1231" t="inlineStr">
        <is>
          <t>2024-03-18 16:50:18</t>
        </is>
      </c>
      <c r="F1231" t="inlineStr">
        <is>
          <t>666</t>
        </is>
      </c>
    </row>
    <row r="1232">
      <c r="A1232" t="inlineStr">
        <is>
          <t>CARIHUASAIRO CHARPENTIER CHRISTIAN CANY T0001050.pdf</t>
        </is>
      </c>
      <c r="B1232">
        <f>HYPERLINK("C:\Users\lmonroy\Tema\PLANILLA\BoletasPDF16-31\CARIHUASAIRO CHARPENTIER CHRISTIAN CANY T0001050.pdf", "Link")</f>
        <v/>
      </c>
      <c r="C1232" t="n">
        <v>166336</v>
      </c>
      <c r="D1232" t="inlineStr">
        <is>
          <t>2024-03-18 16:52:28</t>
        </is>
      </c>
      <c r="E1232" t="inlineStr">
        <is>
          <t>2024-03-18 16:52:28</t>
        </is>
      </c>
      <c r="F1232" t="inlineStr">
        <is>
          <t>666</t>
        </is>
      </c>
    </row>
    <row r="1233">
      <c r="A1233" t="inlineStr">
        <is>
          <t>CARIHUASAIRO TARICUARIMA MOISES  T0001051.pdf</t>
        </is>
      </c>
      <c r="B1233">
        <f>HYPERLINK("C:\Users\lmonroy\Tema\PLANILLA\BoletasPDF16-31\CARIHUASAIRO TARICUARIMA MOISES  T0001051.pdf", "Link")</f>
        <v/>
      </c>
      <c r="C1233" t="n">
        <v>166344</v>
      </c>
      <c r="D1233" t="inlineStr">
        <is>
          <t>2024-03-18 16:50:25</t>
        </is>
      </c>
      <c r="E1233" t="inlineStr">
        <is>
          <t>2024-03-18 16:50:25</t>
        </is>
      </c>
      <c r="F1233" t="inlineStr">
        <is>
          <t>666</t>
        </is>
      </c>
    </row>
    <row r="1234">
      <c r="A1234" t="inlineStr">
        <is>
          <t>CASTAÑON MACUSI WILSON  T0001053.pdf</t>
        </is>
      </c>
      <c r="B1234">
        <f>HYPERLINK("C:\Users\lmonroy\Tema\PLANILLA\BoletasPDF16-31\CASTAÑON MACUSI WILSON  T0001053.pdf", "Link")</f>
        <v/>
      </c>
      <c r="C1234" t="n">
        <v>166322</v>
      </c>
      <c r="D1234" t="inlineStr">
        <is>
          <t>2024-03-18 16:52:41</t>
        </is>
      </c>
      <c r="E1234" t="inlineStr">
        <is>
          <t>2024-03-18 16:52:41</t>
        </is>
      </c>
      <c r="F1234" t="inlineStr">
        <is>
          <t>666</t>
        </is>
      </c>
    </row>
    <row r="1235">
      <c r="A1235" t="inlineStr">
        <is>
          <t>CAYNAMARI MURAYARI RUSBEL ERIBERTO T0001054.pdf</t>
        </is>
      </c>
      <c r="B1235">
        <f>HYPERLINK("C:\Users\lmonroy\Tema\PLANILLA\BoletasPDF16-31\CAYNAMARI MURAYARI RUSBEL ERIBERTO T0001054.pdf", "Link")</f>
        <v/>
      </c>
      <c r="C1235" t="n">
        <v>166169</v>
      </c>
      <c r="D1235" t="inlineStr">
        <is>
          <t>2024-03-18 16:51:33</t>
        </is>
      </c>
      <c r="E1235" t="inlineStr">
        <is>
          <t>2024-03-18 16:51:33</t>
        </is>
      </c>
      <c r="F1235" t="inlineStr">
        <is>
          <t>666</t>
        </is>
      </c>
    </row>
    <row r="1236">
      <c r="A1236" t="inlineStr">
        <is>
          <t>CHARPENTIER MURAYARI REIMER T0001442.pdf</t>
        </is>
      </c>
      <c r="B1236">
        <f>HYPERLINK("C:\Users\lmonroy\Tema\PLANILLA\BoletasPDF16-31\CHARPENTIER MURAYARI REIMER T0001442.pdf", "Link")</f>
        <v/>
      </c>
      <c r="C1236" t="n">
        <v>166157</v>
      </c>
      <c r="D1236" t="inlineStr">
        <is>
          <t>2024-03-18 16:51:29</t>
        </is>
      </c>
      <c r="E1236" t="inlineStr">
        <is>
          <t>2024-03-18 16:51:29</t>
        </is>
      </c>
      <c r="F1236" t="inlineStr">
        <is>
          <t>666</t>
        </is>
      </c>
    </row>
    <row r="1237">
      <c r="A1237" t="inlineStr">
        <is>
          <t>CHAVEZ VIENA FRANK JOEL T0001056.pdf</t>
        </is>
      </c>
      <c r="B1237">
        <f>HYPERLINK("C:\Users\lmonroy\Tema\PLANILLA\BoletasPDF16-31\CHAVEZ VIENA FRANK JOEL T0001056.pdf", "Link")</f>
        <v/>
      </c>
      <c r="C1237" t="n">
        <v>166096</v>
      </c>
      <c r="D1237" t="inlineStr">
        <is>
          <t>2024-03-18 16:50:27</t>
        </is>
      </c>
      <c r="E1237" t="inlineStr">
        <is>
          <t>2024-03-18 16:50:27</t>
        </is>
      </c>
      <c r="F1237" t="inlineStr">
        <is>
          <t>666</t>
        </is>
      </c>
    </row>
    <row r="1238">
      <c r="A1238" t="inlineStr">
        <is>
          <t>CHOTA HUALINGA JOSE  T0001443.pdf</t>
        </is>
      </c>
      <c r="B1238">
        <f>HYPERLINK("C:\Users\lmonroy\Tema\PLANILLA\BoletasPDF16-31\CHOTA HUALINGA JOSE  T0001443.pdf", "Link")</f>
        <v/>
      </c>
      <c r="C1238" t="n">
        <v>166142</v>
      </c>
      <c r="D1238" t="inlineStr">
        <is>
          <t>2024-03-18 16:51:05</t>
        </is>
      </c>
      <c r="E1238" t="inlineStr">
        <is>
          <t>2024-03-18 16:51:05</t>
        </is>
      </c>
      <c r="F1238" t="inlineStr">
        <is>
          <t>666</t>
        </is>
      </c>
    </row>
    <row r="1239">
      <c r="A1239" t="inlineStr">
        <is>
          <t>CHOTA NURIBE RICARDO T0001444.pdf</t>
        </is>
      </c>
      <c r="B1239">
        <f>HYPERLINK("C:\Users\lmonroy\Tema\PLANILLA\BoletasPDF16-31\CHOTA NURIBE RICARDO T0001444.pdf", "Link")</f>
        <v/>
      </c>
      <c r="C1239" t="n">
        <v>166143</v>
      </c>
      <c r="D1239" t="inlineStr">
        <is>
          <t>2024-03-18 16:50:24</t>
        </is>
      </c>
      <c r="E1239" t="inlineStr">
        <is>
          <t>2024-03-18 16:50:24</t>
        </is>
      </c>
      <c r="F1239" t="inlineStr">
        <is>
          <t>666</t>
        </is>
      </c>
    </row>
    <row r="1240">
      <c r="A1240" t="inlineStr">
        <is>
          <t>CHOTA NURIBE SEGUNDO JOSE  T0001445.pdf</t>
        </is>
      </c>
      <c r="B1240">
        <f>HYPERLINK("C:\Users\lmonroy\Tema\PLANILLA\BoletasPDF16-31\CHOTA NURIBE SEGUNDO JOSE  T0001445.pdf", "Link")</f>
        <v/>
      </c>
      <c r="C1240" t="n">
        <v>166345</v>
      </c>
      <c r="D1240" t="inlineStr">
        <is>
          <t>2024-03-18 16:51:17</t>
        </is>
      </c>
      <c r="E1240" t="inlineStr">
        <is>
          <t>2024-03-18 16:51:17</t>
        </is>
      </c>
      <c r="F1240" t="inlineStr">
        <is>
          <t>666</t>
        </is>
      </c>
    </row>
    <row r="1241">
      <c r="A1241" t="inlineStr">
        <is>
          <t>CHUMBE SABOYA VICTOR  T0001058.pdf</t>
        </is>
      </c>
      <c r="B1241">
        <f>HYPERLINK("C:\Users\lmonroy\Tema\PLANILLA\BoletasPDF16-31\CHUMBE SABOYA VICTOR  T0001058.pdf", "Link")</f>
        <v/>
      </c>
      <c r="C1241" t="n">
        <v>166314</v>
      </c>
      <c r="D1241" t="inlineStr">
        <is>
          <t>2024-03-18 16:53:12</t>
        </is>
      </c>
      <c r="E1241" t="inlineStr">
        <is>
          <t>2024-03-18 16:53:12</t>
        </is>
      </c>
      <c r="F1241" t="inlineStr">
        <is>
          <t>666</t>
        </is>
      </c>
    </row>
    <row r="1242">
      <c r="A1242" t="inlineStr">
        <is>
          <t>CLEMENTE SANGAMA MANUEL  T0001059.pdf</t>
        </is>
      </c>
      <c r="B1242">
        <f>HYPERLINK("C:\Users\lmonroy\Tema\PLANILLA\BoletasPDF16-31\CLEMENTE SANGAMA MANUEL  T0001059.pdf", "Link")</f>
        <v/>
      </c>
      <c r="C1242" t="n">
        <v>166153</v>
      </c>
      <c r="D1242" t="inlineStr">
        <is>
          <t>2024-03-18 16:50:46</t>
        </is>
      </c>
      <c r="E1242" t="inlineStr">
        <is>
          <t>2024-03-18 16:50:46</t>
        </is>
      </c>
      <c r="F1242" t="inlineStr">
        <is>
          <t>666</t>
        </is>
      </c>
    </row>
    <row r="1243">
      <c r="A1243" t="inlineStr">
        <is>
          <t>CLEMENTE TARICUARIMA JOSE  T0001060.pdf</t>
        </is>
      </c>
      <c r="B1243">
        <f>HYPERLINK("C:\Users\lmonroy\Tema\PLANILLA\BoletasPDF16-31\CLEMENTE TARICUARIMA JOSE  T0001060.pdf", "Link")</f>
        <v/>
      </c>
      <c r="C1243" t="n">
        <v>166125</v>
      </c>
      <c r="D1243" t="inlineStr">
        <is>
          <t>2024-03-18 16:50:58</t>
        </is>
      </c>
      <c r="E1243" t="inlineStr">
        <is>
          <t>2024-03-18 16:50:58</t>
        </is>
      </c>
      <c r="F1243" t="inlineStr">
        <is>
          <t>666</t>
        </is>
      </c>
    </row>
    <row r="1244">
      <c r="A1244" t="inlineStr">
        <is>
          <t>CUNAYA OJEICATE RIGOBERTO T0001446.pdf</t>
        </is>
      </c>
      <c r="B1244">
        <f>HYPERLINK("C:\Users\lmonroy\Tema\PLANILLA\BoletasPDF16-31\CUNAYA OJEICATE RIGOBERTO T0001446.pdf", "Link")</f>
        <v/>
      </c>
      <c r="C1244" t="n">
        <v>166151</v>
      </c>
      <c r="D1244" t="inlineStr">
        <is>
          <t>2024-03-18 16:52:32</t>
        </is>
      </c>
      <c r="E1244" t="inlineStr">
        <is>
          <t>2024-03-18 16:52:32</t>
        </is>
      </c>
      <c r="F1244" t="inlineStr">
        <is>
          <t>666</t>
        </is>
      </c>
    </row>
    <row r="1245">
      <c r="A1245" t="inlineStr">
        <is>
          <t>CURI MURAYARI HILDEBRANDO T0001447.pdf</t>
        </is>
      </c>
      <c r="B1245">
        <f>HYPERLINK("C:\Users\lmonroy\Tema\PLANILLA\BoletasPDF16-31\CURI MURAYARI HILDEBRANDO T0001447.pdf", "Link")</f>
        <v/>
      </c>
      <c r="C1245" t="n">
        <v>166148</v>
      </c>
      <c r="D1245" t="inlineStr">
        <is>
          <t>2024-03-18 16:53:36</t>
        </is>
      </c>
      <c r="E1245" t="inlineStr">
        <is>
          <t>2024-03-18 16:53:36</t>
        </is>
      </c>
      <c r="F1245" t="inlineStr">
        <is>
          <t>666</t>
        </is>
      </c>
    </row>
    <row r="1246">
      <c r="A1246" t="inlineStr">
        <is>
          <t>CURITIMA IRARICA EDGAR T0001448.pdf</t>
        </is>
      </c>
      <c r="B1246">
        <f>HYPERLINK("C:\Users\lmonroy\Tema\PLANILLA\BoletasPDF16-31\CURITIMA IRARICA EDGAR T0001448.pdf", "Link")</f>
        <v/>
      </c>
      <c r="C1246" t="n">
        <v>166142</v>
      </c>
      <c r="D1246" t="inlineStr">
        <is>
          <t>2024-03-18 16:51:38</t>
        </is>
      </c>
      <c r="E1246" t="inlineStr">
        <is>
          <t>2024-03-18 16:51:38</t>
        </is>
      </c>
      <c r="F1246" t="inlineStr">
        <is>
          <t>666</t>
        </is>
      </c>
    </row>
    <row r="1247">
      <c r="A1247" t="inlineStr">
        <is>
          <t>CURITIMA PALMERA JERRI  T0001064.pdf</t>
        </is>
      </c>
      <c r="B1247">
        <f>HYPERLINK("C:\Users\lmonroy\Tema\PLANILLA\BoletasPDF16-31\CURITIMA PALMERA JERRI  T0001064.pdf", "Link")</f>
        <v/>
      </c>
      <c r="C1247" t="n">
        <v>166332</v>
      </c>
      <c r="D1247" t="inlineStr">
        <is>
          <t>2024-03-18 16:53:05</t>
        </is>
      </c>
      <c r="E1247" t="inlineStr">
        <is>
          <t>2024-03-18 16:53:05</t>
        </is>
      </c>
      <c r="F1247" t="inlineStr">
        <is>
          <t>666</t>
        </is>
      </c>
    </row>
    <row r="1248">
      <c r="A1248" t="inlineStr">
        <is>
          <t>CURITIMA PUYO AILBER  T0001065.pdf</t>
        </is>
      </c>
      <c r="B1248">
        <f>HYPERLINK("C:\Users\lmonroy\Tema\PLANILLA\BoletasPDF16-31\CURITIMA PUYO AILBER  T0001065.pdf", "Link")</f>
        <v/>
      </c>
      <c r="C1248" t="n">
        <v>166150</v>
      </c>
      <c r="D1248" t="inlineStr">
        <is>
          <t>2024-03-18 16:53:44</t>
        </is>
      </c>
      <c r="E1248" t="inlineStr">
        <is>
          <t>2024-03-18 16:53:44</t>
        </is>
      </c>
      <c r="F1248" t="inlineStr">
        <is>
          <t>666</t>
        </is>
      </c>
    </row>
    <row r="1249">
      <c r="A1249" t="inlineStr">
        <is>
          <t>DAHUA PINEDO MAURO  T0001066.pdf</t>
        </is>
      </c>
      <c r="B1249">
        <f>HYPERLINK("C:\Users\lmonroy\Tema\PLANILLA\BoletasPDF16-31\DAHUA PINEDO MAURO  T0001066.pdf", "Link")</f>
        <v/>
      </c>
      <c r="C1249" t="n">
        <v>166327</v>
      </c>
      <c r="D1249" t="inlineStr">
        <is>
          <t>2024-03-18 16:53:38</t>
        </is>
      </c>
      <c r="E1249" t="inlineStr">
        <is>
          <t>2024-03-18 16:53:38</t>
        </is>
      </c>
      <c r="F1249" t="inlineStr">
        <is>
          <t>666</t>
        </is>
      </c>
    </row>
    <row r="1250">
      <c r="A1250" t="inlineStr">
        <is>
          <t>DORADO CASTRO RAFAEL  T0001449.pdf</t>
        </is>
      </c>
      <c r="B1250">
        <f>HYPERLINK("C:\Users\lmonroy\Tema\PLANILLA\BoletasPDF16-31\DORADO CASTRO RAFAEL  T0001449.pdf", "Link")</f>
        <v/>
      </c>
      <c r="C1250" t="n">
        <v>166145</v>
      </c>
      <c r="D1250" t="inlineStr">
        <is>
          <t>2024-03-18 16:52:51</t>
        </is>
      </c>
      <c r="E1250" t="inlineStr">
        <is>
          <t>2024-03-18 16:52:51</t>
        </is>
      </c>
      <c r="F1250" t="inlineStr">
        <is>
          <t>666</t>
        </is>
      </c>
    </row>
    <row r="1251">
      <c r="A1251" t="inlineStr">
        <is>
          <t>DURAN CURITIMA HILTER T0001472.pdf</t>
        </is>
      </c>
      <c r="B1251">
        <f>HYPERLINK("C:\Users\lmonroy\Tema\PLANILLA\BoletasPDF16-31\DURAN CURITIMA HILTER T0001472.pdf", "Link")</f>
        <v/>
      </c>
      <c r="C1251" t="n">
        <v>166323</v>
      </c>
      <c r="D1251" t="inlineStr">
        <is>
          <t>2024-03-18 16:52:16</t>
        </is>
      </c>
      <c r="E1251" t="inlineStr">
        <is>
          <t>2024-03-18 16:52:16</t>
        </is>
      </c>
      <c r="F1251" t="inlineStr">
        <is>
          <t>666</t>
        </is>
      </c>
    </row>
    <row r="1252">
      <c r="A1252" t="inlineStr">
        <is>
          <t>FATAMA HIDALGO AQUILES  T0001068.pdf</t>
        </is>
      </c>
      <c r="B1252">
        <f>HYPERLINK("C:\Users\lmonroy\Tema\PLANILLA\BoletasPDF16-31\FATAMA HIDALGO AQUILES  T0001068.pdf", "Link")</f>
        <v/>
      </c>
      <c r="C1252" t="n">
        <v>166146</v>
      </c>
      <c r="D1252" t="inlineStr">
        <is>
          <t>2024-03-18 16:51:52</t>
        </is>
      </c>
      <c r="E1252" t="inlineStr">
        <is>
          <t>2024-03-18 16:51:52</t>
        </is>
      </c>
      <c r="F1252" t="inlineStr">
        <is>
          <t>666</t>
        </is>
      </c>
    </row>
    <row r="1253">
      <c r="A1253" t="inlineStr">
        <is>
          <t>FATAMA HIDALGO LEANDRO  T0001069.pdf</t>
        </is>
      </c>
      <c r="B1253">
        <f>HYPERLINK("C:\Users\lmonroy\Tema\PLANILLA\BoletasPDF16-31\FATAMA HIDALGO LEANDRO  T0001069.pdf", "Link")</f>
        <v/>
      </c>
      <c r="C1253" t="n">
        <v>166153</v>
      </c>
      <c r="D1253" t="inlineStr">
        <is>
          <t>2024-03-18 16:53:22</t>
        </is>
      </c>
      <c r="E1253" t="inlineStr">
        <is>
          <t>2024-03-18 16:53:22</t>
        </is>
      </c>
      <c r="F1253" t="inlineStr">
        <is>
          <t>666</t>
        </is>
      </c>
    </row>
    <row r="1254">
      <c r="A1254" t="inlineStr">
        <is>
          <t>FLORES PEREA ALEXANDER  T0001070.pdf</t>
        </is>
      </c>
      <c r="B1254">
        <f>HYPERLINK("C:\Users\lmonroy\Tema\PLANILLA\BoletasPDF16-31\FLORES PEREA ALEXANDER  T0001070.pdf", "Link")</f>
        <v/>
      </c>
      <c r="C1254" t="n">
        <v>166339</v>
      </c>
      <c r="D1254" t="inlineStr">
        <is>
          <t>2024-03-18 16:52:27</t>
        </is>
      </c>
      <c r="E1254" t="inlineStr">
        <is>
          <t>2024-03-18 16:52:27</t>
        </is>
      </c>
      <c r="F1254" t="inlineStr">
        <is>
          <t>666</t>
        </is>
      </c>
    </row>
    <row r="1255">
      <c r="A1255" t="inlineStr">
        <is>
          <t>FLORES PEREA EXIDIO  T0001071.pdf</t>
        </is>
      </c>
      <c r="B1255">
        <f>HYPERLINK("C:\Users\lmonroy\Tema\PLANILLA\BoletasPDF16-31\FLORES PEREA EXIDIO  T0001071.pdf", "Link")</f>
        <v/>
      </c>
      <c r="C1255" t="n">
        <v>166333</v>
      </c>
      <c r="D1255" t="inlineStr">
        <is>
          <t>2024-03-18 16:53:01</t>
        </is>
      </c>
      <c r="E1255" t="inlineStr">
        <is>
          <t>2024-03-18 16:53:01</t>
        </is>
      </c>
      <c r="F1255" t="inlineStr">
        <is>
          <t>666</t>
        </is>
      </c>
    </row>
    <row r="1256">
      <c r="A1256" t="inlineStr">
        <is>
          <t>FUGUISTA MACUSI MIGUEL  T0001074.pdf</t>
        </is>
      </c>
      <c r="B1256">
        <f>HYPERLINK("C:\Users\lmonroy\Tema\PLANILLA\BoletasPDF16-31\FUGUISTA MACUSI MIGUEL  T0001074.pdf", "Link")</f>
        <v/>
      </c>
      <c r="C1256" t="n">
        <v>166349</v>
      </c>
      <c r="D1256" t="inlineStr">
        <is>
          <t>2024-03-18 16:51:13</t>
        </is>
      </c>
      <c r="E1256" t="inlineStr">
        <is>
          <t>2024-03-18 16:51:13</t>
        </is>
      </c>
      <c r="F1256" t="inlineStr">
        <is>
          <t>666</t>
        </is>
      </c>
    </row>
    <row r="1257">
      <c r="A1257" t="inlineStr">
        <is>
          <t>GARCIA REYNA LIZANDRO  T0001076.pdf</t>
        </is>
      </c>
      <c r="B1257">
        <f>HYPERLINK("C:\Users\lmonroy\Tema\PLANILLA\BoletasPDF16-31\GARCIA REYNA LIZANDRO  T0001076.pdf", "Link")</f>
        <v/>
      </c>
      <c r="C1257" t="n">
        <v>166159</v>
      </c>
      <c r="D1257" t="inlineStr">
        <is>
          <t>2024-03-18 16:53:42</t>
        </is>
      </c>
      <c r="E1257" t="inlineStr">
        <is>
          <t>2024-03-18 16:53:42</t>
        </is>
      </c>
      <c r="F1257" t="inlineStr">
        <is>
          <t>666</t>
        </is>
      </c>
    </row>
    <row r="1258">
      <c r="A1258" t="inlineStr">
        <is>
          <t>GARCIA YUIMACHI JAYLER  T0001078.pdf</t>
        </is>
      </c>
      <c r="B1258">
        <f>HYPERLINK("C:\Users\lmonroy\Tema\PLANILLA\BoletasPDF16-31\GARCIA YUIMACHI JAYLER  T0001078.pdf", "Link")</f>
        <v/>
      </c>
      <c r="C1258" t="n">
        <v>166174</v>
      </c>
      <c r="D1258" t="inlineStr">
        <is>
          <t>2024-03-18 16:51:12</t>
        </is>
      </c>
      <c r="E1258" t="inlineStr">
        <is>
          <t>2024-03-18 16:51:12</t>
        </is>
      </c>
      <c r="F1258" t="inlineStr">
        <is>
          <t>666</t>
        </is>
      </c>
    </row>
    <row r="1259">
      <c r="A1259" t="inlineStr">
        <is>
          <t>GARCIA YUIMACHI ROYER  T0001079.pdf</t>
        </is>
      </c>
      <c r="B1259">
        <f>HYPERLINK("C:\Users\lmonroy\Tema\PLANILLA\BoletasPDF16-31\GARCIA YUIMACHI ROYER  T0001079.pdf", "Link")</f>
        <v/>
      </c>
      <c r="C1259" t="n">
        <v>166357</v>
      </c>
      <c r="D1259" t="inlineStr">
        <is>
          <t>2024-03-18 16:50:21</t>
        </is>
      </c>
      <c r="E1259" t="inlineStr">
        <is>
          <t>2024-03-18 16:50:21</t>
        </is>
      </c>
      <c r="F1259" t="inlineStr">
        <is>
          <t>666</t>
        </is>
      </c>
    </row>
    <row r="1260">
      <c r="A1260" t="inlineStr">
        <is>
          <t>GOMEZ MANAJO RICHARD T0001450.pdf</t>
        </is>
      </c>
      <c r="B1260">
        <f>HYPERLINK("C:\Users\lmonroy\Tema\PLANILLA\BoletasPDF16-31\GOMEZ MANAJO RICHARD T0001450.pdf", "Link")</f>
        <v/>
      </c>
      <c r="C1260" t="n">
        <v>166348</v>
      </c>
      <c r="D1260" t="inlineStr">
        <is>
          <t>2024-03-18 16:50:34</t>
        </is>
      </c>
      <c r="E1260" t="inlineStr">
        <is>
          <t>2024-03-18 16:50:34</t>
        </is>
      </c>
      <c r="F1260" t="inlineStr">
        <is>
          <t>666</t>
        </is>
      </c>
    </row>
    <row r="1261">
      <c r="A1261" t="inlineStr">
        <is>
          <t>GUERRA TAPAYURI ISAI  T0001081.pdf</t>
        </is>
      </c>
      <c r="B1261">
        <f>HYPERLINK("C:\Users\lmonroy\Tema\PLANILLA\BoletasPDF16-31\GUERRA TAPAYURI ISAI  T0001081.pdf", "Link")</f>
        <v/>
      </c>
      <c r="C1261" t="n">
        <v>166327</v>
      </c>
      <c r="D1261" t="inlineStr">
        <is>
          <t>2024-03-18 16:51:51</t>
        </is>
      </c>
      <c r="E1261" t="inlineStr">
        <is>
          <t>2024-03-18 16:51:51</t>
        </is>
      </c>
      <c r="F1261" t="inlineStr">
        <is>
          <t>666</t>
        </is>
      </c>
    </row>
    <row r="1262">
      <c r="A1262" t="inlineStr">
        <is>
          <t>HUANUIRI FREYTAS DANIEL  T0001082.pdf</t>
        </is>
      </c>
      <c r="B1262">
        <f>HYPERLINK("C:\Users\lmonroy\Tema\PLANILLA\BoletasPDF16-31\HUANUIRI FREYTAS DANIEL  T0001082.pdf", "Link")</f>
        <v/>
      </c>
      <c r="C1262" t="n">
        <v>166315</v>
      </c>
      <c r="D1262" t="inlineStr">
        <is>
          <t>2024-03-18 16:52:54</t>
        </is>
      </c>
      <c r="E1262" t="inlineStr">
        <is>
          <t>2024-03-18 16:52:54</t>
        </is>
      </c>
      <c r="F1262" t="inlineStr">
        <is>
          <t>666</t>
        </is>
      </c>
    </row>
    <row r="1263">
      <c r="A1263" t="inlineStr">
        <is>
          <t>HUARATAPAIRO ISUIZA WITHMER T0001451.pdf</t>
        </is>
      </c>
      <c r="B1263">
        <f>HYPERLINK("C:\Users\lmonroy\Tema\PLANILLA\BoletasPDF16-31\HUARATAPAIRO ISUIZA WITHMER T0001451.pdf", "Link")</f>
        <v/>
      </c>
      <c r="C1263" t="n">
        <v>166167</v>
      </c>
      <c r="D1263" t="inlineStr">
        <is>
          <t>2024-03-18 16:52:03</t>
        </is>
      </c>
      <c r="E1263" t="inlineStr">
        <is>
          <t>2024-03-18 16:52:03</t>
        </is>
      </c>
      <c r="F1263" t="inlineStr">
        <is>
          <t>666</t>
        </is>
      </c>
    </row>
    <row r="1264">
      <c r="A1264" t="inlineStr">
        <is>
          <t>HUAYABAN AHUANARI RUSBEL  T0001083.pdf</t>
        </is>
      </c>
      <c r="B1264">
        <f>HYPERLINK("C:\Users\lmonroy\Tema\PLANILLA\BoletasPDF16-31\HUAYABAN AHUANARI RUSBEL  T0001083.pdf", "Link")</f>
        <v/>
      </c>
      <c r="C1264" t="n">
        <v>166347</v>
      </c>
      <c r="D1264" t="inlineStr">
        <is>
          <t>2024-03-18 16:51:19</t>
        </is>
      </c>
      <c r="E1264" t="inlineStr">
        <is>
          <t>2024-03-18 16:51:19</t>
        </is>
      </c>
      <c r="F1264" t="inlineStr">
        <is>
          <t>666</t>
        </is>
      </c>
    </row>
    <row r="1265">
      <c r="A1265" t="inlineStr">
        <is>
          <t>IGNACIO INUMA JORGE  T0001086.pdf</t>
        </is>
      </c>
      <c r="B1265">
        <f>HYPERLINK("C:\Users\lmonroy\Tema\PLANILLA\BoletasPDF16-31\IGNACIO INUMA JORGE  T0001086.pdf", "Link")</f>
        <v/>
      </c>
      <c r="C1265" t="n">
        <v>166148</v>
      </c>
      <c r="D1265" t="inlineStr">
        <is>
          <t>2024-03-18 16:51:20</t>
        </is>
      </c>
      <c r="E1265" t="inlineStr">
        <is>
          <t>2024-03-18 16:51:20</t>
        </is>
      </c>
      <c r="F1265" t="inlineStr">
        <is>
          <t>666</t>
        </is>
      </c>
    </row>
    <row r="1266">
      <c r="A1266" t="inlineStr">
        <is>
          <t>INUMA MACUSI GINER  T0001094.pdf</t>
        </is>
      </c>
      <c r="B1266">
        <f>HYPERLINK("C:\Users\lmonroy\Tema\PLANILLA\BoletasPDF16-31\INUMA MACUSI GINER  T0001094.pdf", "Link")</f>
        <v/>
      </c>
      <c r="C1266" t="n">
        <v>166114</v>
      </c>
      <c r="D1266" t="inlineStr">
        <is>
          <t>2024-03-18 16:52:15</t>
        </is>
      </c>
      <c r="E1266" t="inlineStr">
        <is>
          <t>2024-03-18 16:52:15</t>
        </is>
      </c>
      <c r="F1266" t="inlineStr">
        <is>
          <t>666</t>
        </is>
      </c>
    </row>
    <row r="1267">
      <c r="A1267" t="inlineStr">
        <is>
          <t>INUMA MACUSI JUAN  T0001096.pdf</t>
        </is>
      </c>
      <c r="B1267">
        <f>HYPERLINK("C:\Users\lmonroy\Tema\PLANILLA\BoletasPDF16-31\INUMA MACUSI JUAN  T0001096.pdf", "Link")</f>
        <v/>
      </c>
      <c r="C1267" t="n">
        <v>166135</v>
      </c>
      <c r="D1267" t="inlineStr">
        <is>
          <t>2024-03-18 16:53:29</t>
        </is>
      </c>
      <c r="E1267" t="inlineStr">
        <is>
          <t>2024-03-18 16:53:29</t>
        </is>
      </c>
      <c r="F1267" t="inlineStr">
        <is>
          <t>666</t>
        </is>
      </c>
    </row>
    <row r="1268">
      <c r="A1268" t="inlineStr">
        <is>
          <t>INUMA NURIBE ELIAS  T0001097.pdf</t>
        </is>
      </c>
      <c r="B1268">
        <f>HYPERLINK("C:\Users\lmonroy\Tema\PLANILLA\BoletasPDF16-31\INUMA NURIBE ELIAS  T0001097.pdf", "Link")</f>
        <v/>
      </c>
      <c r="C1268" t="n">
        <v>166136</v>
      </c>
      <c r="D1268" t="inlineStr">
        <is>
          <t>2024-03-18 16:51:39</t>
        </is>
      </c>
      <c r="E1268" t="inlineStr">
        <is>
          <t>2024-03-18 16:51:39</t>
        </is>
      </c>
      <c r="F1268" t="inlineStr">
        <is>
          <t>666</t>
        </is>
      </c>
    </row>
    <row r="1269">
      <c r="A1269" t="inlineStr">
        <is>
          <t>INUMA NURIBE GERMAN  T0001098.pdf</t>
        </is>
      </c>
      <c r="B1269">
        <f>HYPERLINK("C:\Users\lmonroy\Tema\PLANILLA\BoletasPDF16-31\INUMA NURIBE GERMAN  T0001098.pdf", "Link")</f>
        <v/>
      </c>
      <c r="C1269" t="n">
        <v>166136</v>
      </c>
      <c r="D1269" t="inlineStr">
        <is>
          <t>2024-03-18 16:51:40</t>
        </is>
      </c>
      <c r="E1269" t="inlineStr">
        <is>
          <t>2024-03-18 16:51:40</t>
        </is>
      </c>
      <c r="F1269" t="inlineStr">
        <is>
          <t>666</t>
        </is>
      </c>
    </row>
    <row r="1270">
      <c r="A1270" t="inlineStr">
        <is>
          <t>INUMA NURIBE GUSTAVO T0001372.pdf</t>
        </is>
      </c>
      <c r="B1270">
        <f>HYPERLINK("C:\Users\lmonroy\Tema\PLANILLA\BoletasPDF16-31\INUMA NURIBE GUSTAVO T0001372.pdf", "Link")</f>
        <v/>
      </c>
      <c r="C1270" t="n">
        <v>166311</v>
      </c>
      <c r="D1270" t="inlineStr">
        <is>
          <t>2024-03-18 16:50:30</t>
        </is>
      </c>
      <c r="E1270" t="inlineStr">
        <is>
          <t>2024-03-18 16:50:30</t>
        </is>
      </c>
      <c r="F1270" t="inlineStr">
        <is>
          <t>666</t>
        </is>
      </c>
    </row>
    <row r="1271">
      <c r="A1271" t="inlineStr">
        <is>
          <t>INUMA NURIBE JULIO T0001099.pdf</t>
        </is>
      </c>
      <c r="B1271">
        <f>HYPERLINK("C:\Users\lmonroy\Tema\PLANILLA\BoletasPDF16-31\INUMA NURIBE JULIO T0001099.pdf", "Link")</f>
        <v/>
      </c>
      <c r="C1271" t="n">
        <v>166136</v>
      </c>
      <c r="D1271" t="inlineStr">
        <is>
          <t>2024-03-18 16:51:37</t>
        </is>
      </c>
      <c r="E1271" t="inlineStr">
        <is>
          <t>2024-03-18 16:51:37</t>
        </is>
      </c>
      <c r="F1271" t="inlineStr">
        <is>
          <t>666</t>
        </is>
      </c>
    </row>
    <row r="1272">
      <c r="A1272" t="inlineStr">
        <is>
          <t>INUMA NURIBE JULIO T0001452.pdf</t>
        </is>
      </c>
      <c r="B1272">
        <f>HYPERLINK("C:\Users\lmonroy\Tema\PLANILLA\BoletasPDF16-31\INUMA NURIBE JULIO T0001452.pdf", "Link")</f>
        <v/>
      </c>
      <c r="C1272" t="n">
        <v>166137</v>
      </c>
      <c r="D1272" t="inlineStr">
        <is>
          <t>2024-03-18 16:53:30</t>
        </is>
      </c>
      <c r="E1272" t="inlineStr">
        <is>
          <t>2024-03-18 16:53:30</t>
        </is>
      </c>
      <c r="F1272" t="inlineStr">
        <is>
          <t>666</t>
        </is>
      </c>
    </row>
    <row r="1273">
      <c r="A1273" t="inlineStr">
        <is>
          <t>INUMA NURIBE MARIANO  T0001100.pdf</t>
        </is>
      </c>
      <c r="B1273">
        <f>HYPERLINK("C:\Users\lmonroy\Tema\PLANILLA\BoletasPDF16-31\INUMA NURIBE MARIANO  T0001100.pdf", "Link")</f>
        <v/>
      </c>
      <c r="C1273" t="n">
        <v>166115</v>
      </c>
      <c r="D1273" t="inlineStr">
        <is>
          <t>2024-03-18 16:52:04</t>
        </is>
      </c>
      <c r="E1273" t="inlineStr">
        <is>
          <t>2024-03-18 16:52:04</t>
        </is>
      </c>
      <c r="F1273" t="inlineStr">
        <is>
          <t>666</t>
        </is>
      </c>
    </row>
    <row r="1274">
      <c r="A1274" t="inlineStr">
        <is>
          <t>INUMA RUFINO ORLANDO  T0001103.pdf</t>
        </is>
      </c>
      <c r="B1274">
        <f>HYPERLINK("C:\Users\lmonroy\Tema\PLANILLA\BoletasPDF16-31\INUMA RUFINO ORLANDO  T0001103.pdf", "Link")</f>
        <v/>
      </c>
      <c r="C1274" t="n">
        <v>166143</v>
      </c>
      <c r="D1274" t="inlineStr">
        <is>
          <t>2024-03-18 16:53:24</t>
        </is>
      </c>
      <c r="E1274" t="inlineStr">
        <is>
          <t>2024-03-18 16:53:24</t>
        </is>
      </c>
      <c r="F1274" t="inlineStr">
        <is>
          <t>666</t>
        </is>
      </c>
    </row>
    <row r="1275">
      <c r="A1275" t="inlineStr">
        <is>
          <t>INUMA VELA ABRAHAM T0001104.pdf</t>
        </is>
      </c>
      <c r="B1275">
        <f>HYPERLINK("C:\Users\lmonroy\Tema\PLANILLA\BoletasPDF16-31\INUMA VELA ABRAHAM T0001104.pdf", "Link")</f>
        <v/>
      </c>
      <c r="C1275" t="n">
        <v>166327</v>
      </c>
      <c r="D1275" t="inlineStr">
        <is>
          <t>2024-03-18 16:50:53</t>
        </is>
      </c>
      <c r="E1275" t="inlineStr">
        <is>
          <t>2024-03-18 16:50:53</t>
        </is>
      </c>
      <c r="F1275" t="inlineStr">
        <is>
          <t>666</t>
        </is>
      </c>
    </row>
    <row r="1276">
      <c r="A1276" t="inlineStr">
        <is>
          <t>INUMA VELA LUCHO  T0001107.pdf</t>
        </is>
      </c>
      <c r="B1276">
        <f>HYPERLINK("C:\Users\lmonroy\Tema\PLANILLA\BoletasPDF16-31\INUMA VELA LUCHO  T0001107.pdf", "Link")</f>
        <v/>
      </c>
      <c r="C1276" t="n">
        <v>166319</v>
      </c>
      <c r="D1276" t="inlineStr">
        <is>
          <t>2024-03-18 16:52:30</t>
        </is>
      </c>
      <c r="E1276" t="inlineStr">
        <is>
          <t>2024-03-18 16:52:30</t>
        </is>
      </c>
      <c r="F1276" t="inlineStr">
        <is>
          <t>666</t>
        </is>
      </c>
    </row>
    <row r="1277">
      <c r="A1277" t="inlineStr">
        <is>
          <t>INUMA VELA RAFAEL  T0001108.pdf</t>
        </is>
      </c>
      <c r="B1277">
        <f>HYPERLINK("C:\Users\lmonroy\Tema\PLANILLA\BoletasPDF16-31\INUMA VELA RAFAEL  T0001108.pdf", "Link")</f>
        <v/>
      </c>
      <c r="C1277" t="n">
        <v>166320</v>
      </c>
      <c r="D1277" t="inlineStr">
        <is>
          <t>2024-03-18 16:50:37</t>
        </is>
      </c>
      <c r="E1277" t="inlineStr">
        <is>
          <t>2024-03-18 16:50:37</t>
        </is>
      </c>
      <c r="F1277" t="inlineStr">
        <is>
          <t>666</t>
        </is>
      </c>
    </row>
    <row r="1278">
      <c r="A1278" t="inlineStr">
        <is>
          <t>INUMA VELA WILSON  T0001109.pdf</t>
        </is>
      </c>
      <c r="B1278">
        <f>HYPERLINK("C:\Users\lmonroy\Tema\PLANILLA\BoletasPDF16-31\INUMA VELA WILSON  T0001109.pdf", "Link")</f>
        <v/>
      </c>
      <c r="C1278" t="n">
        <v>166157</v>
      </c>
      <c r="D1278" t="inlineStr">
        <is>
          <t>2024-03-18 16:52:30</t>
        </is>
      </c>
      <c r="E1278" t="inlineStr">
        <is>
          <t>2024-03-18 16:52:30</t>
        </is>
      </c>
      <c r="F1278" t="inlineStr">
        <is>
          <t>666</t>
        </is>
      </c>
    </row>
    <row r="1279">
      <c r="A1279" t="inlineStr">
        <is>
          <t>IRARICA AHUANARI CARLOS  T0001110.pdf</t>
        </is>
      </c>
      <c r="B1279">
        <f>HYPERLINK("C:\Users\lmonroy\Tema\PLANILLA\BoletasPDF16-31\IRARICA AHUANARI CARLOS  T0001110.pdf", "Link")</f>
        <v/>
      </c>
      <c r="C1279" t="n">
        <v>166157</v>
      </c>
      <c r="D1279" t="inlineStr">
        <is>
          <t>2024-03-18 16:53:48</t>
        </is>
      </c>
      <c r="E1279" t="inlineStr">
        <is>
          <t>2024-03-18 16:53:48</t>
        </is>
      </c>
      <c r="F1279" t="inlineStr">
        <is>
          <t>666</t>
        </is>
      </c>
    </row>
    <row r="1280">
      <c r="A1280" t="inlineStr">
        <is>
          <t>IRARICA CURITIMA JULIO  T0001111.pdf</t>
        </is>
      </c>
      <c r="B1280">
        <f>HYPERLINK("C:\Users\lmonroy\Tema\PLANILLA\BoletasPDF16-31\IRARICA CURITIMA JULIO  T0001111.pdf", "Link")</f>
        <v/>
      </c>
      <c r="C1280" t="n">
        <v>166146</v>
      </c>
      <c r="D1280" t="inlineStr">
        <is>
          <t>2024-03-18 16:53:15</t>
        </is>
      </c>
      <c r="E1280" t="inlineStr">
        <is>
          <t>2024-03-18 16:53:15</t>
        </is>
      </c>
      <c r="F1280" t="inlineStr">
        <is>
          <t>666</t>
        </is>
      </c>
    </row>
    <row r="1281">
      <c r="A1281" t="inlineStr">
        <is>
          <t>IRARICA PUYO FELIX ALEJANDRO T0001113.pdf</t>
        </is>
      </c>
      <c r="B1281">
        <f>HYPERLINK("C:\Users\lmonroy\Tema\PLANILLA\BoletasPDF16-31\IRARICA PUYO FELIX ALEJANDRO T0001113.pdf", "Link")</f>
        <v/>
      </c>
      <c r="C1281" t="n">
        <v>166330</v>
      </c>
      <c r="D1281" t="inlineStr">
        <is>
          <t>2024-03-18 16:53:19</t>
        </is>
      </c>
      <c r="E1281" t="inlineStr">
        <is>
          <t>2024-03-18 16:53:19</t>
        </is>
      </c>
      <c r="F1281" t="inlineStr">
        <is>
          <t>666</t>
        </is>
      </c>
    </row>
    <row r="1282">
      <c r="A1282" t="inlineStr">
        <is>
          <t>IRARICA SANCHEZ HECTOR TOMAS T0001390.pdf</t>
        </is>
      </c>
      <c r="B1282">
        <f>HYPERLINK("C:\Users\lmonroy\Tema\PLANILLA\BoletasPDF16-31\IRARICA SANCHEZ HECTOR TOMAS T0001390.pdf", "Link")</f>
        <v/>
      </c>
      <c r="C1282" t="n">
        <v>166157</v>
      </c>
      <c r="D1282" t="inlineStr">
        <is>
          <t>2024-03-18 16:52:07</t>
        </is>
      </c>
      <c r="E1282" t="inlineStr">
        <is>
          <t>2024-03-18 16:52:07</t>
        </is>
      </c>
      <c r="F1282" t="inlineStr">
        <is>
          <t>666</t>
        </is>
      </c>
    </row>
    <row r="1283">
      <c r="A1283" t="inlineStr">
        <is>
          <t>IRARICA SANCHEZ JULIO JAVIER T0001116.pdf</t>
        </is>
      </c>
      <c r="B1283">
        <f>HYPERLINK("C:\Users\lmonroy\Tema\PLANILLA\BoletasPDF16-31\IRARICA SANCHEZ JULIO JAVIER T0001116.pdf", "Link")</f>
        <v/>
      </c>
      <c r="C1283" t="n">
        <v>166144</v>
      </c>
      <c r="D1283" t="inlineStr">
        <is>
          <t>2024-03-18 16:50:49</t>
        </is>
      </c>
      <c r="E1283" t="inlineStr">
        <is>
          <t>2024-03-18 16:50:49</t>
        </is>
      </c>
      <c r="F1283" t="inlineStr">
        <is>
          <t>666</t>
        </is>
      </c>
    </row>
    <row r="1284">
      <c r="A1284" t="inlineStr">
        <is>
          <t>IRARICA SANCHEZ LINKER T0001387.pdf</t>
        </is>
      </c>
      <c r="B1284">
        <f>HYPERLINK("C:\Users\lmonroy\Tema\PLANILLA\BoletasPDF16-31\IRARICA SANCHEZ LINKER T0001387.pdf", "Link")</f>
        <v/>
      </c>
      <c r="C1284" t="n">
        <v>166153</v>
      </c>
      <c r="D1284" t="inlineStr">
        <is>
          <t>2024-03-18 16:53:14</t>
        </is>
      </c>
      <c r="E1284" t="inlineStr">
        <is>
          <t>2024-03-18 16:53:14</t>
        </is>
      </c>
      <c r="F1284" t="inlineStr">
        <is>
          <t>666</t>
        </is>
      </c>
    </row>
    <row r="1285">
      <c r="A1285" t="inlineStr">
        <is>
          <t>JABA MAHUA JAVIER  T0001118.pdf</t>
        </is>
      </c>
      <c r="B1285">
        <f>HYPERLINK("C:\Users\lmonroy\Tema\PLANILLA\BoletasPDF16-31\JABA MAHUA JAVIER  T0001118.pdf", "Link")</f>
        <v/>
      </c>
      <c r="C1285" t="n">
        <v>166143</v>
      </c>
      <c r="D1285" t="inlineStr">
        <is>
          <t>2024-03-18 16:53:43</t>
        </is>
      </c>
      <c r="E1285" t="inlineStr">
        <is>
          <t>2024-03-18 16:53:43</t>
        </is>
      </c>
      <c r="F1285" t="inlineStr">
        <is>
          <t>666</t>
        </is>
      </c>
    </row>
    <row r="1286">
      <c r="A1286" t="inlineStr">
        <is>
          <t>JABA MORENO HILDER  T0001119.pdf</t>
        </is>
      </c>
      <c r="B1286">
        <f>HYPERLINK("C:\Users\lmonroy\Tema\PLANILLA\BoletasPDF16-31\JABA MORENO HILDER  T0001119.pdf", "Link")</f>
        <v/>
      </c>
      <c r="C1286" t="n">
        <v>166125</v>
      </c>
      <c r="D1286" t="inlineStr">
        <is>
          <t>2024-03-18 16:52:39</t>
        </is>
      </c>
      <c r="E1286" t="inlineStr">
        <is>
          <t>2024-03-18 16:52:39</t>
        </is>
      </c>
      <c r="F1286" t="inlineStr">
        <is>
          <t>666</t>
        </is>
      </c>
    </row>
    <row r="1287">
      <c r="A1287" t="inlineStr">
        <is>
          <t>JABA TORRES CARLOS DANIEL T0001122.pdf</t>
        </is>
      </c>
      <c r="B1287">
        <f>HYPERLINK("C:\Users\lmonroy\Tema\PLANILLA\BoletasPDF16-31\JABA TORRES CARLOS DANIEL T0001122.pdf", "Link")</f>
        <v/>
      </c>
      <c r="C1287" t="n">
        <v>166129</v>
      </c>
      <c r="D1287" t="inlineStr">
        <is>
          <t>2024-03-18 16:52:31</t>
        </is>
      </c>
      <c r="E1287" t="inlineStr">
        <is>
          <t>2024-03-18 16:52:31</t>
        </is>
      </c>
      <c r="F1287" t="inlineStr">
        <is>
          <t>666</t>
        </is>
      </c>
    </row>
    <row r="1288">
      <c r="A1288" t="inlineStr">
        <is>
          <t>JABA TORRES LUIS T0001386.pdf</t>
        </is>
      </c>
      <c r="B1288">
        <f>HYPERLINK("C:\Users\lmonroy\Tema\PLANILLA\BoletasPDF16-31\JABA TORRES LUIS T0001386.pdf", "Link")</f>
        <v/>
      </c>
      <c r="C1288" t="n">
        <v>166134</v>
      </c>
      <c r="D1288" t="inlineStr">
        <is>
          <t>2024-03-18 16:51:30</t>
        </is>
      </c>
      <c r="E1288" t="inlineStr">
        <is>
          <t>2024-03-18 16:51:30</t>
        </is>
      </c>
      <c r="F1288" t="inlineStr">
        <is>
          <t>666</t>
        </is>
      </c>
    </row>
    <row r="1289">
      <c r="A1289" t="inlineStr">
        <is>
          <t>JAVA RIOS ADRIANO  T0001125.pdf</t>
        </is>
      </c>
      <c r="B1289">
        <f>HYPERLINK("C:\Users\lmonroy\Tema\PLANILLA\BoletasPDF16-31\JAVA RIOS ADRIANO  T0001125.pdf", "Link")</f>
        <v/>
      </c>
      <c r="C1289" t="n">
        <v>166170</v>
      </c>
      <c r="D1289" t="inlineStr">
        <is>
          <t>2024-03-18 16:52:20</t>
        </is>
      </c>
      <c r="E1289" t="inlineStr">
        <is>
          <t>2024-03-18 16:52:20</t>
        </is>
      </c>
      <c r="F1289" t="inlineStr">
        <is>
          <t>666</t>
        </is>
      </c>
    </row>
    <row r="1290">
      <c r="A1290" t="inlineStr">
        <is>
          <t>JAVA RIOS BILLY  T0001126.pdf</t>
        </is>
      </c>
      <c r="B1290">
        <f>HYPERLINK("C:\Users\lmonroy\Tema\PLANILLA\BoletasPDF16-31\JAVA RIOS BILLY  T0001126.pdf", "Link")</f>
        <v/>
      </c>
      <c r="C1290" t="n">
        <v>166159</v>
      </c>
      <c r="D1290" t="inlineStr">
        <is>
          <t>2024-03-18 16:52:21</t>
        </is>
      </c>
      <c r="E1290" t="inlineStr">
        <is>
          <t>2024-03-18 16:52:21</t>
        </is>
      </c>
      <c r="F1290" t="inlineStr">
        <is>
          <t>666</t>
        </is>
      </c>
    </row>
    <row r="1291">
      <c r="A1291" t="inlineStr">
        <is>
          <t>JAVA RIOS PLACIDO  T0001127.pdf</t>
        </is>
      </c>
      <c r="B1291">
        <f>HYPERLINK("C:\Users\lmonroy\Tema\PLANILLA\BoletasPDF16-31\JAVA RIOS PLACIDO  T0001127.pdf", "Link")</f>
        <v/>
      </c>
      <c r="C1291" t="n">
        <v>166145</v>
      </c>
      <c r="D1291" t="inlineStr">
        <is>
          <t>2024-03-18 16:52:19</t>
        </is>
      </c>
      <c r="E1291" t="inlineStr">
        <is>
          <t>2024-03-18 16:52:19</t>
        </is>
      </c>
      <c r="F1291" t="inlineStr">
        <is>
          <t>666</t>
        </is>
      </c>
    </row>
    <row r="1292">
      <c r="A1292" t="inlineStr">
        <is>
          <t>JAVA TORRES DARWIN T0001378.pdf</t>
        </is>
      </c>
      <c r="B1292">
        <f>HYPERLINK("C:\Users\lmonroy\Tema\PLANILLA\BoletasPDF16-31\JAVA TORRES DARWIN T0001378.pdf", "Link")</f>
        <v/>
      </c>
      <c r="C1292" t="n">
        <v>166188</v>
      </c>
      <c r="D1292" t="inlineStr">
        <is>
          <t>2024-03-18 16:50:51</t>
        </is>
      </c>
      <c r="E1292" t="inlineStr">
        <is>
          <t>2024-03-18 16:50:51</t>
        </is>
      </c>
      <c r="F1292" t="inlineStr">
        <is>
          <t>666</t>
        </is>
      </c>
    </row>
    <row r="1293">
      <c r="A1293" t="inlineStr">
        <is>
          <t>JESUS SANDI SEGUNDO  T0001128.pdf</t>
        </is>
      </c>
      <c r="B1293">
        <f>HYPERLINK("C:\Users\lmonroy\Tema\PLANILLA\BoletasPDF16-31\JESUS SANDI SEGUNDO  T0001128.pdf", "Link")</f>
        <v/>
      </c>
      <c r="C1293" t="n">
        <v>166149</v>
      </c>
      <c r="D1293" t="inlineStr">
        <is>
          <t>2024-03-18 16:53:16</t>
        </is>
      </c>
      <c r="E1293" t="inlineStr">
        <is>
          <t>2024-03-18 16:53:16</t>
        </is>
      </c>
      <c r="F1293" t="inlineStr">
        <is>
          <t>666</t>
        </is>
      </c>
    </row>
    <row r="1294">
      <c r="A1294" t="inlineStr">
        <is>
          <t>JOGUISTA INUMA JOSE  T0001131.pdf</t>
        </is>
      </c>
      <c r="B1294">
        <f>HYPERLINK("C:\Users\lmonroy\Tema\PLANILLA\BoletasPDF16-31\JOGUISTA INUMA JOSE  T0001131.pdf", "Link")</f>
        <v/>
      </c>
      <c r="C1294" t="n">
        <v>166144</v>
      </c>
      <c r="D1294" t="inlineStr">
        <is>
          <t>2024-03-18 16:51:59</t>
        </is>
      </c>
      <c r="E1294" t="inlineStr">
        <is>
          <t>2024-03-18 16:51:59</t>
        </is>
      </c>
      <c r="F1294" t="inlineStr">
        <is>
          <t>666</t>
        </is>
      </c>
    </row>
    <row r="1295">
      <c r="A1295" t="inlineStr">
        <is>
          <t>JOGUISTA INUMA SEGUNDO  T0001130.pdf</t>
        </is>
      </c>
      <c r="B1295">
        <f>HYPERLINK("C:\Users\lmonroy\Tema\PLANILLA\BoletasPDF16-31\JOGUISTA INUMA SEGUNDO  T0001130.pdf", "Link")</f>
        <v/>
      </c>
      <c r="C1295" t="n">
        <v>166153</v>
      </c>
      <c r="D1295" t="inlineStr">
        <is>
          <t>2024-03-18 16:51:41</t>
        </is>
      </c>
      <c r="E1295" t="inlineStr">
        <is>
          <t>2024-03-18 16:51:41</t>
        </is>
      </c>
      <c r="F1295" t="inlineStr">
        <is>
          <t>666</t>
        </is>
      </c>
    </row>
    <row r="1296">
      <c r="A1296" t="inlineStr">
        <is>
          <t>JOGUISTA MACUSI JUAN  T0001132.pdf</t>
        </is>
      </c>
      <c r="B1296">
        <f>HYPERLINK("C:\Users\lmonroy\Tema\PLANILLA\BoletasPDF16-31\JOGUISTA MACUSI JUAN  T0001132.pdf", "Link")</f>
        <v/>
      </c>
      <c r="C1296" t="n">
        <v>166140</v>
      </c>
      <c r="D1296" t="inlineStr">
        <is>
          <t>2024-03-18 16:51:53</t>
        </is>
      </c>
      <c r="E1296" t="inlineStr">
        <is>
          <t>2024-03-18 16:51:53</t>
        </is>
      </c>
      <c r="F1296" t="inlineStr">
        <is>
          <t>666</t>
        </is>
      </c>
    </row>
    <row r="1297">
      <c r="A1297" t="inlineStr">
        <is>
          <t>JOGUISTA MACUSI JUAN  T0001133.pdf</t>
        </is>
      </c>
      <c r="B1297">
        <f>HYPERLINK("C:\Users\lmonroy\Tema\PLANILLA\BoletasPDF16-31\JOGUISTA MACUSI JUAN  T0001133.pdf", "Link")</f>
        <v/>
      </c>
      <c r="C1297" t="n">
        <v>166144</v>
      </c>
      <c r="D1297" t="inlineStr">
        <is>
          <t>2024-03-18 16:53:27</t>
        </is>
      </c>
      <c r="E1297" t="inlineStr">
        <is>
          <t>2024-03-18 16:53:27</t>
        </is>
      </c>
      <c r="F1297" t="inlineStr">
        <is>
          <t>666</t>
        </is>
      </c>
    </row>
    <row r="1298">
      <c r="A1298" t="inlineStr">
        <is>
          <t>JOGUISTA MACUSI RIGOBERTO  T0001134.pdf</t>
        </is>
      </c>
      <c r="B1298">
        <f>HYPERLINK("C:\Users\lmonroy\Tema\PLANILLA\BoletasPDF16-31\JOGUISTA MACUSI RIGOBERTO  T0001134.pdf", "Link")</f>
        <v/>
      </c>
      <c r="C1298" t="n">
        <v>166157</v>
      </c>
      <c r="D1298" t="inlineStr">
        <is>
          <t>2024-03-18 16:53:23</t>
        </is>
      </c>
      <c r="E1298" t="inlineStr">
        <is>
          <t>2024-03-18 16:53:23</t>
        </is>
      </c>
      <c r="F1298" t="inlineStr">
        <is>
          <t>666</t>
        </is>
      </c>
    </row>
    <row r="1299">
      <c r="A1299" t="inlineStr">
        <is>
          <t>JOGUISTA MACUSI SEGUNDO  T0001136.pdf</t>
        </is>
      </c>
      <c r="B1299">
        <f>HYPERLINK("C:\Users\lmonroy\Tema\PLANILLA\BoletasPDF16-31\JOGUISTA MACUSI SEGUNDO  T0001136.pdf", "Link")</f>
        <v/>
      </c>
      <c r="C1299" t="n">
        <v>166336</v>
      </c>
      <c r="D1299" t="inlineStr">
        <is>
          <t>2024-03-18 16:51:11</t>
        </is>
      </c>
      <c r="E1299" t="inlineStr">
        <is>
          <t>2024-03-18 16:51:11</t>
        </is>
      </c>
      <c r="F1299" t="inlineStr">
        <is>
          <t>666</t>
        </is>
      </c>
    </row>
    <row r="1300">
      <c r="A1300" t="inlineStr">
        <is>
          <t>JOQUISTA MACUSI ROBINSON  T0001135.pdf</t>
        </is>
      </c>
      <c r="B1300">
        <f>HYPERLINK("C:\Users\lmonroy\Tema\PLANILLA\BoletasPDF16-31\JOQUISTA MACUSI ROBINSON  T0001135.pdf", "Link")</f>
        <v/>
      </c>
      <c r="C1300" t="n">
        <v>166160</v>
      </c>
      <c r="D1300" t="inlineStr">
        <is>
          <t>2024-03-18 16:51:21</t>
        </is>
      </c>
      <c r="E1300" t="inlineStr">
        <is>
          <t>2024-03-18 16:51:21</t>
        </is>
      </c>
      <c r="F1300" t="inlineStr">
        <is>
          <t>666</t>
        </is>
      </c>
    </row>
    <row r="1301">
      <c r="A1301" t="inlineStr">
        <is>
          <t>LAICHI DELGADO DEYVIS GILBERTO T0001139.pdf</t>
        </is>
      </c>
      <c r="B1301">
        <f>HYPERLINK("C:\Users\lmonroy\Tema\PLANILLA\BoletasPDF16-31\LAICHI DELGADO DEYVIS GILBERTO T0001139.pdf", "Link")</f>
        <v/>
      </c>
      <c r="C1301" t="n">
        <v>166142</v>
      </c>
      <c r="D1301" t="inlineStr">
        <is>
          <t>2024-03-18 16:52:46</t>
        </is>
      </c>
      <c r="E1301" t="inlineStr">
        <is>
          <t>2024-03-18 16:52:46</t>
        </is>
      </c>
      <c r="F1301" t="inlineStr">
        <is>
          <t>666</t>
        </is>
      </c>
    </row>
    <row r="1302">
      <c r="A1302" t="inlineStr">
        <is>
          <t>LAVAJOS VELA GILBERTO  T0001140.pdf</t>
        </is>
      </c>
      <c r="B1302">
        <f>HYPERLINK("C:\Users\lmonroy\Tema\PLANILLA\BoletasPDF16-31\LAVAJOS VELA GILBERTO  T0001140.pdf", "Link")</f>
        <v/>
      </c>
      <c r="C1302" t="n">
        <v>166323</v>
      </c>
      <c r="D1302" t="inlineStr">
        <is>
          <t>2024-03-18 16:53:09</t>
        </is>
      </c>
      <c r="E1302" t="inlineStr">
        <is>
          <t>2024-03-18 16:53:09</t>
        </is>
      </c>
      <c r="F1302" t="inlineStr">
        <is>
          <t>666</t>
        </is>
      </c>
    </row>
    <row r="1303">
      <c r="A1303" t="inlineStr">
        <is>
          <t>LLERENA TORRES MILTON  T0001141.pdf</t>
        </is>
      </c>
      <c r="B1303">
        <f>HYPERLINK("C:\Users\lmonroy\Tema\PLANILLA\BoletasPDF16-31\LLERENA TORRES MILTON  T0001141.pdf", "Link")</f>
        <v/>
      </c>
      <c r="C1303" t="n">
        <v>166347</v>
      </c>
      <c r="D1303" t="inlineStr">
        <is>
          <t>2024-03-18 16:53:51</t>
        </is>
      </c>
      <c r="E1303" t="inlineStr">
        <is>
          <t>2024-03-18 16:53:51</t>
        </is>
      </c>
      <c r="F1303" t="inlineStr">
        <is>
          <t>666</t>
        </is>
      </c>
    </row>
    <row r="1304">
      <c r="A1304" t="inlineStr">
        <is>
          <t>LOMAS PACAYA MARCOS LUIS T0001142.pdf</t>
        </is>
      </c>
      <c r="B1304">
        <f>HYPERLINK("C:\Users\lmonroy\Tema\PLANILLA\BoletasPDF16-31\LOMAS PACAYA MARCOS LUIS T0001142.pdf", "Link")</f>
        <v/>
      </c>
      <c r="C1304" t="n">
        <v>166091</v>
      </c>
      <c r="D1304" t="inlineStr">
        <is>
          <t>2024-03-18 16:52:58</t>
        </is>
      </c>
      <c r="E1304" t="inlineStr">
        <is>
          <t>2024-03-18 16:52:58</t>
        </is>
      </c>
      <c r="F1304" t="inlineStr">
        <is>
          <t>666</t>
        </is>
      </c>
    </row>
    <row r="1305">
      <c r="A1305" t="inlineStr">
        <is>
          <t>LOPEZ JOGUISTA ESTEBAN  T0001144.pdf</t>
        </is>
      </c>
      <c r="B1305">
        <f>HYPERLINK("C:\Users\lmonroy\Tema\PLANILLA\BoletasPDF16-31\LOPEZ JOGUISTA ESTEBAN  T0001144.pdf", "Link")</f>
        <v/>
      </c>
      <c r="C1305" t="n">
        <v>166144</v>
      </c>
      <c r="D1305" t="inlineStr">
        <is>
          <t>2024-03-18 16:53:00</t>
        </is>
      </c>
      <c r="E1305" t="inlineStr">
        <is>
          <t>2024-03-18 16:53:00</t>
        </is>
      </c>
      <c r="F1305" t="inlineStr">
        <is>
          <t>666</t>
        </is>
      </c>
    </row>
    <row r="1306">
      <c r="A1306" t="inlineStr">
        <is>
          <t>LOPEZ JOGUISTA JOSE  T0001145.pdf</t>
        </is>
      </c>
      <c r="B1306">
        <f>HYPERLINK("C:\Users\lmonroy\Tema\PLANILLA\BoletasPDF16-31\LOPEZ JOGUISTA JOSE  T0001145.pdf", "Link")</f>
        <v/>
      </c>
      <c r="C1306" t="n">
        <v>166332</v>
      </c>
      <c r="D1306" t="inlineStr">
        <is>
          <t>2024-03-18 16:53:03</t>
        </is>
      </c>
      <c r="E1306" t="inlineStr">
        <is>
          <t>2024-03-18 16:53:03</t>
        </is>
      </c>
      <c r="F1306" t="inlineStr">
        <is>
          <t>666</t>
        </is>
      </c>
    </row>
    <row r="1307">
      <c r="A1307" t="inlineStr">
        <is>
          <t>LOPEZ JOGUISTA RUSBEL  T0001146.pdf</t>
        </is>
      </c>
      <c r="B1307">
        <f>HYPERLINK("C:\Users\lmonroy\Tema\PLANILLA\BoletasPDF16-31\LOPEZ JOGUISTA RUSBEL  T0001146.pdf", "Link")</f>
        <v/>
      </c>
      <c r="C1307" t="n">
        <v>166150</v>
      </c>
      <c r="D1307" t="inlineStr">
        <is>
          <t>2024-03-18 16:51:45</t>
        </is>
      </c>
      <c r="E1307" t="inlineStr">
        <is>
          <t>2024-03-18 16:51:45</t>
        </is>
      </c>
      <c r="F1307" t="inlineStr">
        <is>
          <t>666</t>
        </is>
      </c>
    </row>
    <row r="1308">
      <c r="A1308" t="inlineStr">
        <is>
          <t>LOPEZ MACUSI CUSTODIO  T0001148.pdf</t>
        </is>
      </c>
      <c r="B1308">
        <f>HYPERLINK("C:\Users\lmonroy\Tema\PLANILLA\BoletasPDF16-31\LOPEZ MACUSI CUSTODIO  T0001148.pdf", "Link")</f>
        <v/>
      </c>
      <c r="C1308" t="n">
        <v>166143</v>
      </c>
      <c r="D1308" t="inlineStr">
        <is>
          <t>2024-03-18 16:53:13</t>
        </is>
      </c>
      <c r="E1308" t="inlineStr">
        <is>
          <t>2024-03-18 16:53:13</t>
        </is>
      </c>
      <c r="F1308" t="inlineStr">
        <is>
          <t>666</t>
        </is>
      </c>
    </row>
    <row r="1309">
      <c r="A1309" t="inlineStr">
        <is>
          <t>LOPEZ MACUSI LUIS  T0001149.pdf</t>
        </is>
      </c>
      <c r="B1309">
        <f>HYPERLINK("C:\Users\lmonroy\Tema\PLANILLA\BoletasPDF16-31\LOPEZ MACUSI LUIS  T0001149.pdf", "Link")</f>
        <v/>
      </c>
      <c r="C1309" t="n">
        <v>166143</v>
      </c>
      <c r="D1309" t="inlineStr">
        <is>
          <t>2024-03-18 16:50:54</t>
        </is>
      </c>
      <c r="E1309" t="inlineStr">
        <is>
          <t>2024-03-18 16:50:54</t>
        </is>
      </c>
      <c r="F1309" t="inlineStr">
        <is>
          <t>666</t>
        </is>
      </c>
    </row>
    <row r="1310">
      <c r="A1310" t="inlineStr">
        <is>
          <t>LOPEZ MACUSI SEGUNDO CUSTODIO T0001150.pdf</t>
        </is>
      </c>
      <c r="B1310">
        <f>HYPERLINK("C:\Users\lmonroy\Tema\PLANILLA\BoletasPDF16-31\LOPEZ MACUSI SEGUNDO CUSTODIO T0001150.pdf", "Link")</f>
        <v/>
      </c>
      <c r="C1310" t="n">
        <v>166167</v>
      </c>
      <c r="D1310" t="inlineStr">
        <is>
          <t>2024-03-18 16:53:12</t>
        </is>
      </c>
      <c r="E1310" t="inlineStr">
        <is>
          <t>2024-03-18 16:53:12</t>
        </is>
      </c>
      <c r="F1310" t="inlineStr">
        <is>
          <t>666</t>
        </is>
      </c>
    </row>
    <row r="1311">
      <c r="A1311" t="inlineStr">
        <is>
          <t>MACAYO YAICATE MARDEN  T0001154.pdf</t>
        </is>
      </c>
      <c r="B1311">
        <f>HYPERLINK("C:\Users\lmonroy\Tema\PLANILLA\BoletasPDF16-31\MACAYO YAICATE MARDEN  T0001154.pdf", "Link")</f>
        <v/>
      </c>
      <c r="C1311" t="n">
        <v>166323</v>
      </c>
      <c r="D1311" t="inlineStr">
        <is>
          <t>2024-03-18 16:51:04</t>
        </is>
      </c>
      <c r="E1311" t="inlineStr">
        <is>
          <t>2024-03-18 16:51:04</t>
        </is>
      </c>
      <c r="F1311" t="inlineStr">
        <is>
          <t>666</t>
        </is>
      </c>
    </row>
    <row r="1312">
      <c r="A1312" t="inlineStr">
        <is>
          <t>MACUSI AHUITE ARTEMIO T0001453.pdf</t>
        </is>
      </c>
      <c r="B1312">
        <f>HYPERLINK("C:\Users\lmonroy\Tema\PLANILLA\BoletasPDF16-31\MACUSI AHUITE ARTEMIO T0001453.pdf", "Link")</f>
        <v/>
      </c>
      <c r="C1312" t="n">
        <v>166139</v>
      </c>
      <c r="D1312" t="inlineStr">
        <is>
          <t>2024-03-18 16:50:40</t>
        </is>
      </c>
      <c r="E1312" t="inlineStr">
        <is>
          <t>2024-03-18 16:50:40</t>
        </is>
      </c>
      <c r="F1312" t="inlineStr">
        <is>
          <t>666</t>
        </is>
      </c>
    </row>
    <row r="1313">
      <c r="A1313" t="inlineStr">
        <is>
          <t>MACUSI AHUITE MANUEL  T0001157.pdf</t>
        </is>
      </c>
      <c r="B1313">
        <f>HYPERLINK("C:\Users\lmonroy\Tema\PLANILLA\BoletasPDF16-31\MACUSI AHUITE MANUEL  T0001157.pdf", "Link")</f>
        <v/>
      </c>
      <c r="C1313" t="n">
        <v>166113</v>
      </c>
      <c r="D1313" t="inlineStr">
        <is>
          <t>2024-03-18 16:50:56</t>
        </is>
      </c>
      <c r="E1313" t="inlineStr">
        <is>
          <t>2024-03-18 16:50:56</t>
        </is>
      </c>
      <c r="F1313" t="inlineStr">
        <is>
          <t>666</t>
        </is>
      </c>
    </row>
    <row r="1314">
      <c r="A1314" t="inlineStr">
        <is>
          <t>MACUSI FOGUISTA CUSTODIO  T0001160.pdf</t>
        </is>
      </c>
      <c r="B1314">
        <f>HYPERLINK("C:\Users\lmonroy\Tema\PLANILLA\BoletasPDF16-31\MACUSI FOGUISTA CUSTODIO  T0001160.pdf", "Link")</f>
        <v/>
      </c>
      <c r="C1314" t="n">
        <v>166150</v>
      </c>
      <c r="D1314" t="inlineStr">
        <is>
          <t>2024-03-18 16:53:21</t>
        </is>
      </c>
      <c r="E1314" t="inlineStr">
        <is>
          <t>2024-03-18 16:53:21</t>
        </is>
      </c>
      <c r="F1314" t="inlineStr">
        <is>
          <t>666</t>
        </is>
      </c>
    </row>
    <row r="1315">
      <c r="A1315" t="inlineStr">
        <is>
          <t>MACUSI INUMA ROBINSON  T0001162.pdf</t>
        </is>
      </c>
      <c r="B1315">
        <f>HYPERLINK("C:\Users\lmonroy\Tema\PLANILLA\BoletasPDF16-31\MACUSI INUMA ROBINSON  T0001162.pdf", "Link")</f>
        <v/>
      </c>
      <c r="C1315" t="n">
        <v>166128</v>
      </c>
      <c r="D1315" t="inlineStr">
        <is>
          <t>2024-03-18 16:52:11</t>
        </is>
      </c>
      <c r="E1315" t="inlineStr">
        <is>
          <t>2024-03-18 16:52:11</t>
        </is>
      </c>
      <c r="F1315" t="inlineStr">
        <is>
          <t>666</t>
        </is>
      </c>
    </row>
    <row r="1316">
      <c r="A1316" t="inlineStr">
        <is>
          <t>MACUSI INUMA RUBEL  T0001163.pdf</t>
        </is>
      </c>
      <c r="B1316">
        <f>HYPERLINK("C:\Users\lmonroy\Tema\PLANILLA\BoletasPDF16-31\MACUSI INUMA RUBEL  T0001163.pdf", "Link")</f>
        <v/>
      </c>
      <c r="C1316" t="n">
        <v>166149</v>
      </c>
      <c r="D1316" t="inlineStr">
        <is>
          <t>2024-03-18 16:52:12</t>
        </is>
      </c>
      <c r="E1316" t="inlineStr">
        <is>
          <t>2024-03-18 16:52:12</t>
        </is>
      </c>
      <c r="F1316" t="inlineStr">
        <is>
          <t>666</t>
        </is>
      </c>
    </row>
    <row r="1317">
      <c r="A1317" t="inlineStr">
        <is>
          <t>MACUSI JOGUISTA HUMBERTO  T0001165.pdf</t>
        </is>
      </c>
      <c r="B1317">
        <f>HYPERLINK("C:\Users\lmonroy\Tema\PLANILLA\BoletasPDF16-31\MACUSI JOGUISTA HUMBERTO  T0001165.pdf", "Link")</f>
        <v/>
      </c>
      <c r="C1317" t="n">
        <v>166157</v>
      </c>
      <c r="D1317" t="inlineStr">
        <is>
          <t>2024-03-18 16:51:06</t>
        </is>
      </c>
      <c r="E1317" t="inlineStr">
        <is>
          <t>2024-03-18 16:51:06</t>
        </is>
      </c>
      <c r="F1317" t="inlineStr">
        <is>
          <t>666</t>
        </is>
      </c>
    </row>
    <row r="1318">
      <c r="A1318" t="inlineStr">
        <is>
          <t>MACUSI LOPEZ ALBERTO  T0001168.pdf</t>
        </is>
      </c>
      <c r="B1318">
        <f>HYPERLINK("C:\Users\lmonroy\Tema\PLANILLA\BoletasPDF16-31\MACUSI LOPEZ ALBERTO  T0001168.pdf", "Link")</f>
        <v/>
      </c>
      <c r="C1318" t="n">
        <v>166347</v>
      </c>
      <c r="D1318" t="inlineStr">
        <is>
          <t>2024-03-18 16:51:20</t>
        </is>
      </c>
      <c r="E1318" t="inlineStr">
        <is>
          <t>2024-03-18 16:51:20</t>
        </is>
      </c>
      <c r="F1318" t="inlineStr">
        <is>
          <t>666</t>
        </is>
      </c>
    </row>
    <row r="1319">
      <c r="A1319" t="inlineStr">
        <is>
          <t>MACUSI OJAICATE CUSTODIO  T0001169.pdf</t>
        </is>
      </c>
      <c r="B1319">
        <f>HYPERLINK("C:\Users\lmonroy\Tema\PLANILLA\BoletasPDF16-31\MACUSI OJAICATE CUSTODIO  T0001169.pdf", "Link")</f>
        <v/>
      </c>
      <c r="C1319" t="n">
        <v>166344</v>
      </c>
      <c r="D1319" t="inlineStr">
        <is>
          <t>2024-03-18 16:51:22</t>
        </is>
      </c>
      <c r="E1319" t="inlineStr">
        <is>
          <t>2024-03-18 16:51:22</t>
        </is>
      </c>
      <c r="F1319" t="inlineStr">
        <is>
          <t>666</t>
        </is>
      </c>
    </row>
    <row r="1320">
      <c r="A1320" t="inlineStr">
        <is>
          <t>MACUSI RUFINO MANUEL  T0001170.pdf</t>
        </is>
      </c>
      <c r="B1320">
        <f>HYPERLINK("C:\Users\lmonroy\Tema\PLANILLA\BoletasPDF16-31\MACUSI RUFINO MANUEL  T0001170.pdf", "Link")</f>
        <v/>
      </c>
      <c r="C1320" t="n">
        <v>166163</v>
      </c>
      <c r="D1320" t="inlineStr">
        <is>
          <t>2024-03-18 16:53:34</t>
        </is>
      </c>
      <c r="E1320" t="inlineStr">
        <is>
          <t>2024-03-18 16:53:34</t>
        </is>
      </c>
      <c r="F1320" t="inlineStr">
        <is>
          <t>666</t>
        </is>
      </c>
    </row>
    <row r="1321">
      <c r="A1321" t="inlineStr">
        <is>
          <t>MACUSI RUIZ ANTONIO T0001454.pdf</t>
        </is>
      </c>
      <c r="B1321">
        <f>HYPERLINK("C:\Users\lmonroy\Tema\PLANILLA\BoletasPDF16-31\MACUSI RUIZ ANTONIO T0001454.pdf", "Link")</f>
        <v/>
      </c>
      <c r="C1321" t="n">
        <v>166140</v>
      </c>
      <c r="D1321" t="inlineStr">
        <is>
          <t>2024-03-18 16:53:20</t>
        </is>
      </c>
      <c r="E1321" t="inlineStr">
        <is>
          <t>2024-03-18 16:53:20</t>
        </is>
      </c>
      <c r="F1321" t="inlineStr">
        <is>
          <t>666</t>
        </is>
      </c>
    </row>
    <row r="1322">
      <c r="A1322" t="inlineStr">
        <is>
          <t>MACUSI RUIZ CARLOS  T0001171.pdf</t>
        </is>
      </c>
      <c r="B1322">
        <f>HYPERLINK("C:\Users\lmonroy\Tema\PLANILLA\BoletasPDF16-31\MACUSI RUIZ CARLOS  T0001171.pdf", "Link")</f>
        <v/>
      </c>
      <c r="C1322" t="n">
        <v>166325</v>
      </c>
      <c r="D1322" t="inlineStr">
        <is>
          <t>2024-03-18 16:50:32</t>
        </is>
      </c>
      <c r="E1322" t="inlineStr">
        <is>
          <t>2024-03-18 16:50:32</t>
        </is>
      </c>
      <c r="F1322" t="inlineStr">
        <is>
          <t>666</t>
        </is>
      </c>
    </row>
    <row r="1323">
      <c r="A1323" t="inlineStr">
        <is>
          <t>MACUSI VELA IGNACIO  T0001172.pdf</t>
        </is>
      </c>
      <c r="B1323">
        <f>HYPERLINK("C:\Users\lmonroy\Tema\PLANILLA\BoletasPDF16-31\MACUSI VELA IGNACIO  T0001172.pdf", "Link")</f>
        <v/>
      </c>
      <c r="C1323" t="n">
        <v>166133</v>
      </c>
      <c r="D1323" t="inlineStr">
        <is>
          <t>2024-03-18 16:51:57</t>
        </is>
      </c>
      <c r="E1323" t="inlineStr">
        <is>
          <t>2024-03-18 16:51:57</t>
        </is>
      </c>
      <c r="F1323" t="inlineStr">
        <is>
          <t>666</t>
        </is>
      </c>
    </row>
    <row r="1324">
      <c r="A1324" t="inlineStr">
        <is>
          <t>MACUSI VELA JACINTO  T0001173.pdf</t>
        </is>
      </c>
      <c r="B1324">
        <f>HYPERLINK("C:\Users\lmonroy\Tema\PLANILLA\BoletasPDF16-31\MACUSI VELA JACINTO  T0001173.pdf", "Link")</f>
        <v/>
      </c>
      <c r="C1324" t="n">
        <v>166153</v>
      </c>
      <c r="D1324" t="inlineStr">
        <is>
          <t>2024-03-18 16:51:46</t>
        </is>
      </c>
      <c r="E1324" t="inlineStr">
        <is>
          <t>2024-03-18 16:51:46</t>
        </is>
      </c>
      <c r="F1324" t="inlineStr">
        <is>
          <t>666</t>
        </is>
      </c>
    </row>
    <row r="1325">
      <c r="A1325" t="inlineStr">
        <is>
          <t>MACUSI VELA JORGE T0001388.pdf</t>
        </is>
      </c>
      <c r="B1325">
        <f>HYPERLINK("C:\Users\lmonroy\Tema\PLANILLA\BoletasPDF16-31\MACUSI VELA JORGE T0001388.pdf", "Link")</f>
        <v/>
      </c>
      <c r="C1325" t="n">
        <v>166134</v>
      </c>
      <c r="D1325" t="inlineStr">
        <is>
          <t>2024-03-18 16:52:05</t>
        </is>
      </c>
      <c r="E1325" t="inlineStr">
        <is>
          <t>2024-03-18 16:52:05</t>
        </is>
      </c>
      <c r="F1325" t="inlineStr">
        <is>
          <t>666</t>
        </is>
      </c>
    </row>
    <row r="1326">
      <c r="A1326" t="inlineStr">
        <is>
          <t>MACUSI VELA JOSE  T0001174.pdf</t>
        </is>
      </c>
      <c r="B1326">
        <f>HYPERLINK("C:\Users\lmonroy\Tema\PLANILLA\BoletasPDF16-31\MACUSI VELA JOSE  T0001174.pdf", "Link")</f>
        <v/>
      </c>
      <c r="C1326" t="n">
        <v>166132</v>
      </c>
      <c r="D1326" t="inlineStr">
        <is>
          <t>2024-03-18 16:51:01</t>
        </is>
      </c>
      <c r="E1326" t="inlineStr">
        <is>
          <t>2024-03-18 16:51:01</t>
        </is>
      </c>
      <c r="F1326" t="inlineStr">
        <is>
          <t>666</t>
        </is>
      </c>
    </row>
    <row r="1327">
      <c r="A1327" t="inlineStr">
        <is>
          <t>MACUSI VELA MIGUEL  T0001176.pdf</t>
        </is>
      </c>
      <c r="B1327">
        <f>HYPERLINK("C:\Users\lmonroy\Tema\PLANILLA\BoletasPDF16-31\MACUSI VELA MIGUEL  T0001176.pdf", "Link")</f>
        <v/>
      </c>
      <c r="C1327" t="n">
        <v>166143</v>
      </c>
      <c r="D1327" t="inlineStr">
        <is>
          <t>2024-03-18 16:52:33</t>
        </is>
      </c>
      <c r="E1327" t="inlineStr">
        <is>
          <t>2024-03-18 16:52:33</t>
        </is>
      </c>
      <c r="F1327" t="inlineStr">
        <is>
          <t>666</t>
        </is>
      </c>
    </row>
    <row r="1328">
      <c r="A1328" t="inlineStr">
        <is>
          <t>MANAJO REATEGUI ALEXANDER  T0001181.pdf</t>
        </is>
      </c>
      <c r="B1328">
        <f>HYPERLINK("C:\Users\lmonroy\Tema\PLANILLA\BoletasPDF16-31\MANAJO REATEGUI ALEXANDER  T0001181.pdf", "Link")</f>
        <v/>
      </c>
      <c r="C1328" t="n">
        <v>166350</v>
      </c>
      <c r="D1328" t="inlineStr">
        <is>
          <t>2024-03-18 16:51:13</t>
        </is>
      </c>
      <c r="E1328" t="inlineStr">
        <is>
          <t>2024-03-18 16:51:13</t>
        </is>
      </c>
      <c r="F1328" t="inlineStr">
        <is>
          <t>666</t>
        </is>
      </c>
    </row>
    <row r="1329">
      <c r="A1329" t="inlineStr">
        <is>
          <t>MANAJO REATEGUI JHULINO  T0001180.pdf</t>
        </is>
      </c>
      <c r="B1329">
        <f>HYPERLINK("C:\Users\lmonroy\Tema\PLANILLA\BoletasPDF16-31\MANAJO REATEGUI JHULINO  T0001180.pdf", "Link")</f>
        <v/>
      </c>
      <c r="C1329" t="n">
        <v>166320</v>
      </c>
      <c r="D1329" t="inlineStr">
        <is>
          <t>2024-03-18 16:52:18</t>
        </is>
      </c>
      <c r="E1329" t="inlineStr">
        <is>
          <t>2024-03-18 16:52:18</t>
        </is>
      </c>
      <c r="F1329" t="inlineStr">
        <is>
          <t>666</t>
        </is>
      </c>
    </row>
    <row r="1330">
      <c r="A1330" t="inlineStr">
        <is>
          <t>MANAJO SABOYA TEDDY T0001455.pdf</t>
        </is>
      </c>
      <c r="B1330">
        <f>HYPERLINK("C:\Users\lmonroy\Tema\PLANILLA\BoletasPDF16-31\MANAJO SABOYA TEDDY T0001455.pdf", "Link")</f>
        <v/>
      </c>
      <c r="C1330" t="n">
        <v>166147</v>
      </c>
      <c r="D1330" t="inlineStr">
        <is>
          <t>2024-03-18 16:53:10</t>
        </is>
      </c>
      <c r="E1330" t="inlineStr">
        <is>
          <t>2024-03-18 16:53:10</t>
        </is>
      </c>
      <c r="F1330" t="inlineStr">
        <is>
          <t>666</t>
        </is>
      </c>
    </row>
    <row r="1331">
      <c r="A1331" t="inlineStr">
        <is>
          <t>MANIHUARI MOZOMBITE JORGE MANUEL T0001182.pdf</t>
        </is>
      </c>
      <c r="B1331">
        <f>HYPERLINK("C:\Users\lmonroy\Tema\PLANILLA\BoletasPDF16-31\MANIHUARI MOZOMBITE JORGE MANUEL T0001182.pdf", "Link")</f>
        <v/>
      </c>
      <c r="C1331" t="n">
        <v>166349</v>
      </c>
      <c r="D1331" t="inlineStr">
        <is>
          <t>2024-03-18 16:50:34</t>
        </is>
      </c>
      <c r="E1331" t="inlineStr">
        <is>
          <t>2024-03-18 16:50:34</t>
        </is>
      </c>
      <c r="F1331" t="inlineStr">
        <is>
          <t>666</t>
        </is>
      </c>
    </row>
    <row r="1332">
      <c r="A1332" t="inlineStr">
        <is>
          <t>MARICAHUA ALVAN JEN  T0001183.pdf</t>
        </is>
      </c>
      <c r="B1332">
        <f>HYPERLINK("C:\Users\lmonroy\Tema\PLANILLA\BoletasPDF16-31\MARICAHUA ALVAN JEN  T0001183.pdf", "Link")</f>
        <v/>
      </c>
      <c r="C1332" t="n">
        <v>166143</v>
      </c>
      <c r="D1332" t="inlineStr">
        <is>
          <t>2024-03-18 16:52:24</t>
        </is>
      </c>
      <c r="E1332" t="inlineStr">
        <is>
          <t>2024-03-18 16:52:24</t>
        </is>
      </c>
      <c r="F1332" t="inlineStr">
        <is>
          <t>666</t>
        </is>
      </c>
    </row>
    <row r="1333">
      <c r="A1333" t="inlineStr">
        <is>
          <t>MAYANCHI ARANDA OSCAR GENARO T0001456.pdf</t>
        </is>
      </c>
      <c r="B1333">
        <f>HYPERLINK("C:\Users\lmonroy\Tema\PLANILLA\BoletasPDF16-31\MAYANCHI ARANDA OSCAR GENARO T0001456.pdf", "Link")</f>
        <v/>
      </c>
      <c r="C1333" t="n">
        <v>166156</v>
      </c>
      <c r="D1333" t="inlineStr">
        <is>
          <t>2024-03-18 16:53:45</t>
        </is>
      </c>
      <c r="E1333" t="inlineStr">
        <is>
          <t>2024-03-18 16:53:45</t>
        </is>
      </c>
      <c r="F1333" t="inlineStr">
        <is>
          <t>666</t>
        </is>
      </c>
    </row>
    <row r="1334">
      <c r="A1334" t="inlineStr">
        <is>
          <t>MELENDEZ FLOREZ ADAN T0001457.pdf</t>
        </is>
      </c>
      <c r="B1334">
        <f>HYPERLINK("C:\Users\lmonroy\Tema\PLANILLA\BoletasPDF16-31\MELENDEZ FLOREZ ADAN T0001457.pdf", "Link")</f>
        <v/>
      </c>
      <c r="C1334" t="n">
        <v>166143</v>
      </c>
      <c r="D1334" t="inlineStr">
        <is>
          <t>2024-03-18 16:51:55</t>
        </is>
      </c>
      <c r="E1334" t="inlineStr">
        <is>
          <t>2024-03-18 16:51:55</t>
        </is>
      </c>
      <c r="F1334" t="inlineStr">
        <is>
          <t>666</t>
        </is>
      </c>
    </row>
    <row r="1335">
      <c r="A1335" t="inlineStr">
        <is>
          <t>MURAYARI MANAJO SEGUNDO ENEMECIO T0001190.pdf</t>
        </is>
      </c>
      <c r="B1335">
        <f>HYPERLINK("C:\Users\lmonroy\Tema\PLANILLA\BoletasPDF16-31\MURAYARI MANAJO SEGUNDO ENEMECIO T0001190.pdf", "Link")</f>
        <v/>
      </c>
      <c r="C1335" t="n">
        <v>166334</v>
      </c>
      <c r="D1335" t="inlineStr">
        <is>
          <t>2024-03-18 16:51:24</t>
        </is>
      </c>
      <c r="E1335" t="inlineStr">
        <is>
          <t>2024-03-18 16:51:24</t>
        </is>
      </c>
      <c r="F1335" t="inlineStr">
        <is>
          <t>666</t>
        </is>
      </c>
    </row>
    <row r="1336">
      <c r="A1336" t="inlineStr">
        <is>
          <t>MURAYARI MANIHUARI SEGUNDO  T0001458.pdf</t>
        </is>
      </c>
      <c r="B1336">
        <f>HYPERLINK("C:\Users\lmonroy\Tema\PLANILLA\BoletasPDF16-31\MURAYARI MANIHUARI SEGUNDO  T0001458.pdf", "Link")</f>
        <v/>
      </c>
      <c r="C1336" t="n">
        <v>166151</v>
      </c>
      <c r="D1336" t="inlineStr">
        <is>
          <t>2024-03-18 16:53:35</t>
        </is>
      </c>
      <c r="E1336" t="inlineStr">
        <is>
          <t>2024-03-18 16:53:35</t>
        </is>
      </c>
      <c r="F1336" t="inlineStr">
        <is>
          <t>666</t>
        </is>
      </c>
    </row>
    <row r="1337">
      <c r="A1337" t="inlineStr">
        <is>
          <t>MURAYARI MURAYARI GILSER T0001459.pdf</t>
        </is>
      </c>
      <c r="B1337">
        <f>HYPERLINK("C:\Users\lmonroy\Tema\PLANILLA\BoletasPDF16-31\MURAYARI MURAYARI GILSER T0001459.pdf", "Link")</f>
        <v/>
      </c>
      <c r="C1337" t="n">
        <v>166140</v>
      </c>
      <c r="D1337" t="inlineStr">
        <is>
          <t>2024-03-18 16:52:38</t>
        </is>
      </c>
      <c r="E1337" t="inlineStr">
        <is>
          <t>2024-03-18 16:52:38</t>
        </is>
      </c>
      <c r="F1337" t="inlineStr">
        <is>
          <t>666</t>
        </is>
      </c>
    </row>
    <row r="1338">
      <c r="A1338" t="inlineStr">
        <is>
          <t>MURAYARI RODRIGUEZ RUSBEL RUDY T0001192.pdf</t>
        </is>
      </c>
      <c r="B1338">
        <f>HYPERLINK("C:\Users\lmonroy\Tema\PLANILLA\BoletasPDF16-31\MURAYARI RODRIGUEZ RUSBEL RUDY T0001192.pdf", "Link")</f>
        <v/>
      </c>
      <c r="C1338" t="n">
        <v>166137</v>
      </c>
      <c r="D1338" t="inlineStr">
        <is>
          <t>2024-03-18 16:51:36</t>
        </is>
      </c>
      <c r="E1338" t="inlineStr">
        <is>
          <t>2024-03-18 16:51:36</t>
        </is>
      </c>
      <c r="F1338" t="inlineStr">
        <is>
          <t>666</t>
        </is>
      </c>
    </row>
    <row r="1339">
      <c r="A1339" t="inlineStr">
        <is>
          <t>MURAYARI RODRIGUEZ VICTOR HUGO T0001193.pdf</t>
        </is>
      </c>
      <c r="B1339">
        <f>HYPERLINK("C:\Users\lmonroy\Tema\PLANILLA\BoletasPDF16-31\MURAYARI RODRIGUEZ VICTOR HUGO T0001193.pdf", "Link")</f>
        <v/>
      </c>
      <c r="C1339" t="n">
        <v>166337</v>
      </c>
      <c r="D1339" t="inlineStr">
        <is>
          <t>2024-03-18 16:53:02</t>
        </is>
      </c>
      <c r="E1339" t="inlineStr">
        <is>
          <t>2024-03-18 16:53:02</t>
        </is>
      </c>
      <c r="F1339" t="inlineStr">
        <is>
          <t>666</t>
        </is>
      </c>
    </row>
    <row r="1340">
      <c r="A1340" t="inlineStr">
        <is>
          <t>MURAYARI SORIA ELIAS RAFAEL  T0001460.pdf</t>
        </is>
      </c>
      <c r="B1340">
        <f>HYPERLINK("C:\Users\lmonroy\Tema\PLANILLA\BoletasPDF16-31\MURAYARI SORIA ELIAS RAFAEL  T0001460.pdf", "Link")</f>
        <v/>
      </c>
      <c r="C1340" t="n">
        <v>166332</v>
      </c>
      <c r="D1340" t="inlineStr">
        <is>
          <t>2024-03-18 16:52:46</t>
        </is>
      </c>
      <c r="E1340" t="inlineStr">
        <is>
          <t>2024-03-18 16:52:46</t>
        </is>
      </c>
      <c r="F1340" t="inlineStr">
        <is>
          <t>666</t>
        </is>
      </c>
    </row>
    <row r="1341">
      <c r="A1341" t="inlineStr">
        <is>
          <t>MUÑOZ PIZANGO DAVID ANTERO T0001188.pdf</t>
        </is>
      </c>
      <c r="B1341">
        <f>HYPERLINK("C:\Users\lmonroy\Tema\PLANILLA\BoletasPDF16-31\MUÑOZ PIZANGO DAVID ANTERO T0001188.pdf", "Link")</f>
        <v/>
      </c>
      <c r="C1341" t="n">
        <v>166350</v>
      </c>
      <c r="D1341" t="inlineStr">
        <is>
          <t>2024-03-18 16:52:56</t>
        </is>
      </c>
      <c r="E1341" t="inlineStr">
        <is>
          <t>2024-03-18 16:52:56</t>
        </is>
      </c>
      <c r="F1341" t="inlineStr">
        <is>
          <t>666</t>
        </is>
      </c>
    </row>
    <row r="1342">
      <c r="A1342" t="inlineStr">
        <is>
          <t>NORIEGA VELA ROBERT  T0001201.pdf</t>
        </is>
      </c>
      <c r="B1342">
        <f>HYPERLINK("C:\Users\lmonroy\Tema\PLANILLA\BoletasPDF16-31\NORIEGA VELA ROBERT  T0001201.pdf", "Link")</f>
        <v/>
      </c>
      <c r="C1342" t="n">
        <v>166142</v>
      </c>
      <c r="D1342" t="inlineStr">
        <is>
          <t>2024-03-18 16:52:02</t>
        </is>
      </c>
      <c r="E1342" t="inlineStr">
        <is>
          <t>2024-03-18 16:52:02</t>
        </is>
      </c>
      <c r="F1342" t="inlineStr">
        <is>
          <t>666</t>
        </is>
      </c>
    </row>
    <row r="1343">
      <c r="A1343" t="inlineStr">
        <is>
          <t>NORIEGA VELA WILSON  T0001202.pdf</t>
        </is>
      </c>
      <c r="B1343">
        <f>HYPERLINK("C:\Users\lmonroy\Tema\PLANILLA\BoletasPDF16-31\NORIEGA VELA WILSON  T0001202.pdf", "Link")</f>
        <v/>
      </c>
      <c r="C1343" t="n">
        <v>166149</v>
      </c>
      <c r="D1343" t="inlineStr">
        <is>
          <t>2024-03-18 16:51:15</t>
        </is>
      </c>
      <c r="E1343" t="inlineStr">
        <is>
          <t>2024-03-18 16:51:15</t>
        </is>
      </c>
      <c r="F1343" t="inlineStr">
        <is>
          <t>666</t>
        </is>
      </c>
    </row>
    <row r="1344">
      <c r="A1344" t="inlineStr">
        <is>
          <t>NURIBE INUMA JUAN  T0001205.pdf</t>
        </is>
      </c>
      <c r="B1344">
        <f>HYPERLINK("C:\Users\lmonroy\Tema\PLANILLA\BoletasPDF16-31\NURIBE INUMA JUAN  T0001205.pdf", "Link")</f>
        <v/>
      </c>
      <c r="C1344" t="n">
        <v>166143</v>
      </c>
      <c r="D1344" t="inlineStr">
        <is>
          <t>2024-03-18 16:52:42</t>
        </is>
      </c>
      <c r="E1344" t="inlineStr">
        <is>
          <t>2024-03-18 16:52:42</t>
        </is>
      </c>
      <c r="F1344" t="inlineStr">
        <is>
          <t>666</t>
        </is>
      </c>
    </row>
    <row r="1345">
      <c r="A1345" t="inlineStr">
        <is>
          <t>NURIBE JOGUISTA IGNACIO  T0001206.pdf</t>
        </is>
      </c>
      <c r="B1345">
        <f>HYPERLINK("C:\Users\lmonroy\Tema\PLANILLA\BoletasPDF16-31\NURIBE JOGUISTA IGNACIO  T0001206.pdf", "Link")</f>
        <v/>
      </c>
      <c r="C1345" t="n">
        <v>166157</v>
      </c>
      <c r="D1345" t="inlineStr">
        <is>
          <t>2024-03-18 16:51:49</t>
        </is>
      </c>
      <c r="E1345" t="inlineStr">
        <is>
          <t>2024-03-18 16:51:49</t>
        </is>
      </c>
      <c r="F1345" t="inlineStr">
        <is>
          <t>666</t>
        </is>
      </c>
    </row>
    <row r="1346">
      <c r="A1346" t="inlineStr">
        <is>
          <t>NURIBE LOPEZ ALEX  T0001207.pdf</t>
        </is>
      </c>
      <c r="B1346">
        <f>HYPERLINK("C:\Users\lmonroy\Tema\PLANILLA\BoletasPDF16-31\NURIBE LOPEZ ALEX  T0001207.pdf", "Link")</f>
        <v/>
      </c>
      <c r="C1346" t="n">
        <v>166140</v>
      </c>
      <c r="D1346" t="inlineStr">
        <is>
          <t>2024-03-18 16:52:37</t>
        </is>
      </c>
      <c r="E1346" t="inlineStr">
        <is>
          <t>2024-03-18 16:52:37</t>
        </is>
      </c>
      <c r="F1346" t="inlineStr">
        <is>
          <t>666</t>
        </is>
      </c>
    </row>
    <row r="1347">
      <c r="A1347" t="inlineStr">
        <is>
          <t>NURIBE MACUSI ROISER  T0001209.pdf</t>
        </is>
      </c>
      <c r="B1347">
        <f>HYPERLINK("C:\Users\lmonroy\Tema\PLANILLA\BoletasPDF16-31\NURIBE MACUSI ROISER  T0001209.pdf", "Link")</f>
        <v/>
      </c>
      <c r="C1347" t="n">
        <v>166135</v>
      </c>
      <c r="D1347" t="inlineStr">
        <is>
          <t>2024-03-18 16:52:00</t>
        </is>
      </c>
      <c r="E1347" t="inlineStr">
        <is>
          <t>2024-03-18 16:52:00</t>
        </is>
      </c>
      <c r="F1347" t="inlineStr">
        <is>
          <t>666</t>
        </is>
      </c>
    </row>
    <row r="1348">
      <c r="A1348" t="inlineStr">
        <is>
          <t>NURIBE NORIEGA JORGE  T0001210.pdf</t>
        </is>
      </c>
      <c r="B1348">
        <f>HYPERLINK("C:\Users\lmonroy\Tema\PLANILLA\BoletasPDF16-31\NURIBE NORIEGA JORGE  T0001210.pdf", "Link")</f>
        <v/>
      </c>
      <c r="C1348" t="n">
        <v>166146</v>
      </c>
      <c r="D1348" t="inlineStr">
        <is>
          <t>2024-03-18 16:50:55</t>
        </is>
      </c>
      <c r="E1348" t="inlineStr">
        <is>
          <t>2024-03-18 16:50:55</t>
        </is>
      </c>
      <c r="F1348" t="inlineStr">
        <is>
          <t>666</t>
        </is>
      </c>
    </row>
    <row r="1349">
      <c r="A1349" t="inlineStr">
        <is>
          <t>NURIBE TARICUARIMA LORENZO  T0001211.pdf</t>
        </is>
      </c>
      <c r="B1349">
        <f>HYPERLINK("C:\Users\lmonroy\Tema\PLANILLA\BoletasPDF16-31\NURIBE TARICUARIMA LORENZO  T0001211.pdf", "Link")</f>
        <v/>
      </c>
      <c r="C1349" t="n">
        <v>166146</v>
      </c>
      <c r="D1349" t="inlineStr">
        <is>
          <t>2024-03-18 16:51:48</t>
        </is>
      </c>
      <c r="E1349" t="inlineStr">
        <is>
          <t>2024-03-18 16:51:48</t>
        </is>
      </c>
      <c r="F1349" t="inlineStr">
        <is>
          <t>666</t>
        </is>
      </c>
    </row>
    <row r="1350">
      <c r="A1350" t="inlineStr">
        <is>
          <t>OCHOA MONTES SIGFRIDO  T0001212.pdf</t>
        </is>
      </c>
      <c r="B1350">
        <f>HYPERLINK("C:\Users\lmonroy\Tema\PLANILLA\BoletasPDF16-31\OCHOA MONTES SIGFRIDO  T0001212.pdf", "Link")</f>
        <v/>
      </c>
      <c r="C1350" t="n">
        <v>166344</v>
      </c>
      <c r="D1350" t="inlineStr">
        <is>
          <t>2024-03-18 16:53:50</t>
        </is>
      </c>
      <c r="E1350" t="inlineStr">
        <is>
          <t>2024-03-18 16:53:50</t>
        </is>
      </c>
      <c r="F1350" t="inlineStr">
        <is>
          <t>666</t>
        </is>
      </c>
    </row>
    <row r="1351">
      <c r="A1351" t="inlineStr">
        <is>
          <t>OCUMBE OJANAMA ANTHONI T0001461.pdf</t>
        </is>
      </c>
      <c r="B1351">
        <f>HYPERLINK("C:\Users\lmonroy\Tema\PLANILLA\BoletasPDF16-31\OCUMBE OJANAMA ANTHONI T0001461.pdf", "Link")</f>
        <v/>
      </c>
      <c r="C1351" t="n">
        <v>166324</v>
      </c>
      <c r="D1351" t="inlineStr">
        <is>
          <t>2024-03-18 16:51:03</t>
        </is>
      </c>
      <c r="E1351" t="inlineStr">
        <is>
          <t>2024-03-18 16:51:03</t>
        </is>
      </c>
      <c r="F1351" t="inlineStr">
        <is>
          <t>666</t>
        </is>
      </c>
    </row>
    <row r="1352">
      <c r="A1352" t="inlineStr">
        <is>
          <t>OJAICURO RUIZ MARLON  T0001215.pdf</t>
        </is>
      </c>
      <c r="B1352">
        <f>HYPERLINK("C:\Users\lmonroy\Tema\PLANILLA\BoletasPDF16-31\OJAICURO RUIZ MARLON  T0001215.pdf", "Link")</f>
        <v/>
      </c>
      <c r="C1352" t="n">
        <v>166144</v>
      </c>
      <c r="D1352" t="inlineStr">
        <is>
          <t>2024-03-18 16:53:28</t>
        </is>
      </c>
      <c r="E1352" t="inlineStr">
        <is>
          <t>2024-03-18 16:53:28</t>
        </is>
      </c>
      <c r="F1352" t="inlineStr">
        <is>
          <t>666</t>
        </is>
      </c>
    </row>
    <row r="1353">
      <c r="A1353" t="inlineStr">
        <is>
          <t>OJAICURO RUIZ WERLIN  T0001216.pdf</t>
        </is>
      </c>
      <c r="B1353">
        <f>HYPERLINK("C:\Users\lmonroy\Tema\PLANILLA\BoletasPDF16-31\OJAICURO RUIZ WERLIN  T0001216.pdf", "Link")</f>
        <v/>
      </c>
      <c r="C1353" t="n">
        <v>166148</v>
      </c>
      <c r="D1353" t="inlineStr">
        <is>
          <t>2024-03-18 16:51:27</t>
        </is>
      </c>
      <c r="E1353" t="inlineStr">
        <is>
          <t>2024-03-18 16:51:27</t>
        </is>
      </c>
      <c r="F1353" t="inlineStr">
        <is>
          <t>666</t>
        </is>
      </c>
    </row>
    <row r="1354">
      <c r="A1354" t="inlineStr">
        <is>
          <t>OJAICURO SUGETA CESAR  T0001217.pdf</t>
        </is>
      </c>
      <c r="B1354">
        <f>HYPERLINK("C:\Users\lmonroy\Tema\PLANILLA\BoletasPDF16-31\OJAICURO SUGETA CESAR  T0001217.pdf", "Link")</f>
        <v/>
      </c>
      <c r="C1354" t="n">
        <v>166148</v>
      </c>
      <c r="D1354" t="inlineStr">
        <is>
          <t>2024-03-18 16:50:25</t>
        </is>
      </c>
      <c r="E1354" t="inlineStr">
        <is>
          <t>2024-03-18 16:50:25</t>
        </is>
      </c>
      <c r="F1354" t="inlineStr">
        <is>
          <t>666</t>
        </is>
      </c>
    </row>
    <row r="1355">
      <c r="A1355" t="inlineStr">
        <is>
          <t>OJAICURO SUJETO ROMAN  T0001218.pdf</t>
        </is>
      </c>
      <c r="B1355">
        <f>HYPERLINK("C:\Users\lmonroy\Tema\PLANILLA\BoletasPDF16-31\OJAICURO SUJETO ROMAN  T0001218.pdf", "Link")</f>
        <v/>
      </c>
      <c r="C1355" t="n">
        <v>166143</v>
      </c>
      <c r="D1355" t="inlineStr">
        <is>
          <t>2024-03-18 16:50:29</t>
        </is>
      </c>
      <c r="E1355" t="inlineStr">
        <is>
          <t>2024-03-18 16:50:29</t>
        </is>
      </c>
      <c r="F1355" t="inlineStr">
        <is>
          <t>666</t>
        </is>
      </c>
    </row>
    <row r="1356">
      <c r="A1356" t="inlineStr">
        <is>
          <t>OJAICURO VELA ANTONIO  T0001219.pdf</t>
        </is>
      </c>
      <c r="B1356">
        <f>HYPERLINK("C:\Users\lmonroy\Tema\PLANILLA\BoletasPDF16-31\OJAICURO VELA ANTONIO  T0001219.pdf", "Link")</f>
        <v/>
      </c>
      <c r="C1356" t="n">
        <v>166147</v>
      </c>
      <c r="D1356" t="inlineStr">
        <is>
          <t>2024-03-18 16:51:59</t>
        </is>
      </c>
      <c r="E1356" t="inlineStr">
        <is>
          <t>2024-03-18 16:51:59</t>
        </is>
      </c>
      <c r="F1356" t="inlineStr">
        <is>
          <t>666</t>
        </is>
      </c>
    </row>
    <row r="1357">
      <c r="A1357" t="inlineStr">
        <is>
          <t>OJAICURO VELA WILDER  T0001220.pdf</t>
        </is>
      </c>
      <c r="B1357">
        <f>HYPERLINK("C:\Users\lmonroy\Tema\PLANILLA\BoletasPDF16-31\OJAICURO VELA WILDER  T0001220.pdf", "Link")</f>
        <v/>
      </c>
      <c r="C1357" t="n">
        <v>166135</v>
      </c>
      <c r="D1357" t="inlineStr">
        <is>
          <t>2024-03-18 16:51:58</t>
        </is>
      </c>
      <c r="E1357" t="inlineStr">
        <is>
          <t>2024-03-18 16:51:58</t>
        </is>
      </c>
      <c r="F1357" t="inlineStr">
        <is>
          <t>666</t>
        </is>
      </c>
    </row>
    <row r="1358">
      <c r="A1358" t="inlineStr">
        <is>
          <t>OJEICATE ARAHUATA SALOMON T0001385.pdf</t>
        </is>
      </c>
      <c r="B1358">
        <f>HYPERLINK("C:\Users\lmonroy\Tema\PLANILLA\BoletasPDF16-31\OJEICATE ARAHUATA SALOMON T0001385.pdf", "Link")</f>
        <v/>
      </c>
      <c r="C1358" t="n">
        <v>166311</v>
      </c>
      <c r="D1358" t="inlineStr">
        <is>
          <t>2024-03-18 16:52:48</t>
        </is>
      </c>
      <c r="E1358" t="inlineStr">
        <is>
          <t>2024-03-18 16:52:48</t>
        </is>
      </c>
      <c r="F1358" t="inlineStr">
        <is>
          <t>666</t>
        </is>
      </c>
    </row>
    <row r="1359">
      <c r="A1359" t="inlineStr">
        <is>
          <t>PACAYA MANAJO JHORVEL KIKE T0001225.pdf</t>
        </is>
      </c>
      <c r="B1359">
        <f>HYPERLINK("C:\Users\lmonroy\Tema\PLANILLA\BoletasPDF16-31\PACAYA MANAJO JHORVEL KIKE T0001225.pdf", "Link")</f>
        <v/>
      </c>
      <c r="C1359" t="n">
        <v>166138</v>
      </c>
      <c r="D1359" t="inlineStr">
        <is>
          <t>2024-03-18 16:53:08</t>
        </is>
      </c>
      <c r="E1359" t="inlineStr">
        <is>
          <t>2024-03-18 16:53:08</t>
        </is>
      </c>
      <c r="F1359" t="inlineStr">
        <is>
          <t>666</t>
        </is>
      </c>
    </row>
    <row r="1360">
      <c r="A1360" t="inlineStr">
        <is>
          <t>PACAYA MANAJO LLERSON  T0001226.pdf</t>
        </is>
      </c>
      <c r="B1360">
        <f>HYPERLINK("C:\Users\lmonroy\Tema\PLANILLA\BoletasPDF16-31\PACAYA MANAJO LLERSON  T0001226.pdf", "Link")</f>
        <v/>
      </c>
      <c r="C1360" t="n">
        <v>166159</v>
      </c>
      <c r="D1360" t="inlineStr">
        <is>
          <t>2024-03-18 16:50:50</t>
        </is>
      </c>
      <c r="E1360" t="inlineStr">
        <is>
          <t>2024-03-18 16:50:50</t>
        </is>
      </c>
      <c r="F1360" t="inlineStr">
        <is>
          <t>666</t>
        </is>
      </c>
    </row>
    <row r="1361">
      <c r="A1361" t="inlineStr">
        <is>
          <t>PERAZA SANDI SEGUNDO NIVER T0001230.pdf</t>
        </is>
      </c>
      <c r="B1361">
        <f>HYPERLINK("C:\Users\lmonroy\Tema\PLANILLA\BoletasPDF16-31\PERAZA SANDI SEGUNDO NIVER T0001230.pdf", "Link")</f>
        <v/>
      </c>
      <c r="C1361" t="n">
        <v>166344</v>
      </c>
      <c r="D1361" t="inlineStr">
        <is>
          <t>2024-03-18 16:51:02</t>
        </is>
      </c>
      <c r="E1361" t="inlineStr">
        <is>
          <t>2024-03-18 16:51:02</t>
        </is>
      </c>
      <c r="F1361" t="inlineStr">
        <is>
          <t>666</t>
        </is>
      </c>
    </row>
    <row r="1362">
      <c r="A1362" t="inlineStr">
        <is>
          <t>PEREA FLORES ANDERSON  T0001231.pdf</t>
        </is>
      </c>
      <c r="B1362">
        <f>HYPERLINK("C:\Users\lmonroy\Tema\PLANILLA\BoletasPDF16-31\PEREA FLORES ANDERSON  T0001231.pdf", "Link")</f>
        <v/>
      </c>
      <c r="C1362" t="n">
        <v>166144</v>
      </c>
      <c r="D1362" t="inlineStr">
        <is>
          <t>2024-03-18 16:52:13</t>
        </is>
      </c>
      <c r="E1362" t="inlineStr">
        <is>
          <t>2024-03-18 16:52:13</t>
        </is>
      </c>
      <c r="F1362" t="inlineStr">
        <is>
          <t>666</t>
        </is>
      </c>
    </row>
    <row r="1363">
      <c r="A1363" t="inlineStr">
        <is>
          <t>PEREA ICOMENA EDO  T0001232.pdf</t>
        </is>
      </c>
      <c r="B1363">
        <f>HYPERLINK("C:\Users\lmonroy\Tema\PLANILLA\BoletasPDF16-31\PEREA ICOMENA EDO  T0001232.pdf", "Link")</f>
        <v/>
      </c>
      <c r="C1363" t="n">
        <v>166158</v>
      </c>
      <c r="D1363" t="inlineStr">
        <is>
          <t>2024-03-18 16:50:33</t>
        </is>
      </c>
      <c r="E1363" t="inlineStr">
        <is>
          <t>2024-03-18 16:50:33</t>
        </is>
      </c>
      <c r="F1363" t="inlineStr">
        <is>
          <t>666</t>
        </is>
      </c>
    </row>
    <row r="1364">
      <c r="A1364" t="inlineStr">
        <is>
          <t>PEREA ICOMENA HOBLITAS  T0001233.pdf</t>
        </is>
      </c>
      <c r="B1364">
        <f>HYPERLINK("C:\Users\lmonroy\Tema\PLANILLA\BoletasPDF16-31\PEREA ICOMENA HOBLITAS  T0001233.pdf", "Link")</f>
        <v/>
      </c>
      <c r="C1364" t="n">
        <v>166149</v>
      </c>
      <c r="D1364" t="inlineStr">
        <is>
          <t>2024-03-18 16:50:47</t>
        </is>
      </c>
      <c r="E1364" t="inlineStr">
        <is>
          <t>2024-03-18 16:50:47</t>
        </is>
      </c>
      <c r="F1364" t="inlineStr">
        <is>
          <t>666</t>
        </is>
      </c>
    </row>
    <row r="1365">
      <c r="A1365" t="inlineStr">
        <is>
          <t>PEREA ICOMENA TIM  T0001235.pdf</t>
        </is>
      </c>
      <c r="B1365">
        <f>HYPERLINK("C:\Users\lmonroy\Tema\PLANILLA\BoletasPDF16-31\PEREA ICOMENA TIM  T0001235.pdf", "Link")</f>
        <v/>
      </c>
      <c r="C1365" t="n">
        <v>166149</v>
      </c>
      <c r="D1365" t="inlineStr">
        <is>
          <t>2024-03-18 16:50:48</t>
        </is>
      </c>
      <c r="E1365" t="inlineStr">
        <is>
          <t>2024-03-18 16:50:48</t>
        </is>
      </c>
      <c r="F1365" t="inlineStr">
        <is>
          <t>666</t>
        </is>
      </c>
    </row>
    <row r="1366">
      <c r="A1366" t="inlineStr">
        <is>
          <t>PEREA PEREYRA DANI DEYVIS T0001237.pdf</t>
        </is>
      </c>
      <c r="B1366">
        <f>HYPERLINK("C:\Users\lmonroy\Tema\PLANILLA\BoletasPDF16-31\PEREA PEREYRA DANI DEYVIS T0001237.pdf", "Link")</f>
        <v/>
      </c>
      <c r="C1366" t="n">
        <v>166319</v>
      </c>
      <c r="D1366" t="inlineStr">
        <is>
          <t>2024-03-18 16:52:08</t>
        </is>
      </c>
      <c r="E1366" t="inlineStr">
        <is>
          <t>2024-03-18 16:52:08</t>
        </is>
      </c>
      <c r="F1366" t="inlineStr">
        <is>
          <t>666</t>
        </is>
      </c>
    </row>
    <row r="1367">
      <c r="A1367" t="inlineStr">
        <is>
          <t>PEREIRA SORIA JAIRO  T0001239.pdf</t>
        </is>
      </c>
      <c r="B1367">
        <f>HYPERLINK("C:\Users\lmonroy\Tema\PLANILLA\BoletasPDF16-31\PEREIRA SORIA JAIRO  T0001239.pdf", "Link")</f>
        <v/>
      </c>
      <c r="C1367" t="n">
        <v>166323</v>
      </c>
      <c r="D1367" t="inlineStr">
        <is>
          <t>2024-03-18 16:50:42</t>
        </is>
      </c>
      <c r="E1367" t="inlineStr">
        <is>
          <t>2024-03-18 16:50:42</t>
        </is>
      </c>
      <c r="F1367" t="inlineStr">
        <is>
          <t>666</t>
        </is>
      </c>
    </row>
    <row r="1368">
      <c r="A1368" t="inlineStr">
        <is>
          <t>PEREIRA VARGAS CARLOS ORLANDO T0001240.pdf</t>
        </is>
      </c>
      <c r="B1368">
        <f>HYPERLINK("C:\Users\lmonroy\Tema\PLANILLA\BoletasPDF16-31\PEREIRA VARGAS CARLOS ORLANDO T0001240.pdf", "Link")</f>
        <v/>
      </c>
      <c r="C1368" t="n">
        <v>166129</v>
      </c>
      <c r="D1368" t="inlineStr">
        <is>
          <t>2024-03-18 16:52:10</t>
        </is>
      </c>
      <c r="E1368" t="inlineStr">
        <is>
          <t>2024-03-18 16:52:10</t>
        </is>
      </c>
      <c r="F1368" t="inlineStr">
        <is>
          <t>666</t>
        </is>
      </c>
    </row>
    <row r="1369">
      <c r="A1369" t="inlineStr">
        <is>
          <t>PEREZ FALCON CESAR MANUEL T0001241.pdf</t>
        </is>
      </c>
      <c r="B1369">
        <f>HYPERLINK("C:\Users\lmonroy\Tema\PLANILLA\BoletasPDF16-31\PEREZ FALCON CESAR MANUEL T0001241.pdf", "Link")</f>
        <v/>
      </c>
      <c r="C1369" t="n">
        <v>166349</v>
      </c>
      <c r="D1369" t="inlineStr">
        <is>
          <t>2024-03-18 16:52:23</t>
        </is>
      </c>
      <c r="E1369" t="inlineStr">
        <is>
          <t>2024-03-18 16:52:23</t>
        </is>
      </c>
      <c r="F1369" t="inlineStr">
        <is>
          <t>666</t>
        </is>
      </c>
    </row>
    <row r="1370">
      <c r="A1370" t="inlineStr">
        <is>
          <t>PEREZ FALCON DAVID  T0001242.pdf</t>
        </is>
      </c>
      <c r="B1370">
        <f>HYPERLINK("C:\Users\lmonroy\Tema\PLANILLA\BoletasPDF16-31\PEREZ FALCON DAVID  T0001242.pdf", "Link")</f>
        <v/>
      </c>
      <c r="C1370" t="n">
        <v>166322</v>
      </c>
      <c r="D1370" t="inlineStr">
        <is>
          <t>2024-03-18 16:52:06</t>
        </is>
      </c>
      <c r="E1370" t="inlineStr">
        <is>
          <t>2024-03-18 16:52:06</t>
        </is>
      </c>
      <c r="F1370" t="inlineStr">
        <is>
          <t>666</t>
        </is>
      </c>
    </row>
    <row r="1371">
      <c r="A1371" t="inlineStr">
        <is>
          <t>PIZANGO PACAYA KELVIN T0001462.pdf</t>
        </is>
      </c>
      <c r="B1371">
        <f>HYPERLINK("C:\Users\lmonroy\Tema\PLANILLA\BoletasPDF16-31\PIZANGO PACAYA KELVIN T0001462.pdf", "Link")</f>
        <v/>
      </c>
      <c r="C1371" t="n">
        <v>166148</v>
      </c>
      <c r="D1371" t="inlineStr">
        <is>
          <t>2024-03-18 16:51:25</t>
        </is>
      </c>
      <c r="E1371" t="inlineStr">
        <is>
          <t>2024-03-18 16:51:25</t>
        </is>
      </c>
      <c r="F1371" t="inlineStr">
        <is>
          <t>666</t>
        </is>
      </c>
    </row>
    <row r="1372">
      <c r="A1372" t="inlineStr">
        <is>
          <t>POETIZA CARITIMARI JAKER  T0001368.pdf</t>
        </is>
      </c>
      <c r="B1372">
        <f>HYPERLINK("C:\Users\lmonroy\Tema\PLANILLA\BoletasPDF16-31\POETIZA CARITIMARI JAKER  T0001368.pdf", "Link")</f>
        <v/>
      </c>
      <c r="C1372" t="n">
        <v>166345</v>
      </c>
      <c r="D1372" t="inlineStr">
        <is>
          <t>2024-03-18 16:52:24</t>
        </is>
      </c>
      <c r="E1372" t="inlineStr">
        <is>
          <t>2024-03-18 16:52:23</t>
        </is>
      </c>
      <c r="F1372" t="inlineStr">
        <is>
          <t>666</t>
        </is>
      </c>
    </row>
    <row r="1373">
      <c r="A1373" t="inlineStr">
        <is>
          <t>POETIZA PANAIFO FREDY JONNY T0001246.pdf</t>
        </is>
      </c>
      <c r="B1373">
        <f>HYPERLINK("C:\Users\lmonroy\Tema\PLANILLA\BoletasPDF16-31\POETIZA PANAIFO FREDY JONNY T0001246.pdf", "Link")</f>
        <v/>
      </c>
      <c r="C1373" t="n">
        <v>166163</v>
      </c>
      <c r="D1373" t="inlineStr">
        <is>
          <t>2024-03-18 16:50:57</t>
        </is>
      </c>
      <c r="E1373" t="inlineStr">
        <is>
          <t>2024-03-18 16:50:57</t>
        </is>
      </c>
      <c r="F1373" t="inlineStr">
        <is>
          <t>666</t>
        </is>
      </c>
    </row>
    <row r="1374">
      <c r="A1374" t="inlineStr">
        <is>
          <t>PROAÑO MANIZARI DESIDERIO  T0001247.pdf</t>
        </is>
      </c>
      <c r="B1374">
        <f>HYPERLINK("C:\Users\lmonroy\Tema\PLANILLA\BoletasPDF16-31\PROAÑO MANIZARI DESIDERIO  T0001247.pdf", "Link")</f>
        <v/>
      </c>
      <c r="C1374" t="n">
        <v>166333</v>
      </c>
      <c r="D1374" t="inlineStr">
        <is>
          <t>2024-03-18 16:50:35</t>
        </is>
      </c>
      <c r="E1374" t="inlineStr">
        <is>
          <t>2024-03-18 16:50:35</t>
        </is>
      </c>
      <c r="F1374" t="inlineStr">
        <is>
          <t>666</t>
        </is>
      </c>
    </row>
    <row r="1375">
      <c r="A1375" t="inlineStr">
        <is>
          <t>QUISTO INUMA JACINTO  T0001249.pdf</t>
        </is>
      </c>
      <c r="B1375">
        <f>HYPERLINK("C:\Users\lmonroy\Tema\PLANILLA\BoletasPDF16-31\QUISTO INUMA JACINTO  T0001249.pdf", "Link")</f>
        <v/>
      </c>
      <c r="C1375" t="n">
        <v>166150</v>
      </c>
      <c r="D1375" t="inlineStr">
        <is>
          <t>2024-03-18 16:51:07</t>
        </is>
      </c>
      <c r="E1375" t="inlineStr">
        <is>
          <t>2024-03-18 16:51:07</t>
        </is>
      </c>
      <c r="F1375" t="inlineStr">
        <is>
          <t>666</t>
        </is>
      </c>
    </row>
    <row r="1376">
      <c r="A1376" t="inlineStr">
        <is>
          <t>QUISTO INUMA MANUEL  T0001250.pdf</t>
        </is>
      </c>
      <c r="B1376">
        <f>HYPERLINK("C:\Users\lmonroy\Tema\PLANILLA\BoletasPDF16-31\QUISTO INUMA MANUEL  T0001250.pdf", "Link")</f>
        <v/>
      </c>
      <c r="C1376" t="n">
        <v>166317</v>
      </c>
      <c r="D1376" t="inlineStr">
        <is>
          <t>2024-03-18 16:51:08</t>
        </is>
      </c>
      <c r="E1376" t="inlineStr">
        <is>
          <t>2024-03-18 16:51:08</t>
        </is>
      </c>
      <c r="F1376" t="inlineStr">
        <is>
          <t>666</t>
        </is>
      </c>
    </row>
    <row r="1377">
      <c r="A1377" t="inlineStr">
        <is>
          <t>QUISTO MACUSI FERNANDO  T0001252.pdf</t>
        </is>
      </c>
      <c r="B1377">
        <f>HYPERLINK("C:\Users\lmonroy\Tema\PLANILLA\BoletasPDF16-31\QUISTO MACUSI FERNANDO  T0001252.pdf", "Link")</f>
        <v/>
      </c>
      <c r="C1377" t="n">
        <v>166318</v>
      </c>
      <c r="D1377" t="inlineStr">
        <is>
          <t>2024-03-18 16:51:32</t>
        </is>
      </c>
      <c r="E1377" t="inlineStr">
        <is>
          <t>2024-03-18 16:51:32</t>
        </is>
      </c>
      <c r="F1377" t="inlineStr">
        <is>
          <t>666</t>
        </is>
      </c>
    </row>
    <row r="1378">
      <c r="A1378" t="inlineStr">
        <is>
          <t>QUISTO MACUSI SEGUNDO  T0001253.pdf</t>
        </is>
      </c>
      <c r="B1378">
        <f>HYPERLINK("C:\Users\lmonroy\Tema\PLANILLA\BoletasPDF16-31\QUISTO MACUSI SEGUNDO  T0001253.pdf", "Link")</f>
        <v/>
      </c>
      <c r="C1378" t="n">
        <v>166147</v>
      </c>
      <c r="D1378" t="inlineStr">
        <is>
          <t>2024-03-18 16:52:01</t>
        </is>
      </c>
      <c r="E1378" t="inlineStr">
        <is>
          <t>2024-03-18 16:52:01</t>
        </is>
      </c>
      <c r="F1378" t="inlineStr">
        <is>
          <t>666</t>
        </is>
      </c>
    </row>
    <row r="1379">
      <c r="A1379" t="inlineStr">
        <is>
          <t>RAMIREZ HIDALGO NELVIN MANUEL  T0001255.pdf</t>
        </is>
      </c>
      <c r="B1379">
        <f>HYPERLINK("C:\Users\lmonroy\Tema\PLANILLA\BoletasPDF16-31\RAMIREZ HIDALGO NELVIN MANUEL  T0001255.pdf", "Link")</f>
        <v/>
      </c>
      <c r="C1379" t="n">
        <v>166158</v>
      </c>
      <c r="D1379" t="inlineStr">
        <is>
          <t>2024-03-18 16:52:36</t>
        </is>
      </c>
      <c r="E1379" t="inlineStr">
        <is>
          <t>2024-03-18 16:52:36</t>
        </is>
      </c>
      <c r="F1379" t="inlineStr">
        <is>
          <t>666</t>
        </is>
      </c>
    </row>
    <row r="1380">
      <c r="A1380" t="inlineStr">
        <is>
          <t>RAMIREZ PANDURO MANUEL T0001463.pdf</t>
        </is>
      </c>
      <c r="B1380">
        <f>HYPERLINK("C:\Users\lmonroy\Tema\PLANILLA\BoletasPDF16-31\RAMIREZ PANDURO MANUEL T0001463.pdf", "Link")</f>
        <v/>
      </c>
      <c r="C1380" t="n">
        <v>166146</v>
      </c>
      <c r="D1380" t="inlineStr">
        <is>
          <t>2024-03-18 16:52:15</t>
        </is>
      </c>
      <c r="E1380" t="inlineStr">
        <is>
          <t>2024-03-18 16:52:15</t>
        </is>
      </c>
      <c r="F1380" t="inlineStr">
        <is>
          <t>666</t>
        </is>
      </c>
    </row>
    <row r="1381">
      <c r="A1381" t="inlineStr">
        <is>
          <t>RAMIREZ TORRES MANUEL  T0001257.pdf</t>
        </is>
      </c>
      <c r="B1381">
        <f>HYPERLINK("C:\Users\lmonroy\Tema\PLANILLA\BoletasPDF16-31\RAMIREZ TORRES MANUEL  T0001257.pdf", "Link")</f>
        <v/>
      </c>
      <c r="C1381" t="n">
        <v>166143</v>
      </c>
      <c r="D1381" t="inlineStr">
        <is>
          <t>2024-03-18 16:53:37</t>
        </is>
      </c>
      <c r="E1381" t="inlineStr">
        <is>
          <t>2024-03-18 16:53:37</t>
        </is>
      </c>
      <c r="F1381" t="inlineStr">
        <is>
          <t>666</t>
        </is>
      </c>
    </row>
    <row r="1382">
      <c r="A1382" t="inlineStr">
        <is>
          <t>RAMON INUMA JUAN  T0001258.pdf</t>
        </is>
      </c>
      <c r="B1382">
        <f>HYPERLINK("C:\Users\lmonroy\Tema\PLANILLA\BoletasPDF16-31\RAMON INUMA JUAN  T0001258.pdf", "Link")</f>
        <v/>
      </c>
      <c r="C1382" t="n">
        <v>166294</v>
      </c>
      <c r="D1382" t="inlineStr">
        <is>
          <t>2024-03-18 16:53:00</t>
        </is>
      </c>
      <c r="E1382" t="inlineStr">
        <is>
          <t>2024-03-18 16:52:59</t>
        </is>
      </c>
      <c r="F1382" t="inlineStr">
        <is>
          <t>666</t>
        </is>
      </c>
    </row>
    <row r="1383">
      <c r="A1383" t="inlineStr">
        <is>
          <t>RENGIFO GARATE JHONY T0001259.pdf</t>
        </is>
      </c>
      <c r="B1383">
        <f>HYPERLINK("C:\Users\lmonroy\Tema\PLANILLA\BoletasPDF16-31\RENGIFO GARATE JHONY T0001259.pdf", "Link")</f>
        <v/>
      </c>
      <c r="C1383" t="n">
        <v>166157</v>
      </c>
      <c r="D1383" t="inlineStr">
        <is>
          <t>2024-03-18 16:50:52</t>
        </is>
      </c>
      <c r="E1383" t="inlineStr">
        <is>
          <t>2024-03-18 16:50:52</t>
        </is>
      </c>
      <c r="F1383" t="inlineStr">
        <is>
          <t>666</t>
        </is>
      </c>
    </row>
    <row r="1384">
      <c r="A1384" t="inlineStr">
        <is>
          <t>RIOS LOMAS WESEMBER  T0001263.pdf</t>
        </is>
      </c>
      <c r="B1384">
        <f>HYPERLINK("C:\Users\lmonroy\Tema\PLANILLA\BoletasPDF16-31\RIOS LOMAS WESEMBER  T0001263.pdf", "Link")</f>
        <v/>
      </c>
      <c r="C1384" t="n">
        <v>166121</v>
      </c>
      <c r="D1384" t="inlineStr">
        <is>
          <t>2024-03-18 16:52:45</t>
        </is>
      </c>
      <c r="E1384" t="inlineStr">
        <is>
          <t>2024-03-18 16:52:45</t>
        </is>
      </c>
      <c r="F1384" t="inlineStr">
        <is>
          <t>666</t>
        </is>
      </c>
    </row>
    <row r="1385">
      <c r="A1385" t="inlineStr">
        <is>
          <t>RIOS MORI NIXON JANOBER T0001264.pdf</t>
        </is>
      </c>
      <c r="B1385">
        <f>HYPERLINK("C:\Users\lmonroy\Tema\PLANILLA\BoletasPDF16-31\RIOS MORI NIXON JANOBER T0001264.pdf", "Link")</f>
        <v/>
      </c>
      <c r="C1385" t="n">
        <v>166185</v>
      </c>
      <c r="D1385" t="inlineStr">
        <is>
          <t>2024-03-18 16:50:17</t>
        </is>
      </c>
      <c r="E1385" t="inlineStr">
        <is>
          <t>2024-03-18 16:42:15</t>
        </is>
      </c>
      <c r="F1385" t="inlineStr">
        <is>
          <t>666</t>
        </is>
      </c>
    </row>
    <row r="1386">
      <c r="A1386" t="inlineStr">
        <is>
          <t>RIOS MURAYARI MELVIN T0001266.pdf</t>
        </is>
      </c>
      <c r="B1386">
        <f>HYPERLINK("C:\Users\lmonroy\Tema\PLANILLA\BoletasPDF16-31\RIOS MURAYARI MELVIN T0001266.pdf", "Link")</f>
        <v/>
      </c>
      <c r="C1386" t="n">
        <v>166136</v>
      </c>
      <c r="D1386" t="inlineStr">
        <is>
          <t>2024-03-18 16:53:47</t>
        </is>
      </c>
      <c r="E1386" t="inlineStr">
        <is>
          <t>2024-03-18 16:53:47</t>
        </is>
      </c>
      <c r="F1386" t="inlineStr">
        <is>
          <t>666</t>
        </is>
      </c>
    </row>
    <row r="1387">
      <c r="A1387" t="inlineStr">
        <is>
          <t>RIOS MURAYARI WAGNER  T0001267.pdf</t>
        </is>
      </c>
      <c r="B1387">
        <f>HYPERLINK("C:\Users\lmonroy\Tema\PLANILLA\BoletasPDF16-31\RIOS MURAYARI WAGNER  T0001267.pdf", "Link")</f>
        <v/>
      </c>
      <c r="C1387" t="n">
        <v>166147</v>
      </c>
      <c r="D1387" t="inlineStr">
        <is>
          <t>2024-03-18 16:53:40</t>
        </is>
      </c>
      <c r="E1387" t="inlineStr">
        <is>
          <t>2024-03-18 16:53:40</t>
        </is>
      </c>
      <c r="F1387" t="inlineStr">
        <is>
          <t>666</t>
        </is>
      </c>
    </row>
    <row r="1388">
      <c r="A1388" t="inlineStr">
        <is>
          <t>RIOS PROAÑO ALCI  T0001268.pdf</t>
        </is>
      </c>
      <c r="B1388">
        <f>HYPERLINK("C:\Users\lmonroy\Tema\PLANILLA\BoletasPDF16-31\RIOS PROAÑO ALCI  T0001268.pdf", "Link")</f>
        <v/>
      </c>
      <c r="C1388" t="n">
        <v>166346</v>
      </c>
      <c r="D1388" t="inlineStr">
        <is>
          <t>2024-03-18 16:52:43</t>
        </is>
      </c>
      <c r="E1388" t="inlineStr">
        <is>
          <t>2024-03-18 16:52:43</t>
        </is>
      </c>
      <c r="F1388" t="inlineStr">
        <is>
          <t>666</t>
        </is>
      </c>
    </row>
    <row r="1389">
      <c r="A1389" t="inlineStr">
        <is>
          <t>RIOS RIOS FREDY  T0001269.pdf</t>
        </is>
      </c>
      <c r="B1389">
        <f>HYPERLINK("C:\Users\lmonroy\Tema\PLANILLA\BoletasPDF16-31\RIOS RIOS FREDY  T0001269.pdf", "Link")</f>
        <v/>
      </c>
      <c r="C1389" t="n">
        <v>166165</v>
      </c>
      <c r="D1389" t="inlineStr">
        <is>
          <t>2024-03-18 16:52:52</t>
        </is>
      </c>
      <c r="E1389" t="inlineStr">
        <is>
          <t>2024-03-18 16:52:52</t>
        </is>
      </c>
      <c r="F1389" t="inlineStr">
        <is>
          <t>666</t>
        </is>
      </c>
    </row>
    <row r="1390">
      <c r="A1390" t="inlineStr">
        <is>
          <t>ROJAS INUMA SEGUNDO MANUEL T0001274.pdf</t>
        </is>
      </c>
      <c r="B1390">
        <f>HYPERLINK("C:\Users\lmonroy\Tema\PLANILLA\BoletasPDF16-31\ROJAS INUMA SEGUNDO MANUEL T0001274.pdf", "Link")</f>
        <v/>
      </c>
      <c r="C1390" t="n">
        <v>166326</v>
      </c>
      <c r="D1390" t="inlineStr">
        <is>
          <t>2024-03-18 16:50:44</t>
        </is>
      </c>
      <c r="E1390" t="inlineStr">
        <is>
          <t>2024-03-18 16:50:44</t>
        </is>
      </c>
      <c r="F1390" t="inlineStr">
        <is>
          <t>666</t>
        </is>
      </c>
    </row>
    <row r="1391">
      <c r="A1391" t="inlineStr">
        <is>
          <t>RUFINO MACUSI ANTONIO  T0001277.pdf</t>
        </is>
      </c>
      <c r="B1391">
        <f>HYPERLINK("C:\Users\lmonroy\Tema\PLANILLA\BoletasPDF16-31\RUFINO MACUSI ANTONIO  T0001277.pdf", "Link")</f>
        <v/>
      </c>
      <c r="C1391" t="n">
        <v>166342</v>
      </c>
      <c r="D1391" t="inlineStr">
        <is>
          <t>2024-03-18 16:51:00</t>
        </is>
      </c>
      <c r="E1391" t="inlineStr">
        <is>
          <t>2024-03-18 16:51:00</t>
        </is>
      </c>
      <c r="F1391" t="inlineStr">
        <is>
          <t>666</t>
        </is>
      </c>
    </row>
    <row r="1392">
      <c r="A1392" t="inlineStr">
        <is>
          <t>RUIZ CHANCHARI SEGUNDO  T0001279.pdf</t>
        </is>
      </c>
      <c r="B1392">
        <f>HYPERLINK("C:\Users\lmonroy\Tema\PLANILLA\BoletasPDF16-31\RUIZ CHANCHARI SEGUNDO  T0001279.pdf", "Link")</f>
        <v/>
      </c>
      <c r="C1392" t="n">
        <v>166329</v>
      </c>
      <c r="D1392" t="inlineStr">
        <is>
          <t>2024-03-18 16:50:19</t>
        </is>
      </c>
      <c r="E1392" t="inlineStr">
        <is>
          <t>2024-03-18 16:42:18</t>
        </is>
      </c>
      <c r="F1392" t="inlineStr">
        <is>
          <t>666</t>
        </is>
      </c>
    </row>
    <row r="1393">
      <c r="A1393" t="inlineStr">
        <is>
          <t>RUIZ JOGUISTA GABRIEL  T0001280.pdf</t>
        </is>
      </c>
      <c r="B1393">
        <f>HYPERLINK("C:\Users\lmonroy\Tema\PLANILLA\BoletasPDF16-31\RUIZ JOGUISTA GABRIEL  T0001280.pdf", "Link")</f>
        <v/>
      </c>
      <c r="C1393" t="n">
        <v>166115</v>
      </c>
      <c r="D1393" t="inlineStr">
        <is>
          <t>2024-03-18 16:50:40</t>
        </is>
      </c>
      <c r="E1393" t="inlineStr">
        <is>
          <t>2024-03-18 16:50:40</t>
        </is>
      </c>
      <c r="F1393" t="inlineStr">
        <is>
          <t>666</t>
        </is>
      </c>
    </row>
    <row r="1394">
      <c r="A1394" t="inlineStr">
        <is>
          <t>RUIZ JOGUISTA JOSE  T0001282.pdf</t>
        </is>
      </c>
      <c r="B1394">
        <f>HYPERLINK("C:\Users\lmonroy\Tema\PLANILLA\BoletasPDF16-31\RUIZ JOGUISTA JOSE  T0001282.pdf", "Link")</f>
        <v/>
      </c>
      <c r="C1394" t="n">
        <v>166318</v>
      </c>
      <c r="D1394" t="inlineStr">
        <is>
          <t>2024-03-18 16:50:39</t>
        </is>
      </c>
      <c r="E1394" t="inlineStr">
        <is>
          <t>2024-03-18 16:50:39</t>
        </is>
      </c>
      <c r="F1394" t="inlineStr">
        <is>
          <t>666</t>
        </is>
      </c>
    </row>
    <row r="1395">
      <c r="A1395" t="inlineStr">
        <is>
          <t>RUIZ JOGUISTA RICHER  T0001283.pdf</t>
        </is>
      </c>
      <c r="B1395">
        <f>HYPERLINK("C:\Users\lmonroy\Tema\PLANILLA\BoletasPDF16-31\RUIZ JOGUISTA RICHER  T0001283.pdf", "Link")</f>
        <v/>
      </c>
      <c r="C1395" t="n">
        <v>166322</v>
      </c>
      <c r="D1395" t="inlineStr">
        <is>
          <t>2024-03-18 16:51:35</t>
        </is>
      </c>
      <c r="E1395" t="inlineStr">
        <is>
          <t>2024-03-18 16:51:35</t>
        </is>
      </c>
      <c r="F1395" t="inlineStr">
        <is>
          <t>666</t>
        </is>
      </c>
    </row>
    <row r="1396">
      <c r="A1396" t="inlineStr">
        <is>
          <t>RUIZ MACUSI RIGOBERTO  T0001288.pdf</t>
        </is>
      </c>
      <c r="B1396">
        <f>HYPERLINK("C:\Users\lmonroy\Tema\PLANILLA\BoletasPDF16-31\RUIZ MACUSI RIGOBERTO  T0001288.pdf", "Link")</f>
        <v/>
      </c>
      <c r="C1396" t="n">
        <v>166332</v>
      </c>
      <c r="D1396" t="inlineStr">
        <is>
          <t>2024-03-18 16:52:55</t>
        </is>
      </c>
      <c r="E1396" t="inlineStr">
        <is>
          <t>2024-03-18 16:52:55</t>
        </is>
      </c>
      <c r="F1396" t="inlineStr">
        <is>
          <t>666</t>
        </is>
      </c>
    </row>
    <row r="1397">
      <c r="A1397" t="inlineStr">
        <is>
          <t>RUIZ MACUSI WILMER  T0001289.pdf</t>
        </is>
      </c>
      <c r="B1397">
        <f>HYPERLINK("C:\Users\lmonroy\Tema\PLANILLA\BoletasPDF16-31\RUIZ MACUSI WILMER  T0001289.pdf", "Link")</f>
        <v/>
      </c>
      <c r="C1397" t="n">
        <v>166168</v>
      </c>
      <c r="D1397" t="inlineStr">
        <is>
          <t>2024-03-18 16:52:22</t>
        </is>
      </c>
      <c r="E1397" t="inlineStr">
        <is>
          <t>2024-03-18 16:52:22</t>
        </is>
      </c>
      <c r="F1397" t="inlineStr">
        <is>
          <t>666</t>
        </is>
      </c>
    </row>
    <row r="1398">
      <c r="A1398" t="inlineStr">
        <is>
          <t>RUIZ RAMON JOSE  T0001290.pdf</t>
        </is>
      </c>
      <c r="B1398">
        <f>HYPERLINK("C:\Users\lmonroy\Tema\PLANILLA\BoletasPDF16-31\RUIZ RAMON JOSE  T0001290.pdf", "Link")</f>
        <v/>
      </c>
      <c r="C1398" t="n">
        <v>166143</v>
      </c>
      <c r="D1398" t="inlineStr">
        <is>
          <t>2024-03-18 16:53:17</t>
        </is>
      </c>
      <c r="E1398" t="inlineStr">
        <is>
          <t>2024-03-18 16:53:17</t>
        </is>
      </c>
      <c r="F1398" t="inlineStr">
        <is>
          <t>666</t>
        </is>
      </c>
    </row>
    <row r="1399">
      <c r="A1399" t="inlineStr">
        <is>
          <t>RUIZ RIOS OSCAR  T0001291.pdf</t>
        </is>
      </c>
      <c r="B1399">
        <f>HYPERLINK("C:\Users\lmonroy\Tema\PLANILLA\BoletasPDF16-31\RUIZ RIOS OSCAR  T0001291.pdf", "Link")</f>
        <v/>
      </c>
      <c r="C1399" t="n">
        <v>166143</v>
      </c>
      <c r="D1399" t="inlineStr">
        <is>
          <t>2024-03-18 16:50:22</t>
        </is>
      </c>
      <c r="E1399" t="inlineStr">
        <is>
          <t>2024-03-18 16:50:22</t>
        </is>
      </c>
      <c r="F1399" t="inlineStr">
        <is>
          <t>666</t>
        </is>
      </c>
    </row>
    <row r="1400">
      <c r="A1400" t="inlineStr">
        <is>
          <t>SAAVEDRA SANTA MARIA RIMMER  T0001293.pdf</t>
        </is>
      </c>
      <c r="B1400">
        <f>HYPERLINK("C:\Users\lmonroy\Tema\PLANILLA\BoletasPDF16-31\SAAVEDRA SANTA MARIA RIMMER  T0001293.pdf", "Link")</f>
        <v/>
      </c>
      <c r="C1400" t="n">
        <v>166358</v>
      </c>
      <c r="D1400" t="inlineStr">
        <is>
          <t>2024-03-18 16:53:37</t>
        </is>
      </c>
      <c r="E1400" t="inlineStr">
        <is>
          <t>2024-03-18 16:53:37</t>
        </is>
      </c>
      <c r="F1400" t="inlineStr">
        <is>
          <t>666</t>
        </is>
      </c>
    </row>
    <row r="1401">
      <c r="A1401" t="inlineStr">
        <is>
          <t>SAIRO DASILVA WALDIR  T0001294.pdf</t>
        </is>
      </c>
      <c r="B1401">
        <f>HYPERLINK("C:\Users\lmonroy\Tema\PLANILLA\BoletasPDF16-31\SAIRO DASILVA WALDIR  T0001294.pdf", "Link")</f>
        <v/>
      </c>
      <c r="C1401" t="n">
        <v>166354</v>
      </c>
      <c r="D1401" t="inlineStr">
        <is>
          <t>2024-03-18 16:51:32</t>
        </is>
      </c>
      <c r="E1401" t="inlineStr">
        <is>
          <t>2024-03-18 16:51:32</t>
        </is>
      </c>
      <c r="F1401" t="inlineStr">
        <is>
          <t>666</t>
        </is>
      </c>
    </row>
    <row r="1402">
      <c r="A1402" t="inlineStr">
        <is>
          <t>SAIRO SABOYA JORGE  T0001295.pdf</t>
        </is>
      </c>
      <c r="B1402">
        <f>HYPERLINK("C:\Users\lmonroy\Tema\PLANILLA\BoletasPDF16-31\SAIRO SABOYA JORGE  T0001295.pdf", "Link")</f>
        <v/>
      </c>
      <c r="C1402" t="n">
        <v>166150</v>
      </c>
      <c r="D1402" t="inlineStr">
        <is>
          <t>2024-03-18 16:50:26</t>
        </is>
      </c>
      <c r="E1402" t="inlineStr">
        <is>
          <t>2024-03-18 16:50:26</t>
        </is>
      </c>
      <c r="F1402" t="inlineStr">
        <is>
          <t>666</t>
        </is>
      </c>
    </row>
    <row r="1403">
      <c r="A1403" t="inlineStr">
        <is>
          <t>SANCHEZ MACA GIN ALEX T0001464.pdf</t>
        </is>
      </c>
      <c r="B1403">
        <f>HYPERLINK("C:\Users\lmonroy\Tema\PLANILLA\BoletasPDF16-31\SANCHEZ MACA GIN ALEX T0001464.pdf", "Link")</f>
        <v/>
      </c>
      <c r="C1403" t="n">
        <v>166142</v>
      </c>
      <c r="D1403" t="inlineStr">
        <is>
          <t>2024-03-18 16:52:54</t>
        </is>
      </c>
      <c r="E1403" t="inlineStr">
        <is>
          <t>2024-03-18 16:52:54</t>
        </is>
      </c>
      <c r="F1403" t="inlineStr">
        <is>
          <t>666</t>
        </is>
      </c>
    </row>
    <row r="1404">
      <c r="A1404" t="inlineStr">
        <is>
          <t>SANDI CARIAJANO PEDRO T0001465.pdf</t>
        </is>
      </c>
      <c r="B1404">
        <f>HYPERLINK("C:\Users\lmonroy\Tema\PLANILLA\BoletasPDF16-31\SANDI CARIAJANO PEDRO T0001465.pdf", "Link")</f>
        <v/>
      </c>
      <c r="C1404" t="n">
        <v>166331</v>
      </c>
      <c r="D1404" t="inlineStr">
        <is>
          <t>2024-03-18 16:50:23</t>
        </is>
      </c>
      <c r="E1404" t="inlineStr">
        <is>
          <t>2024-03-18 16:50:23</t>
        </is>
      </c>
      <c r="F1404" t="inlineStr">
        <is>
          <t>666</t>
        </is>
      </c>
    </row>
    <row r="1405">
      <c r="A1405" t="inlineStr">
        <is>
          <t>SANDI TARICUARIMA ANDRES  T0001297.pdf</t>
        </is>
      </c>
      <c r="B1405">
        <f>HYPERLINK("C:\Users\lmonroy\Tema\PLANILLA\BoletasPDF16-31\SANDI TARICUARIMA ANDRES  T0001297.pdf", "Link")</f>
        <v/>
      </c>
      <c r="C1405" t="n">
        <v>166144</v>
      </c>
      <c r="D1405" t="inlineStr">
        <is>
          <t>2024-03-18 16:52:44</t>
        </is>
      </c>
      <c r="E1405" t="inlineStr">
        <is>
          <t>2024-03-18 16:52:44</t>
        </is>
      </c>
      <c r="F1405" t="inlineStr">
        <is>
          <t>666</t>
        </is>
      </c>
    </row>
    <row r="1406">
      <c r="A1406" t="inlineStr">
        <is>
          <t>SANDI TARICUARIMA ROQUI T0001298.pdf</t>
        </is>
      </c>
      <c r="B1406">
        <f>HYPERLINK("C:\Users\lmonroy\Tema\PLANILLA\BoletasPDF16-31\SANDI TARICUARIMA ROQUI T0001298.pdf", "Link")</f>
        <v/>
      </c>
      <c r="C1406" t="n">
        <v>166134</v>
      </c>
      <c r="D1406" t="inlineStr">
        <is>
          <t>2024-03-18 16:53:33</t>
        </is>
      </c>
      <c r="E1406" t="inlineStr">
        <is>
          <t>2024-03-18 16:53:33</t>
        </is>
      </c>
      <c r="F1406" t="inlineStr">
        <is>
          <t>666</t>
        </is>
      </c>
    </row>
    <row r="1407">
      <c r="A1407" t="inlineStr">
        <is>
          <t>SHAHUANO INUACARI ERIXSON MARCELO T0001300.pdf</t>
        </is>
      </c>
      <c r="B1407">
        <f>HYPERLINK("C:\Users\lmonroy\Tema\PLANILLA\BoletasPDF16-31\SHAHUANO INUACARI ERIXSON MARCELO T0001300.pdf", "Link")</f>
        <v/>
      </c>
      <c r="C1407" t="n">
        <v>166168</v>
      </c>
      <c r="D1407" t="inlineStr">
        <is>
          <t>2024-03-18 16:51:18</t>
        </is>
      </c>
      <c r="E1407" t="inlineStr">
        <is>
          <t>2024-03-18 16:51:18</t>
        </is>
      </c>
      <c r="F1407" t="inlineStr">
        <is>
          <t>666</t>
        </is>
      </c>
    </row>
    <row r="1408">
      <c r="A1408" t="inlineStr">
        <is>
          <t>SORIA RODRIGUEZ LEYSER AGUSTIN T0001466.pdf</t>
        </is>
      </c>
      <c r="B1408">
        <f>HYPERLINK("C:\Users\lmonroy\Tema\PLANILLA\BoletasPDF16-31\SORIA RODRIGUEZ LEYSER AGUSTIN T0001466.pdf", "Link")</f>
        <v/>
      </c>
      <c r="C1408" t="n">
        <v>166159</v>
      </c>
      <c r="D1408" t="inlineStr">
        <is>
          <t>2024-03-18 16:52:57</t>
        </is>
      </c>
      <c r="E1408" t="inlineStr">
        <is>
          <t>2024-03-18 16:52:57</t>
        </is>
      </c>
      <c r="F1408" t="inlineStr">
        <is>
          <t>666</t>
        </is>
      </c>
    </row>
    <row r="1409">
      <c r="A1409" t="inlineStr">
        <is>
          <t>SUJETO MACUSI JOSE  T0001303.pdf</t>
        </is>
      </c>
      <c r="B1409">
        <f>HYPERLINK("C:\Users\lmonroy\Tema\PLANILLA\BoletasPDF16-31\SUJETO MACUSI JOSE  T0001303.pdf", "Link")</f>
        <v/>
      </c>
      <c r="C1409" t="n">
        <v>166143</v>
      </c>
      <c r="D1409" t="inlineStr">
        <is>
          <t>2024-03-18 16:51:43</t>
        </is>
      </c>
      <c r="E1409" t="inlineStr">
        <is>
          <t>2024-03-18 16:51:43</t>
        </is>
      </c>
      <c r="F1409" t="inlineStr">
        <is>
          <t>666</t>
        </is>
      </c>
    </row>
    <row r="1410">
      <c r="A1410" t="inlineStr">
        <is>
          <t>SUJETO MACUSI LINO  T0001304.pdf</t>
        </is>
      </c>
      <c r="B1410">
        <f>HYPERLINK("C:\Users\lmonroy\Tema\PLANILLA\BoletasPDF16-31\SUJETO MACUSI LINO  T0001304.pdf", "Link")</f>
        <v/>
      </c>
      <c r="C1410" t="n">
        <v>166325</v>
      </c>
      <c r="D1410" t="inlineStr">
        <is>
          <t>2024-03-18 16:51:44</t>
        </is>
      </c>
      <c r="E1410" t="inlineStr">
        <is>
          <t>2024-03-18 16:51:44</t>
        </is>
      </c>
      <c r="F1410" t="inlineStr">
        <is>
          <t>666</t>
        </is>
      </c>
    </row>
    <row r="1411">
      <c r="A1411" t="inlineStr">
        <is>
          <t>TAPAYURI PEREYRA SEGUNDO SAMUEL  T0001467.pdf</t>
        </is>
      </c>
      <c r="B1411">
        <f>HYPERLINK("C:\Users\lmonroy\Tema\PLANILLA\BoletasPDF16-31\TAPAYURI PEREYRA SEGUNDO SAMUEL  T0001467.pdf", "Link")</f>
        <v/>
      </c>
      <c r="C1411" t="n">
        <v>166159</v>
      </c>
      <c r="D1411" t="inlineStr">
        <is>
          <t>2024-03-18 16:52:09</t>
        </is>
      </c>
      <c r="E1411" t="inlineStr">
        <is>
          <t>2024-03-18 16:52:09</t>
        </is>
      </c>
      <c r="F1411" t="inlineStr">
        <is>
          <t>666</t>
        </is>
      </c>
    </row>
    <row r="1412">
      <c r="A1412" t="inlineStr">
        <is>
          <t>TIHUAIRO MURAYARI JORGE LUIS T0001308.pdf</t>
        </is>
      </c>
      <c r="B1412">
        <f>HYPERLINK("C:\Users\lmonroy\Tema\PLANILLA\BoletasPDF16-31\TIHUAIRO MURAYARI JORGE LUIS T0001308.pdf", "Link")</f>
        <v/>
      </c>
      <c r="C1412" t="n">
        <v>166157</v>
      </c>
      <c r="D1412" t="inlineStr">
        <is>
          <t>2024-03-18 16:51:31</t>
        </is>
      </c>
      <c r="E1412" t="inlineStr">
        <is>
          <t>2024-03-18 16:51:31</t>
        </is>
      </c>
      <c r="F1412" t="inlineStr">
        <is>
          <t>666</t>
        </is>
      </c>
    </row>
    <row r="1413">
      <c r="A1413" t="inlineStr">
        <is>
          <t>TORRES INGA LIMBER DAVID T0001309.pdf</t>
        </is>
      </c>
      <c r="B1413">
        <f>HYPERLINK("C:\Users\lmonroy\Tema\PLANILLA\BoletasPDF16-31\TORRES INGA LIMBER DAVID T0001309.pdf", "Link")</f>
        <v/>
      </c>
      <c r="C1413" t="n">
        <v>166170</v>
      </c>
      <c r="D1413" t="inlineStr">
        <is>
          <t>2024-03-18 16:52:47</t>
        </is>
      </c>
      <c r="E1413" t="inlineStr">
        <is>
          <t>2024-03-18 16:52:47</t>
        </is>
      </c>
      <c r="F1413" t="inlineStr">
        <is>
          <t>666</t>
        </is>
      </c>
    </row>
    <row r="1414">
      <c r="A1414" t="inlineStr">
        <is>
          <t>TORRES SANDOVAL DAVID  T0001311.pdf</t>
        </is>
      </c>
      <c r="B1414">
        <f>HYPERLINK("C:\Users\lmonroy\Tema\PLANILLA\BoletasPDF16-31\TORRES SANDOVAL DAVID  T0001311.pdf", "Link")</f>
        <v/>
      </c>
      <c r="C1414" t="n">
        <v>166343</v>
      </c>
      <c r="D1414" t="inlineStr">
        <is>
          <t>2024-03-18 16:53:07</t>
        </is>
      </c>
      <c r="E1414" t="inlineStr">
        <is>
          <t>2024-03-18 16:53:07</t>
        </is>
      </c>
      <c r="F1414" t="inlineStr">
        <is>
          <t>666</t>
        </is>
      </c>
    </row>
    <row r="1415">
      <c r="A1415" t="inlineStr">
        <is>
          <t>TUANAMA IRARICA JAVAN  T0001392.pdf</t>
        </is>
      </c>
      <c r="B1415">
        <f>HYPERLINK("C:\Users\lmonroy\Tema\PLANILLA\BoletasPDF16-31\TUANAMA IRARICA JAVAN  T0001392.pdf", "Link")</f>
        <v/>
      </c>
      <c r="C1415" t="n">
        <v>166146</v>
      </c>
      <c r="D1415" t="inlineStr">
        <is>
          <t>2024-03-18 16:52:36</t>
        </is>
      </c>
      <c r="E1415" t="inlineStr">
        <is>
          <t>2024-03-18 16:52:36</t>
        </is>
      </c>
      <c r="F1415" t="inlineStr">
        <is>
          <t>666</t>
        </is>
      </c>
    </row>
    <row r="1416">
      <c r="A1416" t="inlineStr">
        <is>
          <t>TUANAMA MURAYARI HUGO  T0001314.pdf</t>
        </is>
      </c>
      <c r="B1416">
        <f>HYPERLINK("C:\Users\lmonroy\Tema\PLANILLA\BoletasPDF16-31\TUANAMA MURAYARI HUGO  T0001314.pdf", "Link")</f>
        <v/>
      </c>
      <c r="C1416" t="n">
        <v>166149</v>
      </c>
      <c r="D1416" t="inlineStr">
        <is>
          <t>2024-03-18 16:50:43</t>
        </is>
      </c>
      <c r="E1416" t="inlineStr">
        <is>
          <t>2024-03-18 16:50:43</t>
        </is>
      </c>
      <c r="F1416" t="inlineStr">
        <is>
          <t>666</t>
        </is>
      </c>
    </row>
    <row r="1417">
      <c r="A1417" t="inlineStr">
        <is>
          <t>TUANAMA MURAYARI SAMUEL  T0001316.pdf</t>
        </is>
      </c>
      <c r="B1417">
        <f>HYPERLINK("C:\Users\lmonroy\Tema\PLANILLA\BoletasPDF16-31\TUANAMA MURAYARI SAMUEL  T0001316.pdf", "Link")</f>
        <v/>
      </c>
      <c r="C1417" t="n">
        <v>166316</v>
      </c>
      <c r="D1417" t="inlineStr">
        <is>
          <t>2024-03-18 16:53:04</t>
        </is>
      </c>
      <c r="E1417" t="inlineStr">
        <is>
          <t>2024-03-18 16:53:04</t>
        </is>
      </c>
      <c r="F1417" t="inlineStr">
        <is>
          <t>666</t>
        </is>
      </c>
    </row>
    <row r="1418">
      <c r="A1418" t="inlineStr">
        <is>
          <t>VALDERRAMA MACUYAMA ERICK  T0001319.pdf</t>
        </is>
      </c>
      <c r="B1418">
        <f>HYPERLINK("C:\Users\lmonroy\Tema\PLANILLA\BoletasPDF16-31\VALDERRAMA MACUYAMA ERICK  T0001319.pdf", "Link")</f>
        <v/>
      </c>
      <c r="C1418" t="n">
        <v>166143</v>
      </c>
      <c r="D1418" t="inlineStr">
        <is>
          <t>2024-03-18 16:52:29</t>
        </is>
      </c>
      <c r="E1418" t="inlineStr">
        <is>
          <t>2024-03-18 16:52:29</t>
        </is>
      </c>
      <c r="F1418" t="inlineStr">
        <is>
          <t>666</t>
        </is>
      </c>
    </row>
    <row r="1419">
      <c r="A1419" t="inlineStr">
        <is>
          <t>VASQUEZ OJAICURO GUILLERMO  T0001322.pdf</t>
        </is>
      </c>
      <c r="B1419">
        <f>HYPERLINK("C:\Users\lmonroy\Tema\PLANILLA\BoletasPDF16-31\VASQUEZ OJAICURO GUILLERMO  T0001322.pdf", "Link")</f>
        <v/>
      </c>
      <c r="C1419" t="n">
        <v>166155</v>
      </c>
      <c r="D1419" t="inlineStr">
        <is>
          <t>2024-03-18 16:52:50</t>
        </is>
      </c>
      <c r="E1419" t="inlineStr">
        <is>
          <t>2024-03-18 16:52:50</t>
        </is>
      </c>
      <c r="F1419" t="inlineStr">
        <is>
          <t>666</t>
        </is>
      </c>
    </row>
    <row r="1420">
      <c r="A1420" t="inlineStr">
        <is>
          <t>VELA CLEMENTE FREDI  T0001326.pdf</t>
        </is>
      </c>
      <c r="B1420">
        <f>HYPERLINK("C:\Users\lmonroy\Tema\PLANILLA\BoletasPDF16-31\VELA CLEMENTE FREDI  T0001326.pdf", "Link")</f>
        <v/>
      </c>
      <c r="C1420" t="n">
        <v>166228</v>
      </c>
      <c r="D1420" t="inlineStr">
        <is>
          <t>2024-03-18 16:53:06</t>
        </is>
      </c>
      <c r="E1420" t="inlineStr">
        <is>
          <t>2024-03-18 16:53:06</t>
        </is>
      </c>
      <c r="F1420" t="inlineStr">
        <is>
          <t>666</t>
        </is>
      </c>
    </row>
    <row r="1421">
      <c r="A1421" t="inlineStr">
        <is>
          <t>VELA CUNAYA EMERSON T0001468.pdf</t>
        </is>
      </c>
      <c r="B1421">
        <f>HYPERLINK("C:\Users\lmonroy\Tema\PLANILLA\BoletasPDF16-31\VELA CUNAYA EMERSON T0001468.pdf", "Link")</f>
        <v/>
      </c>
      <c r="C1421" t="n">
        <v>166142</v>
      </c>
      <c r="D1421" t="inlineStr">
        <is>
          <t>2024-03-18 16:53:31</t>
        </is>
      </c>
      <c r="E1421" t="inlineStr">
        <is>
          <t>2024-03-18 16:53:31</t>
        </is>
      </c>
      <c r="F1421" t="inlineStr">
        <is>
          <t>666</t>
        </is>
      </c>
    </row>
    <row r="1422">
      <c r="A1422" t="inlineStr">
        <is>
          <t>VELA INUMA ANDRES  T0001329.pdf</t>
        </is>
      </c>
      <c r="B1422">
        <f>HYPERLINK("C:\Users\lmonroy\Tema\PLANILLA\BoletasPDF16-31\VELA INUMA ANDRES  T0001329.pdf", "Link")</f>
        <v/>
      </c>
      <c r="C1422" t="n">
        <v>166134</v>
      </c>
      <c r="D1422" t="inlineStr">
        <is>
          <t>2024-03-18 16:53:25</t>
        </is>
      </c>
      <c r="E1422" t="inlineStr">
        <is>
          <t>2024-03-18 16:53:25</t>
        </is>
      </c>
      <c r="F1422" t="inlineStr">
        <is>
          <t>666</t>
        </is>
      </c>
    </row>
    <row r="1423">
      <c r="A1423" t="inlineStr">
        <is>
          <t>VELA INUMA EDINSON  T0001469.pdf</t>
        </is>
      </c>
      <c r="B1423">
        <f>HYPERLINK("C:\Users\lmonroy\Tema\PLANILLA\BoletasPDF16-31\VELA INUMA EDINSON  T0001469.pdf", "Link")</f>
        <v/>
      </c>
      <c r="C1423" t="n">
        <v>166289</v>
      </c>
      <c r="D1423" t="inlineStr">
        <is>
          <t>2024-03-18 16:52:41</t>
        </is>
      </c>
      <c r="E1423" t="inlineStr">
        <is>
          <t>2024-03-18 16:52:41</t>
        </is>
      </c>
      <c r="F1423" t="inlineStr">
        <is>
          <t>666</t>
        </is>
      </c>
    </row>
    <row r="1424">
      <c r="A1424" t="inlineStr">
        <is>
          <t>VELA INUMA MANUEL  T0001332.pdf</t>
        </is>
      </c>
      <c r="B1424">
        <f>HYPERLINK("C:\Users\lmonroy\Tema\PLANILLA\BoletasPDF16-31\VELA INUMA MANUEL  T0001332.pdf", "Link")</f>
        <v/>
      </c>
      <c r="C1424" t="n">
        <v>166119</v>
      </c>
      <c r="D1424" t="inlineStr">
        <is>
          <t>2024-03-18 16:52:25</t>
        </is>
      </c>
      <c r="E1424" t="inlineStr">
        <is>
          <t>2024-03-18 16:52:25</t>
        </is>
      </c>
      <c r="F1424" t="inlineStr">
        <is>
          <t>666</t>
        </is>
      </c>
    </row>
    <row r="1425">
      <c r="A1425" t="inlineStr">
        <is>
          <t>VELA INUMA RICARDO  T0001333.pdf</t>
        </is>
      </c>
      <c r="B1425">
        <f>HYPERLINK("C:\Users\lmonroy\Tema\PLANILLA\BoletasPDF16-31\VELA INUMA RICARDO  T0001333.pdf", "Link")</f>
        <v/>
      </c>
      <c r="C1425" t="n">
        <v>166142</v>
      </c>
      <c r="D1425" t="inlineStr">
        <is>
          <t>2024-03-18 16:52:26</t>
        </is>
      </c>
      <c r="E1425" t="inlineStr">
        <is>
          <t>2024-03-18 16:52:26</t>
        </is>
      </c>
      <c r="F1425" t="inlineStr">
        <is>
          <t>666</t>
        </is>
      </c>
    </row>
    <row r="1426">
      <c r="A1426" t="inlineStr">
        <is>
          <t>VELA JOGUISTA MANUEL  T0001334.pdf</t>
        </is>
      </c>
      <c r="B1426">
        <f>HYPERLINK("C:\Users\lmonroy\Tema\PLANILLA\BoletasPDF16-31\VELA JOGUISTA MANUEL  T0001334.pdf", "Link")</f>
        <v/>
      </c>
      <c r="C1426" t="n">
        <v>166147</v>
      </c>
      <c r="D1426" t="inlineStr">
        <is>
          <t>2024-03-18 16:50:38</t>
        </is>
      </c>
      <c r="E1426" t="inlineStr">
        <is>
          <t>2024-03-18 16:50:38</t>
        </is>
      </c>
      <c r="F1426" t="inlineStr">
        <is>
          <t>666</t>
        </is>
      </c>
    </row>
    <row r="1427">
      <c r="A1427" t="inlineStr">
        <is>
          <t>VELA JUGUISTA NOLVERTO  T0001335.pdf</t>
        </is>
      </c>
      <c r="B1427">
        <f>HYPERLINK("C:\Users\lmonroy\Tema\PLANILLA\BoletasPDF16-31\VELA JUGUISTA NOLVERTO  T0001335.pdf", "Link")</f>
        <v/>
      </c>
      <c r="C1427" t="n">
        <v>166153</v>
      </c>
      <c r="D1427" t="inlineStr">
        <is>
          <t>2024-03-18 16:51:26</t>
        </is>
      </c>
      <c r="E1427" t="inlineStr">
        <is>
          <t>2024-03-18 16:51:26</t>
        </is>
      </c>
      <c r="F1427" t="inlineStr">
        <is>
          <t>666</t>
        </is>
      </c>
    </row>
    <row r="1428">
      <c r="A1428" t="inlineStr">
        <is>
          <t>VELA MACUSI DARVIN  T0001336.pdf</t>
        </is>
      </c>
      <c r="B1428">
        <f>HYPERLINK("C:\Users\lmonroy\Tema\PLANILLA\BoletasPDF16-31\VELA MACUSI DARVIN  T0001336.pdf", "Link")</f>
        <v/>
      </c>
      <c r="C1428" t="n">
        <v>166311</v>
      </c>
      <c r="D1428" t="inlineStr">
        <is>
          <t>2024-03-18 16:53:26</t>
        </is>
      </c>
      <c r="E1428" t="inlineStr">
        <is>
          <t>2024-03-18 16:53:26</t>
        </is>
      </c>
      <c r="F1428" t="inlineStr">
        <is>
          <t>666</t>
        </is>
      </c>
    </row>
    <row r="1429">
      <c r="A1429" t="inlineStr">
        <is>
          <t>VELA MACUSI JULIO  T0001339.pdf</t>
        </is>
      </c>
      <c r="B1429">
        <f>HYPERLINK("C:\Users\lmonroy\Tema\PLANILLA\BoletasPDF16-31\VELA MACUSI JULIO  T0001339.pdf", "Link")</f>
        <v/>
      </c>
      <c r="C1429" t="n">
        <v>166135</v>
      </c>
      <c r="D1429" t="inlineStr">
        <is>
          <t>2024-03-18 16:51:47</t>
        </is>
      </c>
      <c r="E1429" t="inlineStr">
        <is>
          <t>2024-03-18 16:51:47</t>
        </is>
      </c>
      <c r="F1429" t="inlineStr">
        <is>
          <t>666</t>
        </is>
      </c>
    </row>
    <row r="1430">
      <c r="A1430" t="inlineStr">
        <is>
          <t>VELA MACUSI MANUEL  T0001340.pdf</t>
        </is>
      </c>
      <c r="B1430">
        <f>HYPERLINK("C:\Users\lmonroy\Tema\PLANILLA\BoletasPDF16-31\VELA MACUSI MANUEL  T0001340.pdf", "Link")</f>
        <v/>
      </c>
      <c r="C1430" t="n">
        <v>166142</v>
      </c>
      <c r="D1430" t="inlineStr">
        <is>
          <t>2024-03-18 16:53:31</t>
        </is>
      </c>
      <c r="E1430" t="inlineStr">
        <is>
          <t>2024-03-18 16:53:31</t>
        </is>
      </c>
      <c r="F1430" t="inlineStr">
        <is>
          <t>666</t>
        </is>
      </c>
    </row>
    <row r="1431">
      <c r="A1431" t="inlineStr">
        <is>
          <t>VELA MURAYARI SAMUEL  T0001342.pdf</t>
        </is>
      </c>
      <c r="B1431">
        <f>HYPERLINK("C:\Users\lmonroy\Tema\PLANILLA\BoletasPDF16-31\VELA MURAYARI SAMUEL  T0001342.pdf", "Link")</f>
        <v/>
      </c>
      <c r="C1431" t="n">
        <v>166168</v>
      </c>
      <c r="D1431" t="inlineStr">
        <is>
          <t>2024-03-18 16:53:39</t>
        </is>
      </c>
      <c r="E1431" t="inlineStr">
        <is>
          <t>2024-03-18 16:53:39</t>
        </is>
      </c>
      <c r="F1431" t="inlineStr">
        <is>
          <t>666</t>
        </is>
      </c>
    </row>
    <row r="1432">
      <c r="A1432" t="inlineStr">
        <is>
          <t>VELA NORIEGA EDINSON  T0001343.pdf</t>
        </is>
      </c>
      <c r="B1432">
        <f>HYPERLINK("C:\Users\lmonroy\Tema\PLANILLA\BoletasPDF16-31\VELA NORIEGA EDINSON  T0001343.pdf", "Link")</f>
        <v/>
      </c>
      <c r="C1432" t="n">
        <v>166324</v>
      </c>
      <c r="D1432" t="inlineStr">
        <is>
          <t>2024-03-18 16:51:14</t>
        </is>
      </c>
      <c r="E1432" t="inlineStr">
        <is>
          <t>2024-03-18 16:51:14</t>
        </is>
      </c>
      <c r="F1432" t="inlineStr">
        <is>
          <t>666</t>
        </is>
      </c>
    </row>
    <row r="1433">
      <c r="A1433" t="inlineStr">
        <is>
          <t>VELA NORIEGA RISBELTO  T0001344.pdf</t>
        </is>
      </c>
      <c r="B1433">
        <f>HYPERLINK("C:\Users\lmonroy\Tema\PLANILLA\BoletasPDF16-31\VELA NORIEGA RISBELTO  T0001344.pdf", "Link")</f>
        <v/>
      </c>
      <c r="C1433" t="n">
        <v>166143</v>
      </c>
      <c r="D1433" t="inlineStr">
        <is>
          <t>2024-03-18 16:50:20</t>
        </is>
      </c>
      <c r="E1433" t="inlineStr">
        <is>
          <t>2024-03-18 16:42:20</t>
        </is>
      </c>
      <c r="F1433" t="inlineStr">
        <is>
          <t>666</t>
        </is>
      </c>
    </row>
    <row r="1434">
      <c r="A1434" t="inlineStr">
        <is>
          <t>VELA NURIBE DANIEL  T0001345.pdf</t>
        </is>
      </c>
      <c r="B1434">
        <f>HYPERLINK("C:\Users\lmonroy\Tema\PLANILLA\BoletasPDF16-31\VELA NURIBE DANIEL  T0001345.pdf", "Link")</f>
        <v/>
      </c>
      <c r="C1434" t="n">
        <v>166136</v>
      </c>
      <c r="D1434" t="inlineStr">
        <is>
          <t>2024-03-18 16:51:46</t>
        </is>
      </c>
      <c r="E1434" t="inlineStr">
        <is>
          <t>2024-03-18 16:51:46</t>
        </is>
      </c>
      <c r="F1434" t="inlineStr">
        <is>
          <t>666</t>
        </is>
      </c>
    </row>
    <row r="1435">
      <c r="A1435" t="inlineStr">
        <is>
          <t>VELA NURIBE JORGE  T0001325.pdf</t>
        </is>
      </c>
      <c r="B1435">
        <f>HYPERLINK("C:\Users\lmonroy\Tema\PLANILLA\BoletasPDF16-31\VELA NURIBE JORGE  T0001325.pdf", "Link")</f>
        <v/>
      </c>
      <c r="C1435" t="n">
        <v>166318</v>
      </c>
      <c r="D1435" t="inlineStr">
        <is>
          <t>2024-03-18 16:50:28</t>
        </is>
      </c>
      <c r="E1435" t="inlineStr">
        <is>
          <t>2024-03-18 16:50:28</t>
        </is>
      </c>
      <c r="F1435" t="inlineStr">
        <is>
          <t>666</t>
        </is>
      </c>
    </row>
    <row r="1436">
      <c r="A1436" t="inlineStr">
        <is>
          <t>VELA OJAICATE GILBERTO  T0001347.pdf</t>
        </is>
      </c>
      <c r="B1436">
        <f>HYPERLINK("C:\Users\lmonroy\Tema\PLANILLA\BoletasPDF16-31\VELA OJAICATE GILBERTO  T0001347.pdf", "Link")</f>
        <v/>
      </c>
      <c r="C1436" t="n">
        <v>166333</v>
      </c>
      <c r="D1436" t="inlineStr">
        <is>
          <t>2024-03-18 16:50:41</t>
        </is>
      </c>
      <c r="E1436" t="inlineStr">
        <is>
          <t>2024-03-18 16:50:41</t>
        </is>
      </c>
      <c r="F1436" t="inlineStr">
        <is>
          <t>666</t>
        </is>
      </c>
    </row>
    <row r="1437">
      <c r="A1437" t="inlineStr">
        <is>
          <t>VELA OJAICURO CARLOS  T0001348.pdf</t>
        </is>
      </c>
      <c r="B1437">
        <f>HYPERLINK("C:\Users\lmonroy\Tema\PLANILLA\BoletasPDF16-31\VELA OJAICURO CARLOS  T0001348.pdf", "Link")</f>
        <v/>
      </c>
      <c r="C1437" t="n">
        <v>166140</v>
      </c>
      <c r="D1437" t="inlineStr">
        <is>
          <t>2024-03-18 16:52:34</t>
        </is>
      </c>
      <c r="E1437" t="inlineStr">
        <is>
          <t>2024-03-18 16:52:34</t>
        </is>
      </c>
      <c r="F1437" t="inlineStr">
        <is>
          <t>666</t>
        </is>
      </c>
    </row>
    <row r="1438">
      <c r="A1438" t="inlineStr">
        <is>
          <t>VELA OJAICURO ROY  T0001349.pdf</t>
        </is>
      </c>
      <c r="B1438">
        <f>HYPERLINK("C:\Users\lmonroy\Tema\PLANILLA\BoletasPDF16-31\VELA OJAICURO ROY  T0001349.pdf", "Link")</f>
        <v/>
      </c>
      <c r="C1438" t="n">
        <v>166159</v>
      </c>
      <c r="D1438" t="inlineStr">
        <is>
          <t>2024-03-18 16:52:14</t>
        </is>
      </c>
      <c r="E1438" t="inlineStr">
        <is>
          <t>2024-03-18 16:52:14</t>
        </is>
      </c>
      <c r="F1438" t="inlineStr">
        <is>
          <t>666</t>
        </is>
      </c>
    </row>
    <row r="1439">
      <c r="A1439" t="inlineStr">
        <is>
          <t>VELA OJEYCATE ENRIQUE  T0001350.pdf</t>
        </is>
      </c>
      <c r="B1439">
        <f>HYPERLINK("C:\Users\lmonroy\Tema\PLANILLA\BoletasPDF16-31\VELA OJEYCATE ENRIQUE  T0001350.pdf", "Link")</f>
        <v/>
      </c>
      <c r="C1439" t="n">
        <v>166157</v>
      </c>
      <c r="D1439" t="inlineStr">
        <is>
          <t>2024-03-18 16:50:49</t>
        </is>
      </c>
      <c r="E1439" t="inlineStr">
        <is>
          <t>2024-03-18 16:50:49</t>
        </is>
      </c>
      <c r="F1439" t="inlineStr">
        <is>
          <t>666</t>
        </is>
      </c>
    </row>
    <row r="1440">
      <c r="A1440" t="inlineStr">
        <is>
          <t>VELA TARICUARIMA EDGAR  T0001352.pdf</t>
        </is>
      </c>
      <c r="B1440">
        <f>HYPERLINK("C:\Users\lmonroy\Tema\PLANILLA\BoletasPDF16-31\VELA TARICUARIMA EDGAR  T0001352.pdf", "Link")</f>
        <v/>
      </c>
      <c r="C1440" t="n">
        <v>166142</v>
      </c>
      <c r="D1440" t="inlineStr">
        <is>
          <t>2024-03-18 16:53:32</t>
        </is>
      </c>
      <c r="E1440" t="inlineStr">
        <is>
          <t>2024-03-18 16:53:32</t>
        </is>
      </c>
      <c r="F1440" t="inlineStr">
        <is>
          <t>666</t>
        </is>
      </c>
    </row>
    <row r="1441">
      <c r="A1441" t="inlineStr">
        <is>
          <t>VELASQUEZ RODRIGUEZ ROMEL T0001470.pdf</t>
        </is>
      </c>
      <c r="B1441">
        <f>HYPERLINK("C:\Users\lmonroy\Tema\PLANILLA\BoletasPDF16-31\VELASQUEZ RODRIGUEZ ROMEL T0001470.pdf", "Link")</f>
        <v/>
      </c>
      <c r="C1441" t="n">
        <v>166296</v>
      </c>
      <c r="D1441" t="inlineStr">
        <is>
          <t>2024-03-18 16:53:11</t>
        </is>
      </c>
      <c r="E1441" t="inlineStr">
        <is>
          <t>2024-03-18 16:53:11</t>
        </is>
      </c>
      <c r="F1441" t="inlineStr">
        <is>
          <t>666</t>
        </is>
      </c>
    </row>
    <row r="1442">
      <c r="A1442" t="inlineStr">
        <is>
          <t>VELASQUEZ TAPULLIMA ELDER T0001471.pdf</t>
        </is>
      </c>
      <c r="B1442">
        <f>HYPERLINK("C:\Users\lmonroy\Tema\PLANILLA\BoletasPDF16-31\VELASQUEZ TAPULLIMA ELDER T0001471.pdf", "Link")</f>
        <v/>
      </c>
      <c r="C1442" t="n">
        <v>166351</v>
      </c>
      <c r="D1442" t="inlineStr">
        <is>
          <t>2024-03-18 16:50:36</t>
        </is>
      </c>
      <c r="E1442" t="inlineStr">
        <is>
          <t>2024-03-18 16:50:36</t>
        </is>
      </c>
      <c r="F1442" t="inlineStr">
        <is>
          <t>666</t>
        </is>
      </c>
    </row>
    <row r="1443">
      <c r="A1443" t="inlineStr">
        <is>
          <t>VICENTE AHUITE SANTIAGO T0001369.pdf</t>
        </is>
      </c>
      <c r="B1443">
        <f>HYPERLINK("C:\Users\lmonroy\Tema\PLANILLA\BoletasPDF16-31\VICENTE AHUITE SANTIAGO T0001369.pdf", "Link")</f>
        <v/>
      </c>
      <c r="C1443" t="n">
        <v>166157</v>
      </c>
      <c r="D1443" t="inlineStr">
        <is>
          <t>2024-03-18 16:51:51</t>
        </is>
      </c>
      <c r="E1443" t="inlineStr">
        <is>
          <t>2024-03-18 16:51:51</t>
        </is>
      </c>
      <c r="F1443" t="inlineStr">
        <is>
          <t>666</t>
        </is>
      </c>
    </row>
    <row r="1444">
      <c r="A1444" t="inlineStr">
        <is>
          <t>VILCA RAMIREZ PEDRO  T0001358.pdf</t>
        </is>
      </c>
      <c r="B1444">
        <f>HYPERLINK("C:\Users\lmonroy\Tema\PLANILLA\BoletasPDF16-31\VILCA RAMIREZ PEDRO  T0001358.pdf", "Link")</f>
        <v/>
      </c>
      <c r="C1444" t="n">
        <v>166319</v>
      </c>
      <c r="D1444" t="inlineStr">
        <is>
          <t>2024-03-18 16:51:10</t>
        </is>
      </c>
      <c r="E1444" t="inlineStr">
        <is>
          <t>2024-03-18 16:51:10</t>
        </is>
      </c>
      <c r="F1444" t="inlineStr">
        <is>
          <t>666</t>
        </is>
      </c>
    </row>
    <row r="1445">
      <c r="A1445" t="inlineStr">
        <is>
          <t>YAHUARCANI SILVA MAGNER  T0001361.pdf</t>
        </is>
      </c>
      <c r="B1445">
        <f>HYPERLINK("C:\Users\lmonroy\Tema\PLANILLA\BoletasPDF16-31\YAHUARCANI SILVA MAGNER  T0001361.pdf", "Link")</f>
        <v/>
      </c>
      <c r="C1445" t="n">
        <v>166166</v>
      </c>
      <c r="D1445" t="inlineStr">
        <is>
          <t>2024-03-18 16:51:05</t>
        </is>
      </c>
      <c r="E1445" t="inlineStr">
        <is>
          <t>2024-03-18 16:51:05</t>
        </is>
      </c>
      <c r="F1445" t="inlineStr">
        <is>
          <t>666</t>
        </is>
      </c>
    </row>
    <row r="1446">
      <c r="A1446" t="inlineStr">
        <is>
          <t>YAHUARCANI SILVA WILDER EDUARDO T0001362.pdf</t>
        </is>
      </c>
      <c r="B1446">
        <f>HYPERLINK("C:\Users\lmonroy\Tema\PLANILLA\BoletasPDF16-31\YAHUARCANI SILVA WILDER EDUARDO T0001362.pdf", "Link")</f>
        <v/>
      </c>
      <c r="C1446" t="n">
        <v>166170</v>
      </c>
      <c r="D1446" t="inlineStr">
        <is>
          <t>2024-03-18 16:51:56</t>
        </is>
      </c>
      <c r="E1446" t="inlineStr">
        <is>
          <t>2024-03-18 16:51:56</t>
        </is>
      </c>
      <c r="F1446" t="inlineStr">
        <is>
          <t>666</t>
        </is>
      </c>
    </row>
    <row r="1447">
      <c r="A1447" t="inlineStr">
        <is>
          <t>YAICATE CLEMENTE MARIO  T0001363.pdf</t>
        </is>
      </c>
      <c r="B1447">
        <f>HYPERLINK("C:\Users\lmonroy\Tema\PLANILLA\BoletasPDF16-31\YAICATE CLEMENTE MARIO  T0001363.pdf", "Link")</f>
        <v/>
      </c>
      <c r="C1447" t="n">
        <v>166146</v>
      </c>
      <c r="D1447" t="inlineStr">
        <is>
          <t>2024-03-18 16:51:34</t>
        </is>
      </c>
      <c r="E1447" t="inlineStr">
        <is>
          <t>2024-03-18 16:51:34</t>
        </is>
      </c>
      <c r="F1447" t="inlineStr">
        <is>
          <t>666</t>
        </is>
      </c>
    </row>
    <row r="1448">
      <c r="A1448" t="inlineStr">
        <is>
          <t>YAICATE CUNAYAPA NEMESIO  T0001365.pdf</t>
        </is>
      </c>
      <c r="B1448">
        <f>HYPERLINK("C:\Users\lmonroy\Tema\PLANILLA\BoletasPDF16-31\YAICATE CUNAYAPA NEMESIO  T0001365.pdf", "Link")</f>
        <v/>
      </c>
      <c r="C1448" t="n">
        <v>166148</v>
      </c>
      <c r="D1448" t="inlineStr">
        <is>
          <t>2024-03-18 16:51:42</t>
        </is>
      </c>
      <c r="E1448" t="inlineStr">
        <is>
          <t>2024-03-18 16:51:42</t>
        </is>
      </c>
      <c r="F1448" t="inlineStr">
        <is>
          <t>666</t>
        </is>
      </c>
    </row>
    <row r="1449">
      <c r="A1449" t="inlineStr">
        <is>
          <t>YAICATE CURICO MOISES  T0001366.pdf</t>
        </is>
      </c>
      <c r="B1449">
        <f>HYPERLINK("C:\Users\lmonroy\Tema\PLANILLA\BoletasPDF16-31\YAICATE CURICO MOISES  T0001366.pdf", "Link")</f>
        <v/>
      </c>
      <c r="C1449" t="n">
        <v>166147</v>
      </c>
      <c r="D1449" t="inlineStr">
        <is>
          <t>2024-03-18 16:51:09</t>
        </is>
      </c>
      <c r="E1449" t="inlineStr">
        <is>
          <t>2024-03-18 16:51:09</t>
        </is>
      </c>
      <c r="F1449" t="inlineStr">
        <is>
          <t>666</t>
        </is>
      </c>
    </row>
    <row r="1450">
      <c r="A1450" t="inlineStr">
        <is>
          <t>Boletas 1 - 15 Dic.rar</t>
        </is>
      </c>
      <c r="B1450">
        <f>HYPERLINK("C:\Users\lmonroy\Tema\PLANILLAS\Boletas 1 - 15 Dic.rar", "Link")</f>
        <v/>
      </c>
      <c r="C1450" t="n">
        <v>39598115</v>
      </c>
      <c r="D1450" t="inlineStr">
        <is>
          <t>2024-03-27 10:31:37</t>
        </is>
      </c>
      <c r="E1450" t="inlineStr">
        <is>
          <t>2024-03-27 10:31:35</t>
        </is>
      </c>
      <c r="F1450" t="inlineStr">
        <is>
          <t>666</t>
        </is>
      </c>
    </row>
    <row r="1451">
      <c r="A1451" t="inlineStr">
        <is>
          <t>Boletas 16 - 31 Dic.rar</t>
        </is>
      </c>
      <c r="B1451">
        <f>HYPERLINK("C:\Users\lmonroy\Tema\PLANILLAS\Boletas 16 - 31 Dic.rar", "Link")</f>
        <v/>
      </c>
      <c r="C1451" t="n">
        <v>51385419</v>
      </c>
      <c r="D1451" t="inlineStr">
        <is>
          <t>2024-03-27 10:21:15</t>
        </is>
      </c>
      <c r="E1451" t="inlineStr">
        <is>
          <t>2024-03-27 10:21:13</t>
        </is>
      </c>
      <c r="F1451" t="inlineStr">
        <is>
          <t>666</t>
        </is>
      </c>
    </row>
    <row r="1452">
      <c r="A1452" t="inlineStr">
        <is>
          <t>PLLA SUELDO DICIEMBRE 2023 - CCNN - 1 - 15.xlsm</t>
        </is>
      </c>
      <c r="B1452">
        <f>HYPERLINK("C:\Users\lmonroy\Tema\PLANILLAS\PLLA SUELDO DICIEMBRE 2023 - CCNN - 1 - 15.xlsm", "Link")</f>
        <v/>
      </c>
      <c r="C1452" t="n">
        <v>2067427</v>
      </c>
      <c r="D1452" t="inlineStr">
        <is>
          <t>2024-03-27 13:04:18</t>
        </is>
      </c>
      <c r="E1452" t="inlineStr">
        <is>
          <t>2024-03-27 09:18:15</t>
        </is>
      </c>
      <c r="F1452" t="inlineStr">
        <is>
          <t>666</t>
        </is>
      </c>
    </row>
    <row r="1453">
      <c r="A1453" t="inlineStr">
        <is>
          <t>PLLA SUELDO DICIEMBRE 2023 - CCNN - 16 - 31.xlsm</t>
        </is>
      </c>
      <c r="B1453">
        <f>HYPERLINK("C:\Users\lmonroy\Tema\PLANILLAS\PLLA SUELDO DICIEMBRE 2023 - CCNN - 16 - 31.xlsm", "Link")</f>
        <v/>
      </c>
      <c r="C1453" t="n">
        <v>2307410</v>
      </c>
      <c r="D1453" t="inlineStr">
        <is>
          <t>2024-03-27 10:23:09</t>
        </is>
      </c>
      <c r="E1453" t="inlineStr">
        <is>
          <t>2024-03-27 09:30:03</t>
        </is>
      </c>
      <c r="F1453" t="inlineStr">
        <is>
          <t>666</t>
        </is>
      </c>
    </row>
    <row r="1454">
      <c r="A1454" t="inlineStr">
        <is>
          <t>FERIADOS CCNN - DICIEMBRE - 2023.xlsx</t>
        </is>
      </c>
      <c r="B1454">
        <f>HYPERLINK("C:\Users\lmonroy\Tema\PLANILLAS\122023\FERIADOS CCNN - DICIEMBRE - 2023.xlsx", "Link")</f>
        <v/>
      </c>
      <c r="C1454" t="n">
        <v>46698</v>
      </c>
      <c r="D1454" t="inlineStr">
        <is>
          <t>2024-03-05 09:18:12</t>
        </is>
      </c>
      <c r="E1454" t="inlineStr">
        <is>
          <t>2024-03-27 10:23:53</t>
        </is>
      </c>
      <c r="F1454" t="inlineStr">
        <is>
          <t>666</t>
        </is>
      </c>
    </row>
    <row r="1455">
      <c r="A1455" t="inlineStr">
        <is>
          <t>HH EE PAGADAS.xlsx</t>
        </is>
      </c>
      <c r="B1455">
        <f>HYPERLINK("C:\Users\lmonroy\Tema\PLANILLAS\122023\HH EE PAGADAS.xlsx", "Link")</f>
        <v/>
      </c>
      <c r="C1455" t="n">
        <v>90996</v>
      </c>
      <c r="D1455" t="inlineStr">
        <is>
          <t>2024-02-08 15:52:34</t>
        </is>
      </c>
      <c r="E1455" t="inlineStr">
        <is>
          <t>2024-03-27 10:23:53</t>
        </is>
      </c>
      <c r="F1455" t="inlineStr">
        <is>
          <t>666</t>
        </is>
      </c>
    </row>
    <row r="1456">
      <c r="A1456" t="inlineStr">
        <is>
          <t>PLLA SUELDO DICIEMBRE 2023 - CCNN - 1 - 15.xlsm</t>
        </is>
      </c>
      <c r="B1456">
        <f>HYPERLINK("C:\Users\lmonroy\Tema\PLANILLAS\122023\PLLA SUELDO DICIEMBRE 2023 - CCNN - 1 - 15.xlsm", "Link")</f>
        <v/>
      </c>
      <c r="C1456" t="n">
        <v>2067425</v>
      </c>
      <c r="D1456" t="inlineStr">
        <is>
          <t>2024-02-13 17:06:21</t>
        </is>
      </c>
      <c r="E1456" t="inlineStr">
        <is>
          <t>2024-03-27 10:23:53</t>
        </is>
      </c>
      <c r="F1456" t="inlineStr">
        <is>
          <t>666</t>
        </is>
      </c>
    </row>
    <row r="1457">
      <c r="A1457" t="inlineStr">
        <is>
          <t>PLLA SUELDO DICIEMBRE 2023 - CCNN - 16 - 31.xlsm</t>
        </is>
      </c>
      <c r="B1457">
        <f>HYPERLINK("C:\Users\lmonroy\Tema\PLANILLAS\122023\PLLA SUELDO DICIEMBRE 2023 - CCNN - 16 - 31.xlsm", "Link")</f>
        <v/>
      </c>
      <c r="C1457" t="n">
        <v>2302379</v>
      </c>
      <c r="D1457" t="inlineStr">
        <is>
          <t>2024-01-22 09:35:07</t>
        </is>
      </c>
      <c r="E1457" t="inlineStr">
        <is>
          <t>2024-03-27 10:23:53</t>
        </is>
      </c>
      <c r="F1457" t="inlineStr">
        <is>
          <t>666</t>
        </is>
      </c>
    </row>
    <row r="1458">
      <c r="A1458" t="inlineStr">
        <is>
          <t>PLLA SUELDO DICIEMBRE 2023 - CCNN - BAJAS 17 DIC.xlsm</t>
        </is>
      </c>
      <c r="B1458">
        <f>HYPERLINK("C:\Users\lmonroy\Tema\PLANILLAS\122023\PLLA SUELDO DICIEMBRE 2023 - CCNN - BAJAS 17 DIC.xlsm", "Link")</f>
        <v/>
      </c>
      <c r="C1458" t="n">
        <v>1567565</v>
      </c>
      <c r="D1458" t="inlineStr">
        <is>
          <t>2023-12-20 11:03:04</t>
        </is>
      </c>
      <c r="E1458" t="inlineStr">
        <is>
          <t>2024-03-27 10:23:53</t>
        </is>
      </c>
      <c r="F1458" t="inlineStr">
        <is>
          <t>666</t>
        </is>
      </c>
    </row>
    <row r="1459">
      <c r="A1459" t="inlineStr">
        <is>
          <t>~$PLLA SUELDO DICIEMBRE 2023 - CCNN - 1 - 15.xlsm</t>
        </is>
      </c>
      <c r="B1459">
        <f>HYPERLINK("C:\Users\lmonroy\Tema\PLANILLAS\122023\~$PLLA SUELDO DICIEMBRE 2023 - CCNN - 1 - 15.xlsm", "Link")</f>
        <v/>
      </c>
      <c r="C1459" t="n">
        <v>165</v>
      </c>
      <c r="D1459" t="inlineStr">
        <is>
          <t>2024-03-27 10:23:33</t>
        </is>
      </c>
      <c r="E1459" t="inlineStr">
        <is>
          <t>2024-03-27 10:23:54</t>
        </is>
      </c>
      <c r="F1459" t="inlineStr">
        <is>
          <t>666</t>
        </is>
      </c>
    </row>
    <row r="1460">
      <c r="A1460" t="inlineStr">
        <is>
          <t>PLANILLA SUELDO NOVIEMBRE 2023 - GENERAL.xlsm</t>
        </is>
      </c>
      <c r="B1460">
        <f>HYPERLINK("C:\Users\lmonroy\Tema\PLANILLAS\2023\112023\PLANILLA SUELDO NOVIEMBRE 2023 - GENERAL.xlsm", "Link")</f>
        <v/>
      </c>
      <c r="C1460" t="n">
        <v>2198619</v>
      </c>
      <c r="D1460" t="inlineStr">
        <is>
          <t>2024-01-12 19:38:23</t>
        </is>
      </c>
      <c r="E1460" t="inlineStr">
        <is>
          <t>2024-01-12 19:38:21</t>
        </is>
      </c>
      <c r="F1460" t="inlineStr">
        <is>
          <t>666</t>
        </is>
      </c>
    </row>
    <row r="1461">
      <c r="A1461" t="inlineStr">
        <is>
          <t>PLANILLA SUELDO NOVIEMBRE 2023 - STAFF PROYECTO.xlsm</t>
        </is>
      </c>
      <c r="B1461">
        <f>HYPERLINK("C:\Users\lmonroy\Tema\PLANILLAS\2023\112023\PLANILLA SUELDO NOVIEMBRE 2023 - STAFF PROYECTO.xlsm", "Link")</f>
        <v/>
      </c>
      <c r="C1461" t="n">
        <v>1026989</v>
      </c>
      <c r="D1461" t="inlineStr">
        <is>
          <t>2023-12-29 11:23:58</t>
        </is>
      </c>
      <c r="E1461" t="inlineStr">
        <is>
          <t>2023-12-08 19:36:10</t>
        </is>
      </c>
      <c r="F1461" t="inlineStr">
        <is>
          <t>666</t>
        </is>
      </c>
    </row>
    <row r="1462">
      <c r="A1462" t="inlineStr">
        <is>
          <t>PLLA SUELDO NOVIEMBRE 2023 - CCNN.xlsm</t>
        </is>
      </c>
      <c r="B1462">
        <f>HYPERLINK("C:\Users\lmonroy\Tema\PLANILLAS\2023\112023\PLLA SUELDO NOVIEMBRE 2023 - CCNN.xlsm", "Link")</f>
        <v/>
      </c>
      <c r="C1462" t="n">
        <v>1928036</v>
      </c>
      <c r="D1462" t="inlineStr">
        <is>
          <t>2023-12-21 08:47:42</t>
        </is>
      </c>
      <c r="E1462" t="inlineStr">
        <is>
          <t>2023-11-29 14:39:34</t>
        </is>
      </c>
      <c r="F1462" t="inlineStr">
        <is>
          <t>666</t>
        </is>
      </c>
    </row>
    <row r="1463">
      <c r="A1463" t="inlineStr">
        <is>
          <t>CCNN PLANILLAS - DICIEMBRE.xlsx</t>
        </is>
      </c>
      <c r="B1463">
        <f>HYPERLINK("C:\Users\lmonroy\Tema\PLANILLAS\2023\122023\CCNN PLANILLAS - DICIEMBRE.xlsx", "Link")</f>
        <v/>
      </c>
      <c r="C1463" t="n">
        <v>1727639</v>
      </c>
      <c r="D1463" t="inlineStr">
        <is>
          <t>2024-01-22 09:54:36</t>
        </is>
      </c>
      <c r="E1463" t="inlineStr">
        <is>
          <t>2024-01-10 12:36:00</t>
        </is>
      </c>
      <c r="F1463" t="inlineStr">
        <is>
          <t>666</t>
        </is>
      </c>
    </row>
    <row r="1464">
      <c r="A1464" t="inlineStr">
        <is>
          <t>PLANILLA SUELDO DICIEMBRE 2023 - GENERAL.xlsm</t>
        </is>
      </c>
      <c r="B1464">
        <f>HYPERLINK("C:\Users\lmonroy\Tema\PLANILLAS\2023\122023\PLANILLA SUELDO DICIEMBRE 2023 - GENERAL.xlsm", "Link")</f>
        <v/>
      </c>
      <c r="C1464" t="n">
        <v>2053046</v>
      </c>
      <c r="D1464" t="inlineStr">
        <is>
          <t>2024-01-23 09:11:43</t>
        </is>
      </c>
      <c r="E1464" t="inlineStr">
        <is>
          <t>2024-01-12 19:34:38</t>
        </is>
      </c>
      <c r="F1464" t="inlineStr">
        <is>
          <t>666</t>
        </is>
      </c>
    </row>
    <row r="1465">
      <c r="A1465" t="inlineStr">
        <is>
          <t>PLANILLA SUELDO DICIEMBRE 2023 - STAFF PROYECTO 62531.xlsm</t>
        </is>
      </c>
      <c r="B1465">
        <f>HYPERLINK("C:\Users\lmonroy\Tema\PLANILLAS\2023\122023\PLANILLA SUELDO DICIEMBRE 2023 - STAFF PROYECTO 62531.xlsm", "Link")</f>
        <v/>
      </c>
      <c r="C1465" t="n">
        <v>1344911</v>
      </c>
      <c r="D1465" t="inlineStr">
        <is>
          <t>2024-01-22 09:54:03</t>
        </is>
      </c>
      <c r="E1465" t="inlineStr">
        <is>
          <t>2023-12-29 10:46:05</t>
        </is>
      </c>
      <c r="F1465" t="inlineStr">
        <is>
          <t>666</t>
        </is>
      </c>
    </row>
    <row r="1466">
      <c r="A1466" t="inlineStr">
        <is>
          <t>PLLA SUELDO DICIEMBRE 2023 - CCNN - 1 - 15.xlsm</t>
        </is>
      </c>
      <c r="B1466">
        <f>HYPERLINK("C:\Users\lmonroy\Tema\PLANILLAS\2023\122023\PLLA SUELDO DICIEMBRE 2023 - CCNN - 1 - 15.xlsm", "Link")</f>
        <v/>
      </c>
      <c r="C1466" t="n">
        <v>2092293</v>
      </c>
      <c r="D1466" t="inlineStr">
        <is>
          <t>2024-01-10 12:45:14</t>
        </is>
      </c>
      <c r="E1466" t="inlineStr">
        <is>
          <t>2024-01-08 17:51:12</t>
        </is>
      </c>
      <c r="F1466" t="inlineStr">
        <is>
          <t>666</t>
        </is>
      </c>
    </row>
    <row r="1467">
      <c r="A1467" t="inlineStr">
        <is>
          <t>PLLA SUELDO DICIEMBRE 2023 - CCNN - 16 - 31.xlsm</t>
        </is>
      </c>
      <c r="B1467">
        <f>HYPERLINK("C:\Users\lmonroy\Tema\PLANILLAS\2023\122023\PLLA SUELDO DICIEMBRE 2023 - CCNN - 16 - 31.xlsm", "Link")</f>
        <v/>
      </c>
      <c r="C1467" t="n">
        <v>2364004</v>
      </c>
      <c r="D1467" t="inlineStr">
        <is>
          <t>2024-01-10 12:19:02</t>
        </is>
      </c>
      <c r="E1467" t="inlineStr">
        <is>
          <t>2024-01-08 17:49:35</t>
        </is>
      </c>
      <c r="F1467" t="inlineStr">
        <is>
          <t>666</t>
        </is>
      </c>
    </row>
    <row r="1468">
      <c r="A1468" t="inlineStr">
        <is>
          <t>PLLA SUELDO DICIEMBRE 2023 - CCNN - BAJAS.xlsm</t>
        </is>
      </c>
      <c r="B1468">
        <f>HYPERLINK("C:\Users\lmonroy\Tema\PLANILLAS\2023\122023\PLLA SUELDO DICIEMBRE 2023 - CCNN - BAJAS.xlsm", "Link")</f>
        <v/>
      </c>
      <c r="C1468" t="n">
        <v>1567565</v>
      </c>
      <c r="D1468" t="inlineStr">
        <is>
          <t>2023-12-20 11:03:04</t>
        </is>
      </c>
      <c r="E1468" t="inlineStr">
        <is>
          <t>2023-12-19 17:54:39</t>
        </is>
      </c>
      <c r="F1468" t="inlineStr">
        <is>
          <t>666</t>
        </is>
      </c>
    </row>
    <row r="1469">
      <c r="A1469" t="inlineStr">
        <is>
          <t>PLLA SUELDO DICIEMBRE 2023 - CCNN - FERIADOS.xlsm</t>
        </is>
      </c>
      <c r="B1469">
        <f>HYPERLINK("C:\Users\lmonroy\Tema\PLANILLAS\2023\122023\PLLA SUELDO DICIEMBRE 2023 - CCNN - FERIADOS.xlsm", "Link")</f>
        <v/>
      </c>
      <c r="C1469" t="n">
        <v>2080811</v>
      </c>
      <c r="D1469" t="inlineStr">
        <is>
          <t>2023-12-27 11:10:10</t>
        </is>
      </c>
      <c r="E1469" t="inlineStr">
        <is>
          <t>2023-12-27 10:25:12</t>
        </is>
      </c>
      <c r="F1469" t="inlineStr">
        <is>
          <t>666</t>
        </is>
      </c>
    </row>
    <row r="1470">
      <c r="A1470" t="inlineStr">
        <is>
          <t>PLLA SUELDO DICIEMBRE 2023 - CCNN.xlsm</t>
        </is>
      </c>
      <c r="B1470">
        <f>HYPERLINK("C:\Users\lmonroy\Tema\PLANILLAS\2023\122023\PLLA SUELDO DICIEMBRE 2023 - CCNN.xlsm", "Link")</f>
        <v/>
      </c>
      <c r="C1470" t="n">
        <v>2067766</v>
      </c>
      <c r="D1470" t="inlineStr">
        <is>
          <t>2023-12-26 23:33:58</t>
        </is>
      </c>
      <c r="E1470" t="inlineStr">
        <is>
          <t>2023-12-13 22:38:31</t>
        </is>
      </c>
      <c r="F1470" t="inlineStr">
        <is>
          <t>666</t>
        </is>
      </c>
    </row>
    <row r="1471">
      <c r="A1471" t="inlineStr">
        <is>
          <t>BoletasPDF-CCNN.rar</t>
        </is>
      </c>
      <c r="B1471">
        <f>HYPERLINK("C:\Users\lmonroy\Tema\PLANILLAS\2024\BoletasPDF-CCNN.rar", "Link")</f>
        <v/>
      </c>
      <c r="C1471" t="n">
        <v>54260772</v>
      </c>
      <c r="D1471" t="inlineStr">
        <is>
          <t>2024-02-03 07:10:37</t>
        </is>
      </c>
      <c r="E1471" t="inlineStr">
        <is>
          <t>2024-02-03 07:10:35</t>
        </is>
      </c>
      <c r="F1471" t="inlineStr">
        <is>
          <t>666</t>
        </is>
      </c>
    </row>
    <row r="1472">
      <c r="A1472" t="inlineStr">
        <is>
          <t>BoletasPDF-STAFF.rar</t>
        </is>
      </c>
      <c r="B1472">
        <f>HYPERLINK("C:\Users\lmonroy\Tema\PLANILLAS\2024\BoletasPDF-STAFF.rar", "Link")</f>
        <v/>
      </c>
      <c r="C1472" t="n">
        <v>7591576</v>
      </c>
      <c r="D1472" t="inlineStr">
        <is>
          <t>2024-02-01 08:53:19</t>
        </is>
      </c>
      <c r="E1472" t="inlineStr">
        <is>
          <t>2024-02-01 08:53:19</t>
        </is>
      </c>
      <c r="F1472" t="inlineStr">
        <is>
          <t>666</t>
        </is>
      </c>
    </row>
    <row r="1473">
      <c r="A1473" t="inlineStr">
        <is>
          <t>PLANILLA SUELDO DICIEMBRE 2023 - GENERAL - 1.xlsm</t>
        </is>
      </c>
      <c r="B1473">
        <f>HYPERLINK("C:\Users\lmonroy\Tema\PLANILLAS\2024\PLANILLA SUELDO DICIEMBRE 2023 - GENERAL - 1.xlsm", "Link")</f>
        <v/>
      </c>
      <c r="C1473" t="n">
        <v>2053951</v>
      </c>
      <c r="D1473" t="inlineStr">
        <is>
          <t>2024-02-05 17:40:09</t>
        </is>
      </c>
      <c r="E1473" t="inlineStr">
        <is>
          <t>2024-02-05 17:40:08</t>
        </is>
      </c>
      <c r="F1473" t="inlineStr">
        <is>
          <t>666</t>
        </is>
      </c>
    </row>
    <row r="1474">
      <c r="A1474" t="inlineStr">
        <is>
          <t>PLANILLA SUELDO ENERO 2024 - GENERAL.xlsm</t>
        </is>
      </c>
      <c r="B1474">
        <f>HYPERLINK("C:\Users\lmonroy\Tema\PLANILLAS\2024\PLANILLA SUELDO ENERO 2024 - GENERAL.xlsm", "Link")</f>
        <v/>
      </c>
      <c r="C1474" t="n">
        <v>2224930</v>
      </c>
      <c r="D1474" t="inlineStr">
        <is>
          <t>2024-02-05 18:13:26</t>
        </is>
      </c>
      <c r="E1474" t="inlineStr">
        <is>
          <t>2024-02-01 14:12:55</t>
        </is>
      </c>
      <c r="F1474" t="inlineStr">
        <is>
          <t>666</t>
        </is>
      </c>
    </row>
    <row r="1475">
      <c r="A1475" t="inlineStr">
        <is>
          <t>PLANILLAS TEMA LITOCLEAN.xlsm</t>
        </is>
      </c>
      <c r="B1475">
        <f>HYPERLINK("C:\Users\lmonroy\Tema\PLANILLAS\2024\PLANILLAS TEMA LITOCLEAN.xlsm", "Link")</f>
        <v/>
      </c>
      <c r="C1475" t="n">
        <v>2158299</v>
      </c>
      <c r="D1475" t="inlineStr">
        <is>
          <t>2024-02-05 14:23:35</t>
        </is>
      </c>
      <c r="E1475" t="inlineStr">
        <is>
          <t>2024-01-19 17:38:27</t>
        </is>
      </c>
      <c r="F1475" t="inlineStr">
        <is>
          <t>666</t>
        </is>
      </c>
    </row>
    <row r="1476">
      <c r="A1476" t="inlineStr">
        <is>
          <t>PLLA SUELDO ENERO 2024 - CCNN.xlsm</t>
        </is>
      </c>
      <c r="B1476">
        <f>HYPERLINK("C:\Users\lmonroy\Tema\PLANILLAS\2024\PLLA SUELDO ENERO 2024 - CCNN.xlsm", "Link")</f>
        <v/>
      </c>
      <c r="C1476" t="n">
        <v>2136637</v>
      </c>
      <c r="D1476" t="inlineStr">
        <is>
          <t>2024-02-06 10:45:14</t>
        </is>
      </c>
      <c r="E1476" t="inlineStr">
        <is>
          <t>2024-02-07 14:38:34</t>
        </is>
      </c>
      <c r="F1476" t="inlineStr">
        <is>
          <t>666</t>
        </is>
      </c>
    </row>
    <row r="1477">
      <c r="A1477" t="inlineStr">
        <is>
          <t>PLLA SUELDO ENERO 2024 - STAFF.xlsm</t>
        </is>
      </c>
      <c r="B1477">
        <f>HYPERLINK("C:\Users\lmonroy\Tema\PLANILLAS\2024\PLLA SUELDO ENERO 2024 - STAFF.xlsm", "Link")</f>
        <v/>
      </c>
      <c r="C1477" t="n">
        <v>1153618</v>
      </c>
      <c r="D1477" t="inlineStr">
        <is>
          <t>2024-02-07 12:37:36</t>
        </is>
      </c>
      <c r="E1477" t="inlineStr">
        <is>
          <t>2024-02-07 14:37:29</t>
        </is>
      </c>
      <c r="F1477" t="inlineStr">
        <is>
          <t>666</t>
        </is>
      </c>
    </row>
    <row r="1478">
      <c r="A1478" t="inlineStr">
        <is>
          <t>Trabajadores Dependientes.xls</t>
        </is>
      </c>
      <c r="B1478">
        <f>HYPERLINK("C:\Users\lmonroy\Tema\PLANILLAS\2024\Trabajadores Dependientes.xls", "Link")</f>
        <v/>
      </c>
      <c r="C1478" t="n">
        <v>253440</v>
      </c>
      <c r="D1478" t="inlineStr">
        <is>
          <t>2024-01-29 17:20:20</t>
        </is>
      </c>
      <c r="E1478" t="inlineStr">
        <is>
          <t>2024-01-29 17:22:02</t>
        </is>
      </c>
      <c r="F1478" t="inlineStr">
        <is>
          <t>666</t>
        </is>
      </c>
    </row>
    <row r="1479">
      <c r="A1479" t="inlineStr">
        <is>
          <t>Boleta_T0001015.pdf</t>
        </is>
      </c>
      <c r="B1479">
        <f>HYPERLINK("C:\Users\lmonroy\Tema\PLANILLAS\2024\BoletasPDF-CCNN\Boleta_T0001015.pdf", "Link")</f>
        <v/>
      </c>
      <c r="C1479" t="n">
        <v>162541</v>
      </c>
      <c r="D1479" t="inlineStr">
        <is>
          <t>2024-02-03 06:54:10</t>
        </is>
      </c>
      <c r="E1479" t="inlineStr">
        <is>
          <t>2024-02-03 06:54:10</t>
        </is>
      </c>
      <c r="F1479" t="inlineStr">
        <is>
          <t>666</t>
        </is>
      </c>
    </row>
    <row r="1480">
      <c r="A1480" t="inlineStr">
        <is>
          <t>Boleta_T0001016.pdf</t>
        </is>
      </c>
      <c r="B1480">
        <f>HYPERLINK("C:\Users\lmonroy\Tema\PLANILLAS\2024\BoletasPDF-CCNN\Boleta_T0001016.pdf", "Link")</f>
        <v/>
      </c>
      <c r="C1480" t="n">
        <v>162426</v>
      </c>
      <c r="D1480" t="inlineStr">
        <is>
          <t>2024-02-03 06:54:11</t>
        </is>
      </c>
      <c r="E1480" t="inlineStr">
        <is>
          <t>2024-02-03 06:54:11</t>
        </is>
      </c>
      <c r="F1480" t="inlineStr">
        <is>
          <t>666</t>
        </is>
      </c>
    </row>
    <row r="1481">
      <c r="A1481" t="inlineStr">
        <is>
          <t>Boleta_T0001018.pdf</t>
        </is>
      </c>
      <c r="B1481">
        <f>HYPERLINK("C:\Users\lmonroy\Tema\PLANILLAS\2024\BoletasPDF-CCNN\Boleta_T0001018.pdf", "Link")</f>
        <v/>
      </c>
      <c r="C1481" t="n">
        <v>162405</v>
      </c>
      <c r="D1481" t="inlineStr">
        <is>
          <t>2024-02-03 06:54:12</t>
        </is>
      </c>
      <c r="E1481" t="inlineStr">
        <is>
          <t>2024-02-03 06:54:12</t>
        </is>
      </c>
      <c r="F1481" t="inlineStr">
        <is>
          <t>666</t>
        </is>
      </c>
    </row>
    <row r="1482">
      <c r="A1482" t="inlineStr">
        <is>
          <t>Boleta_T0001019.pdf</t>
        </is>
      </c>
      <c r="B1482">
        <f>HYPERLINK("C:\Users\lmonroy\Tema\PLANILLAS\2024\BoletasPDF-CCNN\Boleta_T0001019.pdf", "Link")</f>
        <v/>
      </c>
      <c r="C1482" t="n">
        <v>162446</v>
      </c>
      <c r="D1482" t="inlineStr">
        <is>
          <t>2024-02-03 06:54:13</t>
        </is>
      </c>
      <c r="E1482" t="inlineStr">
        <is>
          <t>2024-02-03 06:54:13</t>
        </is>
      </c>
      <c r="F1482" t="inlineStr">
        <is>
          <t>666</t>
        </is>
      </c>
    </row>
    <row r="1483">
      <c r="A1483" t="inlineStr">
        <is>
          <t>Boleta_T0001022.pdf</t>
        </is>
      </c>
      <c r="B1483">
        <f>HYPERLINK("C:\Users\lmonroy\Tema\PLANILLAS\2024\BoletasPDF-CCNN\Boleta_T0001022.pdf", "Link")</f>
        <v/>
      </c>
      <c r="C1483" t="n">
        <v>162282</v>
      </c>
      <c r="D1483" t="inlineStr">
        <is>
          <t>2024-02-03 06:54:14</t>
        </is>
      </c>
      <c r="E1483" t="inlineStr">
        <is>
          <t>2024-02-03 06:54:14</t>
        </is>
      </c>
      <c r="F1483" t="inlineStr">
        <is>
          <t>666</t>
        </is>
      </c>
    </row>
    <row r="1484">
      <c r="A1484" t="inlineStr">
        <is>
          <t>Boleta_T0001023.pdf</t>
        </is>
      </c>
      <c r="B1484">
        <f>HYPERLINK("C:\Users\lmonroy\Tema\PLANILLAS\2024\BoletasPDF-CCNN\Boleta_T0001023.pdf", "Link")</f>
        <v/>
      </c>
      <c r="C1484" t="n">
        <v>162527</v>
      </c>
      <c r="D1484" t="inlineStr">
        <is>
          <t>2024-02-03 06:54:14</t>
        </is>
      </c>
      <c r="E1484" t="inlineStr">
        <is>
          <t>2024-02-03 06:54:14</t>
        </is>
      </c>
      <c r="F1484" t="inlineStr">
        <is>
          <t>666</t>
        </is>
      </c>
    </row>
    <row r="1485">
      <c r="A1485" t="inlineStr">
        <is>
          <t>Boleta_T0001024.pdf</t>
        </is>
      </c>
      <c r="B1485">
        <f>HYPERLINK("C:\Users\lmonroy\Tema\PLANILLAS\2024\BoletasPDF-CCNN\Boleta_T0001024.pdf", "Link")</f>
        <v/>
      </c>
      <c r="C1485" t="n">
        <v>162444</v>
      </c>
      <c r="D1485" t="inlineStr">
        <is>
          <t>2024-02-03 06:54:15</t>
        </is>
      </c>
      <c r="E1485" t="inlineStr">
        <is>
          <t>2024-02-03 06:54:15</t>
        </is>
      </c>
      <c r="F1485" t="inlineStr">
        <is>
          <t>666</t>
        </is>
      </c>
    </row>
    <row r="1486">
      <c r="A1486" t="inlineStr">
        <is>
          <t>Boleta_T0001025.pdf</t>
        </is>
      </c>
      <c r="B1486">
        <f>HYPERLINK("C:\Users\lmonroy\Tema\PLANILLAS\2024\BoletasPDF-CCNN\Boleta_T0001025.pdf", "Link")</f>
        <v/>
      </c>
      <c r="C1486" t="n">
        <v>162546</v>
      </c>
      <c r="D1486" t="inlineStr">
        <is>
          <t>2024-02-03 06:54:16</t>
        </is>
      </c>
      <c r="E1486" t="inlineStr">
        <is>
          <t>2024-02-03 06:54:16</t>
        </is>
      </c>
      <c r="F1486" t="inlineStr">
        <is>
          <t>666</t>
        </is>
      </c>
    </row>
    <row r="1487">
      <c r="A1487" t="inlineStr">
        <is>
          <t>Boleta_T0001026.pdf</t>
        </is>
      </c>
      <c r="B1487">
        <f>HYPERLINK("C:\Users\lmonroy\Tema\PLANILLAS\2024\BoletasPDF-CCNN\Boleta_T0001026.pdf", "Link")</f>
        <v/>
      </c>
      <c r="C1487" t="n">
        <v>162549</v>
      </c>
      <c r="D1487" t="inlineStr">
        <is>
          <t>2024-02-03 06:54:16</t>
        </is>
      </c>
      <c r="E1487" t="inlineStr">
        <is>
          <t>2024-02-03 06:54:16</t>
        </is>
      </c>
      <c r="F1487" t="inlineStr">
        <is>
          <t>666</t>
        </is>
      </c>
    </row>
    <row r="1488">
      <c r="A1488" t="inlineStr">
        <is>
          <t>Boleta_T0001033.pdf</t>
        </is>
      </c>
      <c r="B1488">
        <f>HYPERLINK("C:\Users\lmonroy\Tema\PLANILLAS\2024\BoletasPDF-CCNN\Boleta_T0001033.pdf", "Link")</f>
        <v/>
      </c>
      <c r="C1488" t="n">
        <v>162439</v>
      </c>
      <c r="D1488" t="inlineStr">
        <is>
          <t>2024-02-03 06:54:21</t>
        </is>
      </c>
      <c r="E1488" t="inlineStr">
        <is>
          <t>2024-02-03 06:54:21</t>
        </is>
      </c>
      <c r="F1488" t="inlineStr">
        <is>
          <t>666</t>
        </is>
      </c>
    </row>
    <row r="1489">
      <c r="A1489" t="inlineStr">
        <is>
          <t>Boleta_T0001035.pdf</t>
        </is>
      </c>
      <c r="B1489">
        <f>HYPERLINK("C:\Users\lmonroy\Tema\PLANILLAS\2024\BoletasPDF-CCNN\Boleta_T0001035.pdf", "Link")</f>
        <v/>
      </c>
      <c r="C1489" t="n">
        <v>162547</v>
      </c>
      <c r="D1489" t="inlineStr">
        <is>
          <t>2024-02-03 06:54:25</t>
        </is>
      </c>
      <c r="E1489" t="inlineStr">
        <is>
          <t>2024-02-03 06:54:25</t>
        </is>
      </c>
      <c r="F1489" t="inlineStr">
        <is>
          <t>666</t>
        </is>
      </c>
    </row>
    <row r="1490">
      <c r="A1490" t="inlineStr">
        <is>
          <t>Boleta_T0001036.pdf</t>
        </is>
      </c>
      <c r="B1490">
        <f>HYPERLINK("C:\Users\lmonroy\Tema\PLANILLAS\2024\BoletasPDF-CCNN\Boleta_T0001036.pdf", "Link")</f>
        <v/>
      </c>
      <c r="C1490" t="n">
        <v>162598</v>
      </c>
      <c r="D1490" t="inlineStr">
        <is>
          <t>2024-02-03 06:54:25</t>
        </is>
      </c>
      <c r="E1490" t="inlineStr">
        <is>
          <t>2024-02-03 06:54:25</t>
        </is>
      </c>
      <c r="F1490" t="inlineStr">
        <is>
          <t>666</t>
        </is>
      </c>
    </row>
    <row r="1491">
      <c r="A1491" t="inlineStr">
        <is>
          <t>Boleta_T0001037.pdf</t>
        </is>
      </c>
      <c r="B1491">
        <f>HYPERLINK("C:\Users\lmonroy\Tema\PLANILLAS\2024\BoletasPDF-CCNN\Boleta_T0001037.pdf", "Link")</f>
        <v/>
      </c>
      <c r="C1491" t="n">
        <v>162535</v>
      </c>
      <c r="D1491" t="inlineStr">
        <is>
          <t>2024-02-03 06:54:26</t>
        </is>
      </c>
      <c r="E1491" t="inlineStr">
        <is>
          <t>2024-02-03 06:54:26</t>
        </is>
      </c>
      <c r="F1491" t="inlineStr">
        <is>
          <t>666</t>
        </is>
      </c>
    </row>
    <row r="1492">
      <c r="A1492" t="inlineStr">
        <is>
          <t>Boleta_T0001038.pdf</t>
        </is>
      </c>
      <c r="B1492">
        <f>HYPERLINK("C:\Users\lmonroy\Tema\PLANILLAS\2024\BoletasPDF-CCNN\Boleta_T0001038.pdf", "Link")</f>
        <v/>
      </c>
      <c r="C1492" t="n">
        <v>162282</v>
      </c>
      <c r="D1492" t="inlineStr">
        <is>
          <t>2024-02-03 06:54:26</t>
        </is>
      </c>
      <c r="E1492" t="inlineStr">
        <is>
          <t>2024-02-03 06:54:26</t>
        </is>
      </c>
      <c r="F1492" t="inlineStr">
        <is>
          <t>666</t>
        </is>
      </c>
    </row>
    <row r="1493">
      <c r="A1493" t="inlineStr">
        <is>
          <t>Boleta_T0001039.pdf</t>
        </is>
      </c>
      <c r="B1493">
        <f>HYPERLINK("C:\Users\lmonroy\Tema\PLANILLAS\2024\BoletasPDF-CCNN\Boleta_T0001039.pdf", "Link")</f>
        <v/>
      </c>
      <c r="C1493" t="n">
        <v>162431</v>
      </c>
      <c r="D1493" t="inlineStr">
        <is>
          <t>2024-02-03 06:54:27</t>
        </is>
      </c>
      <c r="E1493" t="inlineStr">
        <is>
          <t>2024-02-03 06:54:27</t>
        </is>
      </c>
      <c r="F1493" t="inlineStr">
        <is>
          <t>666</t>
        </is>
      </c>
    </row>
    <row r="1494">
      <c r="A1494" t="inlineStr">
        <is>
          <t>Boleta_T0001040.pdf</t>
        </is>
      </c>
      <c r="B1494">
        <f>HYPERLINK("C:\Users\lmonroy\Tema\PLANILLAS\2024\BoletasPDF-CCNN\Boleta_T0001040.pdf", "Link")</f>
        <v/>
      </c>
      <c r="C1494" t="n">
        <v>162414</v>
      </c>
      <c r="D1494" t="inlineStr">
        <is>
          <t>2024-02-03 06:54:28</t>
        </is>
      </c>
      <c r="E1494" t="inlineStr">
        <is>
          <t>2024-02-03 06:54:28</t>
        </is>
      </c>
      <c r="F1494" t="inlineStr">
        <is>
          <t>666</t>
        </is>
      </c>
    </row>
    <row r="1495">
      <c r="A1495" t="inlineStr">
        <is>
          <t>Boleta_T0001041.pdf</t>
        </is>
      </c>
      <c r="B1495">
        <f>HYPERLINK("C:\Users\lmonroy\Tema\PLANILLAS\2024\BoletasPDF-CCNN\Boleta_T0001041.pdf", "Link")</f>
        <v/>
      </c>
      <c r="C1495" t="n">
        <v>162438</v>
      </c>
      <c r="D1495" t="inlineStr">
        <is>
          <t>2024-02-03 06:54:28</t>
        </is>
      </c>
      <c r="E1495" t="inlineStr">
        <is>
          <t>2024-02-03 06:54:28</t>
        </is>
      </c>
      <c r="F1495" t="inlineStr">
        <is>
          <t>666</t>
        </is>
      </c>
    </row>
    <row r="1496">
      <c r="A1496" t="inlineStr">
        <is>
          <t>Boleta_T0001042.pdf</t>
        </is>
      </c>
      <c r="B1496">
        <f>HYPERLINK("C:\Users\lmonroy\Tema\PLANILLAS\2024\BoletasPDF-CCNN\Boleta_T0001042.pdf", "Link")</f>
        <v/>
      </c>
      <c r="C1496" t="n">
        <v>162528</v>
      </c>
      <c r="D1496" t="inlineStr">
        <is>
          <t>2024-02-03 06:54:29</t>
        </is>
      </c>
      <c r="E1496" t="inlineStr">
        <is>
          <t>2024-02-03 06:54:29</t>
        </is>
      </c>
      <c r="F1496" t="inlineStr">
        <is>
          <t>666</t>
        </is>
      </c>
    </row>
    <row r="1497">
      <c r="A1497" t="inlineStr">
        <is>
          <t>Boleta_T0001043.pdf</t>
        </is>
      </c>
      <c r="B1497">
        <f>HYPERLINK("C:\Users\lmonroy\Tema\PLANILLAS\2024\BoletasPDF-CCNN\Boleta_T0001043.pdf", "Link")</f>
        <v/>
      </c>
      <c r="C1497" t="n">
        <v>162448</v>
      </c>
      <c r="D1497" t="inlineStr">
        <is>
          <t>2024-02-03 06:54:31</t>
        </is>
      </c>
      <c r="E1497" t="inlineStr">
        <is>
          <t>2024-02-03 06:54:30</t>
        </is>
      </c>
      <c r="F1497" t="inlineStr">
        <is>
          <t>666</t>
        </is>
      </c>
    </row>
    <row r="1498">
      <c r="A1498" t="inlineStr">
        <is>
          <t>Boleta_T0001044.pdf</t>
        </is>
      </c>
      <c r="B1498">
        <f>HYPERLINK("C:\Users\lmonroy\Tema\PLANILLAS\2024\BoletasPDF-CCNN\Boleta_T0001044.pdf", "Link")</f>
        <v/>
      </c>
      <c r="C1498" t="n">
        <v>162448</v>
      </c>
      <c r="D1498" t="inlineStr">
        <is>
          <t>2024-02-03 06:54:31</t>
        </is>
      </c>
      <c r="E1498" t="inlineStr">
        <is>
          <t>2024-02-03 06:54:31</t>
        </is>
      </c>
      <c r="F1498" t="inlineStr">
        <is>
          <t>666</t>
        </is>
      </c>
    </row>
    <row r="1499">
      <c r="A1499" t="inlineStr">
        <is>
          <t>Boleta_T0001045.pdf</t>
        </is>
      </c>
      <c r="B1499">
        <f>HYPERLINK("C:\Users\lmonroy\Tema\PLANILLAS\2024\BoletasPDF-CCNN\Boleta_T0001045.pdf", "Link")</f>
        <v/>
      </c>
      <c r="C1499" t="n">
        <v>162421</v>
      </c>
      <c r="D1499" t="inlineStr">
        <is>
          <t>2024-02-03 06:54:32</t>
        </is>
      </c>
      <c r="E1499" t="inlineStr">
        <is>
          <t>2024-02-03 06:54:32</t>
        </is>
      </c>
      <c r="F1499" t="inlineStr">
        <is>
          <t>666</t>
        </is>
      </c>
    </row>
    <row r="1500">
      <c r="A1500" t="inlineStr">
        <is>
          <t>Boleta_T0001046.pdf</t>
        </is>
      </c>
      <c r="B1500">
        <f>HYPERLINK("C:\Users\lmonroy\Tema\PLANILLAS\2024\BoletasPDF-CCNN\Boleta_T0001046.pdf", "Link")</f>
        <v/>
      </c>
      <c r="C1500" t="n">
        <v>162532</v>
      </c>
      <c r="D1500" t="inlineStr">
        <is>
          <t>2024-02-03 06:54:32</t>
        </is>
      </c>
      <c r="E1500" t="inlineStr">
        <is>
          <t>2024-02-03 06:54:32</t>
        </is>
      </c>
      <c r="F1500" t="inlineStr">
        <is>
          <t>666</t>
        </is>
      </c>
    </row>
    <row r="1501">
      <c r="A1501" t="inlineStr">
        <is>
          <t>Boleta_T0001047.pdf</t>
        </is>
      </c>
      <c r="B1501">
        <f>HYPERLINK("C:\Users\lmonroy\Tema\PLANILLAS\2024\BoletasPDF-CCNN\Boleta_T0001047.pdf", "Link")</f>
        <v/>
      </c>
      <c r="C1501" t="n">
        <v>162539</v>
      </c>
      <c r="D1501" t="inlineStr">
        <is>
          <t>2024-02-03 06:54:33</t>
        </is>
      </c>
      <c r="E1501" t="inlineStr">
        <is>
          <t>2024-02-03 06:54:33</t>
        </is>
      </c>
      <c r="F1501" t="inlineStr">
        <is>
          <t>666</t>
        </is>
      </c>
    </row>
    <row r="1502">
      <c r="A1502" t="inlineStr">
        <is>
          <t>Boleta_T0001048.pdf</t>
        </is>
      </c>
      <c r="B1502">
        <f>HYPERLINK("C:\Users\lmonroy\Tema\PLANILLAS\2024\BoletasPDF-CCNN\Boleta_T0001048.pdf", "Link")</f>
        <v/>
      </c>
      <c r="C1502" t="n">
        <v>162554</v>
      </c>
      <c r="D1502" t="inlineStr">
        <is>
          <t>2024-02-03 06:54:33</t>
        </is>
      </c>
      <c r="E1502" t="inlineStr">
        <is>
          <t>2024-02-03 06:54:33</t>
        </is>
      </c>
      <c r="F1502" t="inlineStr">
        <is>
          <t>666</t>
        </is>
      </c>
    </row>
    <row r="1503">
      <c r="A1503" t="inlineStr">
        <is>
          <t>Boleta_T0001049.pdf</t>
        </is>
      </c>
      <c r="B1503">
        <f>HYPERLINK("C:\Users\lmonroy\Tema\PLANILLAS\2024\BoletasPDF-CCNN\Boleta_T0001049.pdf", "Link")</f>
        <v/>
      </c>
      <c r="C1503" t="n">
        <v>162563</v>
      </c>
      <c r="D1503" t="inlineStr">
        <is>
          <t>2024-02-03 06:54:34</t>
        </is>
      </c>
      <c r="E1503" t="inlineStr">
        <is>
          <t>2024-02-03 06:54:34</t>
        </is>
      </c>
      <c r="F1503" t="inlineStr">
        <is>
          <t>666</t>
        </is>
      </c>
    </row>
    <row r="1504">
      <c r="A1504" t="inlineStr">
        <is>
          <t>Boleta_T0001050.pdf</t>
        </is>
      </c>
      <c r="B1504">
        <f>HYPERLINK("C:\Users\lmonroy\Tema\PLANILLAS\2024\BoletasPDF-CCNN\Boleta_T0001050.pdf", "Link")</f>
        <v/>
      </c>
      <c r="C1504" t="n">
        <v>162547</v>
      </c>
      <c r="D1504" t="inlineStr">
        <is>
          <t>2024-02-03 06:54:35</t>
        </is>
      </c>
      <c r="E1504" t="inlineStr">
        <is>
          <t>2024-02-03 06:54:35</t>
        </is>
      </c>
      <c r="F1504" t="inlineStr">
        <is>
          <t>666</t>
        </is>
      </c>
    </row>
    <row r="1505">
      <c r="A1505" t="inlineStr">
        <is>
          <t>Boleta_T0001051.pdf</t>
        </is>
      </c>
      <c r="B1505">
        <f>HYPERLINK("C:\Users\lmonroy\Tema\PLANILLAS\2024\BoletasPDF-CCNN\Boleta_T0001051.pdf", "Link")</f>
        <v/>
      </c>
      <c r="C1505" t="n">
        <v>162556</v>
      </c>
      <c r="D1505" t="inlineStr">
        <is>
          <t>2024-02-03 06:54:35</t>
        </is>
      </c>
      <c r="E1505" t="inlineStr">
        <is>
          <t>2024-02-03 06:54:35</t>
        </is>
      </c>
      <c r="F1505" t="inlineStr">
        <is>
          <t>666</t>
        </is>
      </c>
    </row>
    <row r="1506">
      <c r="A1506" t="inlineStr">
        <is>
          <t>Boleta_T0001052.pdf</t>
        </is>
      </c>
      <c r="B1506">
        <f>HYPERLINK("C:\Users\lmonroy\Tema\PLANILLAS\2024\BoletasPDF-CCNN\Boleta_T0001052.pdf", "Link")</f>
        <v/>
      </c>
      <c r="C1506" t="n">
        <v>162530</v>
      </c>
      <c r="D1506" t="inlineStr">
        <is>
          <t>2024-02-03 06:54:36</t>
        </is>
      </c>
      <c r="E1506" t="inlineStr">
        <is>
          <t>2024-02-03 06:54:36</t>
        </is>
      </c>
      <c r="F1506" t="inlineStr">
        <is>
          <t>666</t>
        </is>
      </c>
    </row>
    <row r="1507">
      <c r="A1507" t="inlineStr">
        <is>
          <t>Boleta_T0001053.pdf</t>
        </is>
      </c>
      <c r="B1507">
        <f>HYPERLINK("C:\Users\lmonroy\Tema\PLANILLAS\2024\BoletasPDF-CCNN\Boleta_T0001053.pdf", "Link")</f>
        <v/>
      </c>
      <c r="C1507" t="n">
        <v>162530</v>
      </c>
      <c r="D1507" t="inlineStr">
        <is>
          <t>2024-02-03 06:54:36</t>
        </is>
      </c>
      <c r="E1507" t="inlineStr">
        <is>
          <t>2024-02-03 06:54:36</t>
        </is>
      </c>
      <c r="F1507" t="inlineStr">
        <is>
          <t>666</t>
        </is>
      </c>
    </row>
    <row r="1508">
      <c r="A1508" t="inlineStr">
        <is>
          <t>Boleta_T0001054.pdf</t>
        </is>
      </c>
      <c r="B1508">
        <f>HYPERLINK("C:\Users\lmonroy\Tema\PLANILLAS\2024\BoletasPDF-CCNN\Boleta_T0001054.pdf", "Link")</f>
        <v/>
      </c>
      <c r="C1508" t="n">
        <v>162475</v>
      </c>
      <c r="D1508" t="inlineStr">
        <is>
          <t>2024-02-03 06:54:41</t>
        </is>
      </c>
      <c r="E1508" t="inlineStr">
        <is>
          <t>2024-02-03 06:54:41</t>
        </is>
      </c>
      <c r="F1508" t="inlineStr">
        <is>
          <t>666</t>
        </is>
      </c>
    </row>
    <row r="1509">
      <c r="A1509" t="inlineStr">
        <is>
          <t>Boleta_T0001055.pdf</t>
        </is>
      </c>
      <c r="B1509">
        <f>HYPERLINK("C:\Users\lmonroy\Tema\PLANILLAS\2024\BoletasPDF-CCNN\Boleta_T0001055.pdf", "Link")</f>
        <v/>
      </c>
      <c r="C1509" t="n">
        <v>162595</v>
      </c>
      <c r="D1509" t="inlineStr">
        <is>
          <t>2024-02-03 06:54:43</t>
        </is>
      </c>
      <c r="E1509" t="inlineStr">
        <is>
          <t>2024-02-03 06:54:43</t>
        </is>
      </c>
      <c r="F1509" t="inlineStr">
        <is>
          <t>666</t>
        </is>
      </c>
    </row>
    <row r="1510">
      <c r="A1510" t="inlineStr">
        <is>
          <t>Boleta_T0001056.pdf</t>
        </is>
      </c>
      <c r="B1510">
        <f>HYPERLINK("C:\Users\lmonroy\Tema\PLANILLAS\2024\BoletasPDF-CCNN\Boleta_T0001056.pdf", "Link")</f>
        <v/>
      </c>
      <c r="C1510" t="n">
        <v>162432</v>
      </c>
      <c r="D1510" t="inlineStr">
        <is>
          <t>2024-02-03 06:54:43</t>
        </is>
      </c>
      <c r="E1510" t="inlineStr">
        <is>
          <t>2024-02-03 06:54:43</t>
        </is>
      </c>
      <c r="F1510" t="inlineStr">
        <is>
          <t>666</t>
        </is>
      </c>
    </row>
    <row r="1511">
      <c r="A1511" t="inlineStr">
        <is>
          <t>Boleta_T0001058.pdf</t>
        </is>
      </c>
      <c r="B1511">
        <f>HYPERLINK("C:\Users\lmonroy\Tema\PLANILLAS\2024\BoletasPDF-CCNN\Boleta_T0001058.pdf", "Link")</f>
        <v/>
      </c>
      <c r="C1511" t="n">
        <v>162542</v>
      </c>
      <c r="D1511" t="inlineStr">
        <is>
          <t>2024-02-03 06:54:46</t>
        </is>
      </c>
      <c r="E1511" t="inlineStr">
        <is>
          <t>2024-02-03 06:54:46</t>
        </is>
      </c>
      <c r="F1511" t="inlineStr">
        <is>
          <t>666</t>
        </is>
      </c>
    </row>
    <row r="1512">
      <c r="A1512" t="inlineStr">
        <is>
          <t>Boleta_T0001059.pdf</t>
        </is>
      </c>
      <c r="B1512">
        <f>HYPERLINK("C:\Users\lmonroy\Tema\PLANILLAS\2024\BoletasPDF-CCNN\Boleta_T0001059.pdf", "Link")</f>
        <v/>
      </c>
      <c r="C1512" t="n">
        <v>162449</v>
      </c>
      <c r="D1512" t="inlineStr">
        <is>
          <t>2024-02-03 06:54:47</t>
        </is>
      </c>
      <c r="E1512" t="inlineStr">
        <is>
          <t>2024-02-03 06:54:47</t>
        </is>
      </c>
      <c r="F1512" t="inlineStr">
        <is>
          <t>666</t>
        </is>
      </c>
    </row>
    <row r="1513">
      <c r="A1513" t="inlineStr">
        <is>
          <t>Boleta_T0001060.pdf</t>
        </is>
      </c>
      <c r="B1513">
        <f>HYPERLINK("C:\Users\lmonroy\Tema\PLANILLAS\2024\BoletasPDF-CCNN\Boleta_T0001060.pdf", "Link")</f>
        <v/>
      </c>
      <c r="C1513" t="n">
        <v>162441</v>
      </c>
      <c r="D1513" t="inlineStr">
        <is>
          <t>2024-02-03 06:54:48</t>
        </is>
      </c>
      <c r="E1513" t="inlineStr">
        <is>
          <t>2024-02-03 06:54:48</t>
        </is>
      </c>
      <c r="F1513" t="inlineStr">
        <is>
          <t>666</t>
        </is>
      </c>
    </row>
    <row r="1514">
      <c r="A1514" t="inlineStr">
        <is>
          <t>Boleta_T0001061.pdf</t>
        </is>
      </c>
      <c r="B1514">
        <f>HYPERLINK("C:\Users\lmonroy\Tema\PLANILLAS\2024\BoletasPDF-CCNN\Boleta_T0001061.pdf", "Link")</f>
        <v/>
      </c>
      <c r="C1514" t="n">
        <v>162454</v>
      </c>
      <c r="D1514" t="inlineStr">
        <is>
          <t>2024-02-03 06:54:48</t>
        </is>
      </c>
      <c r="E1514" t="inlineStr">
        <is>
          <t>2024-02-03 06:54:48</t>
        </is>
      </c>
      <c r="F1514" t="inlineStr">
        <is>
          <t>666</t>
        </is>
      </c>
    </row>
    <row r="1515">
      <c r="A1515" t="inlineStr">
        <is>
          <t>Boleta_T0001062.pdf</t>
        </is>
      </c>
      <c r="B1515">
        <f>HYPERLINK("C:\Users\lmonroy\Tema\PLANILLAS\2024\BoletasPDF-CCNN\Boleta_T0001062.pdf", "Link")</f>
        <v/>
      </c>
      <c r="C1515" t="n">
        <v>162439</v>
      </c>
      <c r="D1515" t="inlineStr">
        <is>
          <t>2024-02-03 06:54:49</t>
        </is>
      </c>
      <c r="E1515" t="inlineStr">
        <is>
          <t>2024-02-03 06:54:49</t>
        </is>
      </c>
      <c r="F1515" t="inlineStr">
        <is>
          <t>666</t>
        </is>
      </c>
    </row>
    <row r="1516">
      <c r="A1516" t="inlineStr">
        <is>
          <t>Boleta_T0001064.pdf</t>
        </is>
      </c>
      <c r="B1516">
        <f>HYPERLINK("C:\Users\lmonroy\Tema\PLANILLAS\2024\BoletasPDF-CCNN\Boleta_T0001064.pdf", "Link")</f>
        <v/>
      </c>
      <c r="C1516" t="n">
        <v>162521</v>
      </c>
      <c r="D1516" t="inlineStr">
        <is>
          <t>2024-02-03 06:54:53</t>
        </is>
      </c>
      <c r="E1516" t="inlineStr">
        <is>
          <t>2024-02-03 06:54:53</t>
        </is>
      </c>
      <c r="F1516" t="inlineStr">
        <is>
          <t>666</t>
        </is>
      </c>
    </row>
    <row r="1517">
      <c r="A1517" t="inlineStr">
        <is>
          <t>Boleta_T0001065.pdf</t>
        </is>
      </c>
      <c r="B1517">
        <f>HYPERLINK("C:\Users\lmonroy\Tema\PLANILLAS\2024\BoletasPDF-CCNN\Boleta_T0001065.pdf", "Link")</f>
        <v/>
      </c>
      <c r="C1517" t="n">
        <v>162442</v>
      </c>
      <c r="D1517" t="inlineStr">
        <is>
          <t>2024-02-03 06:54:53</t>
        </is>
      </c>
      <c r="E1517" t="inlineStr">
        <is>
          <t>2024-02-03 06:54:53</t>
        </is>
      </c>
      <c r="F1517" t="inlineStr">
        <is>
          <t>666</t>
        </is>
      </c>
    </row>
    <row r="1518">
      <c r="A1518" t="inlineStr">
        <is>
          <t>Boleta_T0001066.pdf</t>
        </is>
      </c>
      <c r="B1518">
        <f>HYPERLINK("C:\Users\lmonroy\Tema\PLANILLAS\2024\BoletasPDF-CCNN\Boleta_T0001066.pdf", "Link")</f>
        <v/>
      </c>
      <c r="C1518" t="n">
        <v>162547</v>
      </c>
      <c r="D1518" t="inlineStr">
        <is>
          <t>2024-02-03 06:54:54</t>
        </is>
      </c>
      <c r="E1518" t="inlineStr">
        <is>
          <t>2024-02-03 06:54:54</t>
        </is>
      </c>
      <c r="F1518" t="inlineStr">
        <is>
          <t>666</t>
        </is>
      </c>
    </row>
    <row r="1519">
      <c r="A1519" t="inlineStr">
        <is>
          <t>Boleta_T0001067.pdf</t>
        </is>
      </c>
      <c r="B1519">
        <f>HYPERLINK("C:\Users\lmonroy\Tema\PLANILLAS\2024\BoletasPDF-CCNN\Boleta_T0001067.pdf", "Link")</f>
        <v/>
      </c>
      <c r="C1519" t="n">
        <v>162438</v>
      </c>
      <c r="D1519" t="inlineStr">
        <is>
          <t>2024-02-03 06:54:55</t>
        </is>
      </c>
      <c r="E1519" t="inlineStr">
        <is>
          <t>2024-02-03 06:54:55</t>
        </is>
      </c>
      <c r="F1519" t="inlineStr">
        <is>
          <t>666</t>
        </is>
      </c>
    </row>
    <row r="1520">
      <c r="A1520" t="inlineStr">
        <is>
          <t>Boleta_T0001068.pdf</t>
        </is>
      </c>
      <c r="B1520">
        <f>HYPERLINK("C:\Users\lmonroy\Tema\PLANILLAS\2024\BoletasPDF-CCNN\Boleta_T0001068.pdf", "Link")</f>
        <v/>
      </c>
      <c r="C1520" t="n">
        <v>162437</v>
      </c>
      <c r="D1520" t="inlineStr">
        <is>
          <t>2024-02-03 06:54:58</t>
        </is>
      </c>
      <c r="E1520" t="inlineStr">
        <is>
          <t>2024-02-03 06:54:58</t>
        </is>
      </c>
      <c r="F1520" t="inlineStr">
        <is>
          <t>666</t>
        </is>
      </c>
    </row>
    <row r="1521">
      <c r="A1521" t="inlineStr">
        <is>
          <t>Boleta_T0001069.pdf</t>
        </is>
      </c>
      <c r="B1521">
        <f>HYPERLINK("C:\Users\lmonroy\Tema\PLANILLAS\2024\BoletasPDF-CCNN\Boleta_T0001069.pdf", "Link")</f>
        <v/>
      </c>
      <c r="C1521" t="n">
        <v>162428</v>
      </c>
      <c r="D1521" t="inlineStr">
        <is>
          <t>2024-02-03 06:54:59</t>
        </is>
      </c>
      <c r="E1521" t="inlineStr">
        <is>
          <t>2024-02-03 06:54:59</t>
        </is>
      </c>
      <c r="F1521" t="inlineStr">
        <is>
          <t>666</t>
        </is>
      </c>
    </row>
    <row r="1522">
      <c r="A1522" t="inlineStr">
        <is>
          <t>Boleta_T0001070.pdf</t>
        </is>
      </c>
      <c r="B1522">
        <f>HYPERLINK("C:\Users\lmonroy\Tema\PLANILLAS\2024\BoletasPDF-CCNN\Boleta_T0001070.pdf", "Link")</f>
        <v/>
      </c>
      <c r="C1522" t="n">
        <v>162539</v>
      </c>
      <c r="D1522" t="inlineStr">
        <is>
          <t>2024-02-03 06:54:59</t>
        </is>
      </c>
      <c r="E1522" t="inlineStr">
        <is>
          <t>2024-02-03 06:54:59</t>
        </is>
      </c>
      <c r="F1522" t="inlineStr">
        <is>
          <t>666</t>
        </is>
      </c>
    </row>
    <row r="1523">
      <c r="A1523" t="inlineStr">
        <is>
          <t>Boleta_T0001071.pdf</t>
        </is>
      </c>
      <c r="B1523">
        <f>HYPERLINK("C:\Users\lmonroy\Tema\PLANILLAS\2024\BoletasPDF-CCNN\Boleta_T0001071.pdf", "Link")</f>
        <v/>
      </c>
      <c r="C1523" t="n">
        <v>162546</v>
      </c>
      <c r="D1523" t="inlineStr">
        <is>
          <t>2024-02-03 06:55:00</t>
        </is>
      </c>
      <c r="E1523" t="inlineStr">
        <is>
          <t>2024-02-03 06:55:00</t>
        </is>
      </c>
      <c r="F1523" t="inlineStr">
        <is>
          <t>666</t>
        </is>
      </c>
    </row>
    <row r="1524">
      <c r="A1524" t="inlineStr">
        <is>
          <t>Boleta_T0001072.pdf</t>
        </is>
      </c>
      <c r="B1524">
        <f>HYPERLINK("C:\Users\lmonroy\Tema\PLANILLAS\2024\BoletasPDF-CCNN\Boleta_T0001072.pdf", "Link")</f>
        <v/>
      </c>
      <c r="C1524" t="n">
        <v>162440</v>
      </c>
      <c r="D1524" t="inlineStr">
        <is>
          <t>2024-02-03 06:55:00</t>
        </is>
      </c>
      <c r="E1524" t="inlineStr">
        <is>
          <t>2024-02-03 06:55:00</t>
        </is>
      </c>
      <c r="F1524" t="inlineStr">
        <is>
          <t>666</t>
        </is>
      </c>
    </row>
    <row r="1525">
      <c r="A1525" t="inlineStr">
        <is>
          <t>Boleta_T0001073.pdf</t>
        </is>
      </c>
      <c r="B1525">
        <f>HYPERLINK("C:\Users\lmonroy\Tema\PLANILLAS\2024\BoletasPDF-CCNN\Boleta_T0001073.pdf", "Link")</f>
        <v/>
      </c>
      <c r="C1525" t="n">
        <v>162548</v>
      </c>
      <c r="D1525" t="inlineStr">
        <is>
          <t>2024-02-03 06:55:01</t>
        </is>
      </c>
      <c r="E1525" t="inlineStr">
        <is>
          <t>2024-02-03 06:55:01</t>
        </is>
      </c>
      <c r="F1525" t="inlineStr">
        <is>
          <t>666</t>
        </is>
      </c>
    </row>
    <row r="1526">
      <c r="A1526" t="inlineStr">
        <is>
          <t>Boleta_T0001074.pdf</t>
        </is>
      </c>
      <c r="B1526">
        <f>HYPERLINK("C:\Users\lmonroy\Tema\PLANILLAS\2024\BoletasPDF-CCNN\Boleta_T0001074.pdf", "Link")</f>
        <v/>
      </c>
      <c r="C1526" t="n">
        <v>162541</v>
      </c>
      <c r="D1526" t="inlineStr">
        <is>
          <t>2024-02-03 06:55:02</t>
        </is>
      </c>
      <c r="E1526" t="inlineStr">
        <is>
          <t>2024-02-03 06:55:02</t>
        </is>
      </c>
      <c r="F1526" t="inlineStr">
        <is>
          <t>666</t>
        </is>
      </c>
    </row>
    <row r="1527">
      <c r="A1527" t="inlineStr">
        <is>
          <t>Boleta_T0001075.pdf</t>
        </is>
      </c>
      <c r="B1527">
        <f>HYPERLINK("C:\Users\lmonroy\Tema\PLANILLAS\2024\BoletasPDF-CCNN\Boleta_T0001075.pdf", "Link")</f>
        <v/>
      </c>
      <c r="C1527" t="n">
        <v>162577</v>
      </c>
      <c r="D1527" t="inlineStr">
        <is>
          <t>2024-02-03 06:55:03</t>
        </is>
      </c>
      <c r="E1527" t="inlineStr">
        <is>
          <t>2024-02-03 06:55:03</t>
        </is>
      </c>
      <c r="F1527" t="inlineStr">
        <is>
          <t>666</t>
        </is>
      </c>
    </row>
    <row r="1528">
      <c r="A1528" t="inlineStr">
        <is>
          <t>Boleta_T0001076.pdf</t>
        </is>
      </c>
      <c r="B1528">
        <f>HYPERLINK("C:\Users\lmonroy\Tema\PLANILLAS\2024\BoletasPDF-CCNN\Boleta_T0001076.pdf", "Link")</f>
        <v/>
      </c>
      <c r="C1528" t="n">
        <v>162437</v>
      </c>
      <c r="D1528" t="inlineStr">
        <is>
          <t>2024-02-03 06:55:03</t>
        </is>
      </c>
      <c r="E1528" t="inlineStr">
        <is>
          <t>2024-02-03 06:55:03</t>
        </is>
      </c>
      <c r="F1528" t="inlineStr">
        <is>
          <t>666</t>
        </is>
      </c>
    </row>
    <row r="1529">
      <c r="A1529" t="inlineStr">
        <is>
          <t>Boleta_T0001078.pdf</t>
        </is>
      </c>
      <c r="B1529">
        <f>HYPERLINK("C:\Users\lmonroy\Tema\PLANILLAS\2024\BoletasPDF-CCNN\Boleta_T0001078.pdf", "Link")</f>
        <v/>
      </c>
      <c r="C1529" t="n">
        <v>162548</v>
      </c>
      <c r="D1529" t="inlineStr">
        <is>
          <t>2024-02-03 06:55:04</t>
        </is>
      </c>
      <c r="E1529" t="inlineStr">
        <is>
          <t>2024-02-03 06:55:04</t>
        </is>
      </c>
      <c r="F1529" t="inlineStr">
        <is>
          <t>666</t>
        </is>
      </c>
    </row>
    <row r="1530">
      <c r="A1530" t="inlineStr">
        <is>
          <t>Boleta_T0001079.pdf</t>
        </is>
      </c>
      <c r="B1530">
        <f>HYPERLINK("C:\Users\lmonroy\Tema\PLANILLAS\2024\BoletasPDF-CCNN\Boleta_T0001079.pdf", "Link")</f>
        <v/>
      </c>
      <c r="C1530" t="n">
        <v>162605</v>
      </c>
      <c r="D1530" t="inlineStr">
        <is>
          <t>2024-02-03 06:55:05</t>
        </is>
      </c>
      <c r="E1530" t="inlineStr">
        <is>
          <t>2024-02-03 06:55:05</t>
        </is>
      </c>
      <c r="F1530" t="inlineStr">
        <is>
          <t>666</t>
        </is>
      </c>
    </row>
    <row r="1531">
      <c r="A1531" t="inlineStr">
        <is>
          <t>Boleta_T0001080.pdf</t>
        </is>
      </c>
      <c r="B1531">
        <f>HYPERLINK("C:\Users\lmonroy\Tema\PLANILLAS\2024\BoletasPDF-CCNN\Boleta_T0001080.pdf", "Link")</f>
        <v/>
      </c>
      <c r="C1531" t="n">
        <v>162434</v>
      </c>
      <c r="D1531" t="inlineStr">
        <is>
          <t>2024-02-03 06:55:06</t>
        </is>
      </c>
      <c r="E1531" t="inlineStr">
        <is>
          <t>2024-02-03 06:55:06</t>
        </is>
      </c>
      <c r="F1531" t="inlineStr">
        <is>
          <t>666</t>
        </is>
      </c>
    </row>
    <row r="1532">
      <c r="A1532" t="inlineStr">
        <is>
          <t>Boleta_T0001081.pdf</t>
        </is>
      </c>
      <c r="B1532">
        <f>HYPERLINK("C:\Users\lmonroy\Tema\PLANILLAS\2024\BoletasPDF-CCNN\Boleta_T0001081.pdf", "Link")</f>
        <v/>
      </c>
      <c r="C1532" t="n">
        <v>162552</v>
      </c>
      <c r="D1532" t="inlineStr">
        <is>
          <t>2024-02-03 06:55:06</t>
        </is>
      </c>
      <c r="E1532" t="inlineStr">
        <is>
          <t>2024-02-03 06:55:06</t>
        </is>
      </c>
      <c r="F1532" t="inlineStr">
        <is>
          <t>666</t>
        </is>
      </c>
    </row>
    <row r="1533">
      <c r="A1533" t="inlineStr">
        <is>
          <t>Boleta_T0001082.pdf</t>
        </is>
      </c>
      <c r="B1533">
        <f>HYPERLINK("C:\Users\lmonroy\Tema\PLANILLAS\2024\BoletasPDF-CCNN\Boleta_T0001082.pdf", "Link")</f>
        <v/>
      </c>
      <c r="C1533" t="n">
        <v>162538</v>
      </c>
      <c r="D1533" t="inlineStr">
        <is>
          <t>2024-02-03 06:55:07</t>
        </is>
      </c>
      <c r="E1533" t="inlineStr">
        <is>
          <t>2024-02-03 06:55:07</t>
        </is>
      </c>
      <c r="F1533" t="inlineStr">
        <is>
          <t>666</t>
        </is>
      </c>
    </row>
    <row r="1534">
      <c r="A1534" t="inlineStr">
        <is>
          <t>Boleta_T0001083.pdf</t>
        </is>
      </c>
      <c r="B1534">
        <f>HYPERLINK("C:\Users\lmonroy\Tema\PLANILLAS\2024\BoletasPDF-CCNN\Boleta_T0001083.pdf", "Link")</f>
        <v/>
      </c>
      <c r="C1534" t="n">
        <v>162561</v>
      </c>
      <c r="D1534" t="inlineStr">
        <is>
          <t>2024-02-03 06:55:09</t>
        </is>
      </c>
      <c r="E1534" t="inlineStr">
        <is>
          <t>2024-02-03 06:55:09</t>
        </is>
      </c>
      <c r="F1534" t="inlineStr">
        <is>
          <t>666</t>
        </is>
      </c>
    </row>
    <row r="1535">
      <c r="A1535" t="inlineStr">
        <is>
          <t>Boleta_T0001084.pdf</t>
        </is>
      </c>
      <c r="B1535">
        <f>HYPERLINK("C:\Users\lmonroy\Tema\PLANILLAS\2024\BoletasPDF-CCNN\Boleta_T0001084.pdf", "Link")</f>
        <v/>
      </c>
      <c r="C1535" t="n">
        <v>162556</v>
      </c>
      <c r="D1535" t="inlineStr">
        <is>
          <t>2024-02-03 06:55:10</t>
        </is>
      </c>
      <c r="E1535" t="inlineStr">
        <is>
          <t>2024-02-03 06:55:10</t>
        </is>
      </c>
      <c r="F1535" t="inlineStr">
        <is>
          <t>666</t>
        </is>
      </c>
    </row>
    <row r="1536">
      <c r="A1536" t="inlineStr">
        <is>
          <t>Boleta_T0001085.pdf</t>
        </is>
      </c>
      <c r="B1536">
        <f>HYPERLINK("C:\Users\lmonroy\Tema\PLANILLAS\2024\BoletasPDF-CCNN\Boleta_T0001085.pdf", "Link")</f>
        <v/>
      </c>
      <c r="C1536" t="n">
        <v>162434</v>
      </c>
      <c r="D1536" t="inlineStr">
        <is>
          <t>2024-02-03 06:55:10</t>
        </is>
      </c>
      <c r="E1536" t="inlineStr">
        <is>
          <t>2024-02-03 06:55:10</t>
        </is>
      </c>
      <c r="F1536" t="inlineStr">
        <is>
          <t>666</t>
        </is>
      </c>
    </row>
    <row r="1537">
      <c r="A1537" t="inlineStr">
        <is>
          <t>Boleta_T0001086.pdf</t>
        </is>
      </c>
      <c r="B1537">
        <f>HYPERLINK("C:\Users\lmonroy\Tema\PLANILLAS\2024\BoletasPDF-CCNN\Boleta_T0001086.pdf", "Link")</f>
        <v/>
      </c>
      <c r="C1537" t="n">
        <v>162454</v>
      </c>
      <c r="D1537" t="inlineStr">
        <is>
          <t>2024-02-03 06:55:11</t>
        </is>
      </c>
      <c r="E1537" t="inlineStr">
        <is>
          <t>2024-02-03 06:55:11</t>
        </is>
      </c>
      <c r="F1537" t="inlineStr">
        <is>
          <t>666</t>
        </is>
      </c>
    </row>
    <row r="1538">
      <c r="A1538" t="inlineStr">
        <is>
          <t>Boleta_T0001087.pdf</t>
        </is>
      </c>
      <c r="B1538">
        <f>HYPERLINK("C:\Users\lmonroy\Tema\PLANILLAS\2024\BoletasPDF-CCNN\Boleta_T0001087.pdf", "Link")</f>
        <v/>
      </c>
      <c r="C1538" t="n">
        <v>162454</v>
      </c>
      <c r="D1538" t="inlineStr">
        <is>
          <t>2024-02-03 06:55:12</t>
        </is>
      </c>
      <c r="E1538" t="inlineStr">
        <is>
          <t>2024-02-03 06:55:12</t>
        </is>
      </c>
      <c r="F1538" t="inlineStr">
        <is>
          <t>666</t>
        </is>
      </c>
    </row>
    <row r="1539">
      <c r="A1539" t="inlineStr">
        <is>
          <t>Boleta_T0001088.pdf</t>
        </is>
      </c>
      <c r="B1539">
        <f>HYPERLINK("C:\Users\lmonroy\Tema\PLANILLAS\2024\BoletasPDF-CCNN\Boleta_T0001088.pdf", "Link")</f>
        <v/>
      </c>
      <c r="C1539" t="n">
        <v>162383</v>
      </c>
      <c r="D1539" t="inlineStr">
        <is>
          <t>2024-02-03 06:55:12</t>
        </is>
      </c>
      <c r="E1539" t="inlineStr">
        <is>
          <t>2024-02-03 06:55:12</t>
        </is>
      </c>
      <c r="F1539" t="inlineStr">
        <is>
          <t>666</t>
        </is>
      </c>
    </row>
    <row r="1540">
      <c r="A1540" t="inlineStr">
        <is>
          <t>Boleta_T0001089.pdf</t>
        </is>
      </c>
      <c r="B1540">
        <f>HYPERLINK("C:\Users\lmonroy\Tema\PLANILLAS\2024\BoletasPDF-CCNN\Boleta_T0001089.pdf", "Link")</f>
        <v/>
      </c>
      <c r="C1540" t="n">
        <v>162532</v>
      </c>
      <c r="D1540" t="inlineStr">
        <is>
          <t>2024-02-03 06:55:13</t>
        </is>
      </c>
      <c r="E1540" t="inlineStr">
        <is>
          <t>2024-02-03 06:55:13</t>
        </is>
      </c>
      <c r="F1540" t="inlineStr">
        <is>
          <t>666</t>
        </is>
      </c>
    </row>
    <row r="1541">
      <c r="A1541" t="inlineStr">
        <is>
          <t>Boleta_T0001092.pdf</t>
        </is>
      </c>
      <c r="B1541">
        <f>HYPERLINK("C:\Users\lmonroy\Tema\PLANILLAS\2024\BoletasPDF-CCNN\Boleta_T0001092.pdf", "Link")</f>
        <v/>
      </c>
      <c r="C1541" t="n">
        <v>162446</v>
      </c>
      <c r="D1541" t="inlineStr">
        <is>
          <t>2024-02-03 06:55:17</t>
        </is>
      </c>
      <c r="E1541" t="inlineStr">
        <is>
          <t>2024-02-03 06:55:17</t>
        </is>
      </c>
      <c r="F1541" t="inlineStr">
        <is>
          <t>666</t>
        </is>
      </c>
    </row>
    <row r="1542">
      <c r="A1542" t="inlineStr">
        <is>
          <t>Boleta_T0001093.pdf</t>
        </is>
      </c>
      <c r="B1542">
        <f>HYPERLINK("C:\Users\lmonroy\Tema\PLANILLAS\2024\BoletasPDF-CCNN\Boleta_T0001093.pdf", "Link")</f>
        <v/>
      </c>
      <c r="C1542" t="n">
        <v>162462</v>
      </c>
      <c r="D1542" t="inlineStr">
        <is>
          <t>2024-02-03 06:55:18</t>
        </is>
      </c>
      <c r="E1542" t="inlineStr">
        <is>
          <t>2024-02-03 06:55:18</t>
        </is>
      </c>
      <c r="F1542" t="inlineStr">
        <is>
          <t>666</t>
        </is>
      </c>
    </row>
    <row r="1543">
      <c r="A1543" t="inlineStr">
        <is>
          <t>Boleta_T0001094.pdf</t>
        </is>
      </c>
      <c r="B1543">
        <f>HYPERLINK("C:\Users\lmonroy\Tema\PLANILLAS\2024\BoletasPDF-CCNN\Boleta_T0001094.pdf", "Link")</f>
        <v/>
      </c>
      <c r="C1543" t="n">
        <v>162435</v>
      </c>
      <c r="D1543" t="inlineStr">
        <is>
          <t>2024-02-03 06:55:19</t>
        </is>
      </c>
      <c r="E1543" t="inlineStr">
        <is>
          <t>2024-02-03 06:55:19</t>
        </is>
      </c>
      <c r="F1543" t="inlineStr">
        <is>
          <t>666</t>
        </is>
      </c>
    </row>
    <row r="1544">
      <c r="A1544" t="inlineStr">
        <is>
          <t>Boleta_T0001096.pdf</t>
        </is>
      </c>
      <c r="B1544">
        <f>HYPERLINK("C:\Users\lmonroy\Tema\PLANILLAS\2024\BoletasPDF-CCNN\Boleta_T0001096.pdf", "Link")</f>
        <v/>
      </c>
      <c r="C1544" t="n">
        <v>162421</v>
      </c>
      <c r="D1544" t="inlineStr">
        <is>
          <t>2024-02-03 06:55:20</t>
        </is>
      </c>
      <c r="E1544" t="inlineStr">
        <is>
          <t>2024-02-03 06:55:20</t>
        </is>
      </c>
      <c r="F1544" t="inlineStr">
        <is>
          <t>666</t>
        </is>
      </c>
    </row>
    <row r="1545">
      <c r="A1545" t="inlineStr">
        <is>
          <t>Boleta_T0001097.pdf</t>
        </is>
      </c>
      <c r="B1545">
        <f>HYPERLINK("C:\Users\lmonroy\Tema\PLANILLAS\2024\BoletasPDF-CCNN\Boleta_T0001097.pdf", "Link")</f>
        <v/>
      </c>
      <c r="C1545" t="n">
        <v>162448</v>
      </c>
      <c r="D1545" t="inlineStr">
        <is>
          <t>2024-02-03 06:55:20</t>
        </is>
      </c>
      <c r="E1545" t="inlineStr">
        <is>
          <t>2024-02-03 06:55:20</t>
        </is>
      </c>
      <c r="F1545" t="inlineStr">
        <is>
          <t>666</t>
        </is>
      </c>
    </row>
    <row r="1546">
      <c r="A1546" t="inlineStr">
        <is>
          <t>Boleta_T0001098.pdf</t>
        </is>
      </c>
      <c r="B1546">
        <f>HYPERLINK("C:\Users\lmonroy\Tema\PLANILLAS\2024\BoletasPDF-CCNN\Boleta_T0001098.pdf", "Link")</f>
        <v/>
      </c>
      <c r="C1546" t="n">
        <v>162443</v>
      </c>
      <c r="D1546" t="inlineStr">
        <is>
          <t>2024-02-03 06:55:21</t>
        </is>
      </c>
      <c r="E1546" t="inlineStr">
        <is>
          <t>2024-02-03 06:55:21</t>
        </is>
      </c>
      <c r="F1546" t="inlineStr">
        <is>
          <t>666</t>
        </is>
      </c>
    </row>
    <row r="1547">
      <c r="A1547" t="inlineStr">
        <is>
          <t>Boleta_T0001099.pdf</t>
        </is>
      </c>
      <c r="B1547">
        <f>HYPERLINK("C:\Users\lmonroy\Tema\PLANILLAS\2024\BoletasPDF-CCNN\Boleta_T0001099.pdf", "Link")</f>
        <v/>
      </c>
      <c r="C1547" t="n">
        <v>162448</v>
      </c>
      <c r="D1547" t="inlineStr">
        <is>
          <t>2024-02-03 06:55:22</t>
        </is>
      </c>
      <c r="E1547" t="inlineStr">
        <is>
          <t>2024-02-03 06:55:22</t>
        </is>
      </c>
      <c r="F1547" t="inlineStr">
        <is>
          <t>666</t>
        </is>
      </c>
    </row>
    <row r="1548">
      <c r="A1548" t="inlineStr">
        <is>
          <t>Boleta_T0001100.pdf</t>
        </is>
      </c>
      <c r="B1548">
        <f>HYPERLINK("C:\Users\lmonroy\Tema\PLANILLAS\2024\BoletasPDF-CCNN\Boleta_T0001100.pdf", "Link")</f>
        <v/>
      </c>
      <c r="C1548" t="n">
        <v>162446</v>
      </c>
      <c r="D1548" t="inlineStr">
        <is>
          <t>2024-02-03 06:55:23</t>
        </is>
      </c>
      <c r="E1548" t="inlineStr">
        <is>
          <t>2024-02-03 06:55:23</t>
        </is>
      </c>
      <c r="F1548" t="inlineStr">
        <is>
          <t>666</t>
        </is>
      </c>
    </row>
    <row r="1549">
      <c r="A1549" t="inlineStr">
        <is>
          <t>Boleta_T0001102.pdf</t>
        </is>
      </c>
      <c r="B1549">
        <f>HYPERLINK("C:\Users\lmonroy\Tema\PLANILLAS\2024\BoletasPDF-CCNN\Boleta_T0001102.pdf", "Link")</f>
        <v/>
      </c>
      <c r="C1549" t="n">
        <v>162426</v>
      </c>
      <c r="D1549" t="inlineStr">
        <is>
          <t>2024-02-03 06:55:24</t>
        </is>
      </c>
      <c r="E1549" t="inlineStr">
        <is>
          <t>2024-02-03 06:55:24</t>
        </is>
      </c>
      <c r="F1549" t="inlineStr">
        <is>
          <t>666</t>
        </is>
      </c>
    </row>
    <row r="1550">
      <c r="A1550" t="inlineStr">
        <is>
          <t>Boleta_T0001103.pdf</t>
        </is>
      </c>
      <c r="B1550">
        <f>HYPERLINK("C:\Users\lmonroy\Tema\PLANILLAS\2024\BoletasPDF-CCNN\Boleta_T0001103.pdf", "Link")</f>
        <v/>
      </c>
      <c r="C1550" t="n">
        <v>162454</v>
      </c>
      <c r="D1550" t="inlineStr">
        <is>
          <t>2024-02-03 06:55:25</t>
        </is>
      </c>
      <c r="E1550" t="inlineStr">
        <is>
          <t>2024-02-03 06:55:25</t>
        </is>
      </c>
      <c r="F1550" t="inlineStr">
        <is>
          <t>666</t>
        </is>
      </c>
    </row>
    <row r="1551">
      <c r="A1551" t="inlineStr">
        <is>
          <t>Boleta_T0001104.pdf</t>
        </is>
      </c>
      <c r="B1551">
        <f>HYPERLINK("C:\Users\lmonroy\Tema\PLANILLAS\2024\BoletasPDF-CCNN\Boleta_T0001104.pdf", "Link")</f>
        <v/>
      </c>
      <c r="C1551" t="n">
        <v>162596</v>
      </c>
      <c r="D1551" t="inlineStr">
        <is>
          <t>2024-02-03 06:55:26</t>
        </is>
      </c>
      <c r="E1551" t="inlineStr">
        <is>
          <t>2024-02-03 06:55:26</t>
        </is>
      </c>
      <c r="F1551" t="inlineStr">
        <is>
          <t>666</t>
        </is>
      </c>
    </row>
    <row r="1552">
      <c r="A1552" t="inlineStr">
        <is>
          <t>Boleta_T0001105.pdf</t>
        </is>
      </c>
      <c r="B1552">
        <f>HYPERLINK("C:\Users\lmonroy\Tema\PLANILLAS\2024\BoletasPDF-CCNN\Boleta_T0001105.pdf", "Link")</f>
        <v/>
      </c>
      <c r="C1552" t="n">
        <v>162540</v>
      </c>
      <c r="D1552" t="inlineStr">
        <is>
          <t>2024-02-03 06:55:26</t>
        </is>
      </c>
      <c r="E1552" t="inlineStr">
        <is>
          <t>2024-02-03 06:55:26</t>
        </is>
      </c>
      <c r="F1552" t="inlineStr">
        <is>
          <t>666</t>
        </is>
      </c>
    </row>
    <row r="1553">
      <c r="A1553" t="inlineStr">
        <is>
          <t>Boleta_T0001106.pdf</t>
        </is>
      </c>
      <c r="B1553">
        <f>HYPERLINK("C:\Users\lmonroy\Tema\PLANILLAS\2024\BoletasPDF-CCNN\Boleta_T0001106.pdf", "Link")</f>
        <v/>
      </c>
      <c r="C1553" t="n">
        <v>162418</v>
      </c>
      <c r="D1553" t="inlineStr">
        <is>
          <t>2024-02-03 06:55:27</t>
        </is>
      </c>
      <c r="E1553" t="inlineStr">
        <is>
          <t>2024-02-03 06:55:27</t>
        </is>
      </c>
      <c r="F1553" t="inlineStr">
        <is>
          <t>666</t>
        </is>
      </c>
    </row>
    <row r="1554">
      <c r="A1554" t="inlineStr">
        <is>
          <t>Boleta_T0001107.pdf</t>
        </is>
      </c>
      <c r="B1554">
        <f>HYPERLINK("C:\Users\lmonroy\Tema\PLANILLAS\2024\BoletasPDF-CCNN\Boleta_T0001107.pdf", "Link")</f>
        <v/>
      </c>
      <c r="C1554" t="n">
        <v>162608</v>
      </c>
      <c r="D1554" t="inlineStr">
        <is>
          <t>2024-02-03 06:55:27</t>
        </is>
      </c>
      <c r="E1554" t="inlineStr">
        <is>
          <t>2024-02-03 06:55:27</t>
        </is>
      </c>
      <c r="F1554" t="inlineStr">
        <is>
          <t>666</t>
        </is>
      </c>
    </row>
    <row r="1555">
      <c r="A1555" t="inlineStr">
        <is>
          <t>Boleta_T0001108.pdf</t>
        </is>
      </c>
      <c r="B1555">
        <f>HYPERLINK("C:\Users\lmonroy\Tema\PLANILLAS\2024\BoletasPDF-CCNN\Boleta_T0001108.pdf", "Link")</f>
        <v/>
      </c>
      <c r="C1555" t="n">
        <v>162535</v>
      </c>
      <c r="D1555" t="inlineStr">
        <is>
          <t>2024-02-03 06:55:28</t>
        </is>
      </c>
      <c r="E1555" t="inlineStr">
        <is>
          <t>2024-02-03 06:55:28</t>
        </is>
      </c>
      <c r="F1555" t="inlineStr">
        <is>
          <t>666</t>
        </is>
      </c>
    </row>
    <row r="1556">
      <c r="A1556" t="inlineStr">
        <is>
          <t>Boleta_T0001109.pdf</t>
        </is>
      </c>
      <c r="B1556">
        <f>HYPERLINK("C:\Users\lmonroy\Tema\PLANILLAS\2024\BoletasPDF-CCNN\Boleta_T0001109.pdf", "Link")</f>
        <v/>
      </c>
      <c r="C1556" t="n">
        <v>162480</v>
      </c>
      <c r="D1556" t="inlineStr">
        <is>
          <t>2024-02-03 06:55:29</t>
        </is>
      </c>
      <c r="E1556" t="inlineStr">
        <is>
          <t>2024-02-03 06:55:29</t>
        </is>
      </c>
      <c r="F1556" t="inlineStr">
        <is>
          <t>666</t>
        </is>
      </c>
    </row>
    <row r="1557">
      <c r="A1557" t="inlineStr">
        <is>
          <t>Boleta_T0001110.pdf</t>
        </is>
      </c>
      <c r="B1557">
        <f>HYPERLINK("C:\Users\lmonroy\Tema\PLANILLAS\2024\BoletasPDF-CCNN\Boleta_T0001110.pdf", "Link")</f>
        <v/>
      </c>
      <c r="C1557" t="n">
        <v>162448</v>
      </c>
      <c r="D1557" t="inlineStr">
        <is>
          <t>2024-02-03 06:55:30</t>
        </is>
      </c>
      <c r="E1557" t="inlineStr">
        <is>
          <t>2024-02-03 06:55:30</t>
        </is>
      </c>
      <c r="F1557" t="inlineStr">
        <is>
          <t>666</t>
        </is>
      </c>
    </row>
    <row r="1558">
      <c r="A1558" t="inlineStr">
        <is>
          <t>Boleta_T0001111.pdf</t>
        </is>
      </c>
      <c r="B1558">
        <f>HYPERLINK("C:\Users\lmonroy\Tema\PLANILLAS\2024\BoletasPDF-CCNN\Boleta_T0001111.pdf", "Link")</f>
        <v/>
      </c>
      <c r="C1558" t="n">
        <v>162448</v>
      </c>
      <c r="D1558" t="inlineStr">
        <is>
          <t>2024-02-03 06:55:30</t>
        </is>
      </c>
      <c r="E1558" t="inlineStr">
        <is>
          <t>2024-02-03 06:55:30</t>
        </is>
      </c>
      <c r="F1558" t="inlineStr">
        <is>
          <t>666</t>
        </is>
      </c>
    </row>
    <row r="1559">
      <c r="A1559" t="inlineStr">
        <is>
          <t>Boleta_T0001112.pdf</t>
        </is>
      </c>
      <c r="B1559">
        <f>HYPERLINK("C:\Users\lmonroy\Tema\PLANILLAS\2024\BoletasPDF-CCNN\Boleta_T0001112.pdf", "Link")</f>
        <v/>
      </c>
      <c r="C1559" t="n">
        <v>162543</v>
      </c>
      <c r="D1559" t="inlineStr">
        <is>
          <t>2024-02-03 06:55:32</t>
        </is>
      </c>
      <c r="E1559" t="inlineStr">
        <is>
          <t>2024-02-03 06:55:32</t>
        </is>
      </c>
      <c r="F1559" t="inlineStr">
        <is>
          <t>666</t>
        </is>
      </c>
    </row>
    <row r="1560">
      <c r="A1560" t="inlineStr">
        <is>
          <t>Boleta_T0001113.pdf</t>
        </is>
      </c>
      <c r="B1560">
        <f>HYPERLINK("C:\Users\lmonroy\Tema\PLANILLAS\2024\BoletasPDF-CCNN\Boleta_T0001113.pdf", "Link")</f>
        <v/>
      </c>
      <c r="C1560" t="n">
        <v>162565</v>
      </c>
      <c r="D1560" t="inlineStr">
        <is>
          <t>2024-02-03 06:55:32</t>
        </is>
      </c>
      <c r="E1560" t="inlineStr">
        <is>
          <t>2024-02-03 06:55:32</t>
        </is>
      </c>
      <c r="F1560" t="inlineStr">
        <is>
          <t>666</t>
        </is>
      </c>
    </row>
    <row r="1561">
      <c r="A1561" t="inlineStr">
        <is>
          <t>Boleta_T0001114.pdf</t>
        </is>
      </c>
      <c r="B1561">
        <f>HYPERLINK("C:\Users\lmonroy\Tema\PLANILLAS\2024\BoletasPDF-CCNN\Boleta_T0001114.pdf", "Link")</f>
        <v/>
      </c>
      <c r="C1561" t="n">
        <v>162479</v>
      </c>
      <c r="D1561" t="inlineStr">
        <is>
          <t>2024-02-03 06:55:33</t>
        </is>
      </c>
      <c r="E1561" t="inlineStr">
        <is>
          <t>2024-02-03 06:55:33</t>
        </is>
      </c>
      <c r="F1561" t="inlineStr">
        <is>
          <t>666</t>
        </is>
      </c>
    </row>
    <row r="1562">
      <c r="A1562" t="inlineStr">
        <is>
          <t>Boleta_T0001115.pdf</t>
        </is>
      </c>
      <c r="B1562">
        <f>HYPERLINK("C:\Users\lmonroy\Tema\PLANILLAS\2024\BoletasPDF-CCNN\Boleta_T0001115.pdf", "Link")</f>
        <v/>
      </c>
      <c r="C1562" t="n">
        <v>162575</v>
      </c>
      <c r="D1562" t="inlineStr">
        <is>
          <t>2024-02-03 06:55:33</t>
        </is>
      </c>
      <c r="E1562" t="inlineStr">
        <is>
          <t>2024-02-03 06:55:33</t>
        </is>
      </c>
      <c r="F1562" t="inlineStr">
        <is>
          <t>666</t>
        </is>
      </c>
    </row>
    <row r="1563">
      <c r="A1563" t="inlineStr">
        <is>
          <t>Boleta_T0001116.pdf</t>
        </is>
      </c>
      <c r="B1563">
        <f>HYPERLINK("C:\Users\lmonroy\Tema\PLANILLAS\2024\BoletasPDF-CCNN\Boleta_T0001116.pdf", "Link")</f>
        <v/>
      </c>
      <c r="C1563" t="n">
        <v>162461</v>
      </c>
      <c r="D1563" t="inlineStr">
        <is>
          <t>2024-02-03 06:55:35</t>
        </is>
      </c>
      <c r="E1563" t="inlineStr">
        <is>
          <t>2024-02-03 06:55:35</t>
        </is>
      </c>
      <c r="F1563" t="inlineStr">
        <is>
          <t>666</t>
        </is>
      </c>
    </row>
    <row r="1564">
      <c r="A1564" t="inlineStr">
        <is>
          <t>Boleta_T0001117.pdf</t>
        </is>
      </c>
      <c r="B1564">
        <f>HYPERLINK("C:\Users\lmonroy\Tema\PLANILLAS\2024\BoletasPDF-CCNN\Boleta_T0001117.pdf", "Link")</f>
        <v/>
      </c>
      <c r="C1564" t="n">
        <v>162440</v>
      </c>
      <c r="D1564" t="inlineStr">
        <is>
          <t>2024-02-03 06:55:35</t>
        </is>
      </c>
      <c r="E1564" t="inlineStr">
        <is>
          <t>2024-02-03 06:55:35</t>
        </is>
      </c>
      <c r="F1564" t="inlineStr">
        <is>
          <t>666</t>
        </is>
      </c>
    </row>
    <row r="1565">
      <c r="A1565" t="inlineStr">
        <is>
          <t>Boleta_T0001118.pdf</t>
        </is>
      </c>
      <c r="B1565">
        <f>HYPERLINK("C:\Users\lmonroy\Tema\PLANILLAS\2024\BoletasPDF-CCNN\Boleta_T0001118.pdf", "Link")</f>
        <v/>
      </c>
      <c r="C1565" t="n">
        <v>162401</v>
      </c>
      <c r="D1565" t="inlineStr">
        <is>
          <t>2024-02-03 06:55:36</t>
        </is>
      </c>
      <c r="E1565" t="inlineStr">
        <is>
          <t>2024-02-03 06:55:36</t>
        </is>
      </c>
      <c r="F1565" t="inlineStr">
        <is>
          <t>666</t>
        </is>
      </c>
    </row>
    <row r="1566">
      <c r="A1566" t="inlineStr">
        <is>
          <t>Boleta_T0001119.pdf</t>
        </is>
      </c>
      <c r="B1566">
        <f>HYPERLINK("C:\Users\lmonroy\Tema\PLANILLAS\2024\BoletasPDF-CCNN\Boleta_T0001119.pdf", "Link")</f>
        <v/>
      </c>
      <c r="C1566" t="n">
        <v>162457</v>
      </c>
      <c r="D1566" t="inlineStr">
        <is>
          <t>2024-02-03 06:55:37</t>
        </is>
      </c>
      <c r="E1566" t="inlineStr">
        <is>
          <t>2024-02-03 06:55:37</t>
        </is>
      </c>
      <c r="F1566" t="inlineStr">
        <is>
          <t>666</t>
        </is>
      </c>
    </row>
    <row r="1567">
      <c r="A1567" t="inlineStr">
        <is>
          <t>Boleta_T0001120.pdf</t>
        </is>
      </c>
      <c r="B1567">
        <f>HYPERLINK("C:\Users\lmonroy\Tema\PLANILLAS\2024\BoletasPDF-CCNN\Boleta_T0001120.pdf", "Link")</f>
        <v/>
      </c>
      <c r="C1567" t="n">
        <v>162435</v>
      </c>
      <c r="D1567" t="inlineStr">
        <is>
          <t>2024-02-03 06:55:38</t>
        </is>
      </c>
      <c r="E1567" t="inlineStr">
        <is>
          <t>2024-02-03 06:55:38</t>
        </is>
      </c>
      <c r="F1567" t="inlineStr">
        <is>
          <t>666</t>
        </is>
      </c>
    </row>
    <row r="1568">
      <c r="A1568" t="inlineStr">
        <is>
          <t>Boleta_T0001121.pdf</t>
        </is>
      </c>
      <c r="B1568">
        <f>HYPERLINK("C:\Users\lmonroy\Tema\PLANILLAS\2024\BoletasPDF-CCNN\Boleta_T0001121.pdf", "Link")</f>
        <v/>
      </c>
      <c r="C1568" t="n">
        <v>162409</v>
      </c>
      <c r="D1568" t="inlineStr">
        <is>
          <t>2024-02-03 06:55:38</t>
        </is>
      </c>
      <c r="E1568" t="inlineStr">
        <is>
          <t>2024-02-03 06:55:38</t>
        </is>
      </c>
      <c r="F1568" t="inlineStr">
        <is>
          <t>666</t>
        </is>
      </c>
    </row>
    <row r="1569">
      <c r="A1569" t="inlineStr">
        <is>
          <t>Boleta_T0001122.pdf</t>
        </is>
      </c>
      <c r="B1569">
        <f>HYPERLINK("C:\Users\lmonroy\Tema\PLANILLAS\2024\BoletasPDF-CCNN\Boleta_T0001122.pdf", "Link")</f>
        <v/>
      </c>
      <c r="C1569" t="n">
        <v>162440</v>
      </c>
      <c r="D1569" t="inlineStr">
        <is>
          <t>2024-02-03 06:55:39</t>
        </is>
      </c>
      <c r="E1569" t="inlineStr">
        <is>
          <t>2024-02-03 06:55:39</t>
        </is>
      </c>
      <c r="F1569" t="inlineStr">
        <is>
          <t>666</t>
        </is>
      </c>
    </row>
    <row r="1570">
      <c r="A1570" t="inlineStr">
        <is>
          <t>Boleta_T0001123.pdf</t>
        </is>
      </c>
      <c r="B1570">
        <f>HYPERLINK("C:\Users\lmonroy\Tema\PLANILLAS\2024\BoletasPDF-CCNN\Boleta_T0001123.pdf", "Link")</f>
        <v/>
      </c>
      <c r="C1570" t="n">
        <v>162452</v>
      </c>
      <c r="D1570" t="inlineStr">
        <is>
          <t>2024-02-03 06:55:40</t>
        </is>
      </c>
      <c r="E1570" t="inlineStr">
        <is>
          <t>2024-02-03 06:55:40</t>
        </is>
      </c>
      <c r="F1570" t="inlineStr">
        <is>
          <t>666</t>
        </is>
      </c>
    </row>
    <row r="1571">
      <c r="A1571" t="inlineStr">
        <is>
          <t>Boleta_T0001124.pdf</t>
        </is>
      </c>
      <c r="B1571">
        <f>HYPERLINK("C:\Users\lmonroy\Tema\PLANILLAS\2024\BoletasPDF-CCNN\Boleta_T0001124.pdf", "Link")</f>
        <v/>
      </c>
      <c r="C1571" t="n">
        <v>162453</v>
      </c>
      <c r="D1571" t="inlineStr">
        <is>
          <t>2024-02-03 06:55:41</t>
        </is>
      </c>
      <c r="E1571" t="inlineStr">
        <is>
          <t>2024-02-03 06:55:41</t>
        </is>
      </c>
      <c r="F1571" t="inlineStr">
        <is>
          <t>666</t>
        </is>
      </c>
    </row>
    <row r="1572">
      <c r="A1572" t="inlineStr">
        <is>
          <t>Boleta_T0001125.pdf</t>
        </is>
      </c>
      <c r="B1572">
        <f>HYPERLINK("C:\Users\lmonroy\Tema\PLANILLAS\2024\BoletasPDF-CCNN\Boleta_T0001125.pdf", "Link")</f>
        <v/>
      </c>
      <c r="C1572" t="n">
        <v>162536</v>
      </c>
      <c r="D1572" t="inlineStr">
        <is>
          <t>2024-02-03 06:55:41</t>
        </is>
      </c>
      <c r="E1572" t="inlineStr">
        <is>
          <t>2024-02-03 06:55:41</t>
        </is>
      </c>
      <c r="F1572" t="inlineStr">
        <is>
          <t>666</t>
        </is>
      </c>
    </row>
    <row r="1573">
      <c r="A1573" t="inlineStr">
        <is>
          <t>Boleta_T0001126.pdf</t>
        </is>
      </c>
      <c r="B1573">
        <f>HYPERLINK("C:\Users\lmonroy\Tema\PLANILLAS\2024\BoletasPDF-CCNN\Boleta_T0001126.pdf", "Link")</f>
        <v/>
      </c>
      <c r="C1573" t="n">
        <v>162535</v>
      </c>
      <c r="D1573" t="inlineStr">
        <is>
          <t>2024-02-03 06:55:42</t>
        </is>
      </c>
      <c r="E1573" t="inlineStr">
        <is>
          <t>2024-02-03 06:55:42</t>
        </is>
      </c>
      <c r="F1573" t="inlineStr">
        <is>
          <t>666</t>
        </is>
      </c>
    </row>
    <row r="1574">
      <c r="A1574" t="inlineStr">
        <is>
          <t>Boleta_T0001127.pdf</t>
        </is>
      </c>
      <c r="B1574">
        <f>HYPERLINK("C:\Users\lmonroy\Tema\PLANILLAS\2024\BoletasPDF-CCNN\Boleta_T0001127.pdf", "Link")</f>
        <v/>
      </c>
      <c r="C1574" t="n">
        <v>162442</v>
      </c>
      <c r="D1574" t="inlineStr">
        <is>
          <t>2024-02-03 06:55:43</t>
        </is>
      </c>
      <c r="E1574" t="inlineStr">
        <is>
          <t>2024-02-03 06:55:43</t>
        </is>
      </c>
      <c r="F1574" t="inlineStr">
        <is>
          <t>666</t>
        </is>
      </c>
    </row>
    <row r="1575">
      <c r="A1575" t="inlineStr">
        <is>
          <t>Boleta_T0001128.pdf</t>
        </is>
      </c>
      <c r="B1575">
        <f>HYPERLINK("C:\Users\lmonroy\Tema\PLANILLAS\2024\BoletasPDF-CCNN\Boleta_T0001128.pdf", "Link")</f>
        <v/>
      </c>
      <c r="C1575" t="n">
        <v>162426</v>
      </c>
      <c r="D1575" t="inlineStr">
        <is>
          <t>2024-02-03 06:55:44</t>
        </is>
      </c>
      <c r="E1575" t="inlineStr">
        <is>
          <t>2024-02-03 06:55:44</t>
        </is>
      </c>
      <c r="F1575" t="inlineStr">
        <is>
          <t>666</t>
        </is>
      </c>
    </row>
    <row r="1576">
      <c r="A1576" t="inlineStr">
        <is>
          <t>Boleta_T0001130.pdf</t>
        </is>
      </c>
      <c r="B1576">
        <f>HYPERLINK("C:\Users\lmonroy\Tema\PLANILLAS\2024\BoletasPDF-CCNN\Boleta_T0001130.pdf", "Link")</f>
        <v/>
      </c>
      <c r="C1576" t="n">
        <v>162443</v>
      </c>
      <c r="D1576" t="inlineStr">
        <is>
          <t>2024-02-03 06:55:46</t>
        </is>
      </c>
      <c r="E1576" t="inlineStr">
        <is>
          <t>2024-02-03 06:55:46</t>
        </is>
      </c>
      <c r="F1576" t="inlineStr">
        <is>
          <t>666</t>
        </is>
      </c>
    </row>
    <row r="1577">
      <c r="A1577" t="inlineStr">
        <is>
          <t>Boleta_T0001131.pdf</t>
        </is>
      </c>
      <c r="B1577">
        <f>HYPERLINK("C:\Users\lmonroy\Tema\PLANILLAS\2024\BoletasPDF-CCNN\Boleta_T0001131.pdf", "Link")</f>
        <v/>
      </c>
      <c r="C1577" t="n">
        <v>162441</v>
      </c>
      <c r="D1577" t="inlineStr">
        <is>
          <t>2024-02-03 06:55:46</t>
        </is>
      </c>
      <c r="E1577" t="inlineStr">
        <is>
          <t>2024-02-03 06:55:46</t>
        </is>
      </c>
      <c r="F1577" t="inlineStr">
        <is>
          <t>666</t>
        </is>
      </c>
    </row>
    <row r="1578">
      <c r="A1578" t="inlineStr">
        <is>
          <t>Boleta_T0001132.pdf</t>
        </is>
      </c>
      <c r="B1578">
        <f>HYPERLINK("C:\Users\lmonroy\Tema\PLANILLAS\2024\BoletasPDF-CCNN\Boleta_T0001132.pdf", "Link")</f>
        <v/>
      </c>
      <c r="C1578" t="n">
        <v>162426</v>
      </c>
      <c r="D1578" t="inlineStr">
        <is>
          <t>2024-02-03 06:55:47</t>
        </is>
      </c>
      <c r="E1578" t="inlineStr">
        <is>
          <t>2024-02-03 06:55:47</t>
        </is>
      </c>
      <c r="F1578" t="inlineStr">
        <is>
          <t>666</t>
        </is>
      </c>
    </row>
    <row r="1579">
      <c r="A1579" t="inlineStr">
        <is>
          <t>Boleta_T0001133.pdf</t>
        </is>
      </c>
      <c r="B1579">
        <f>HYPERLINK("C:\Users\lmonroy\Tema\PLANILLAS\2024\BoletasPDF-CCNN\Boleta_T0001133.pdf", "Link")</f>
        <v/>
      </c>
      <c r="C1579" t="n">
        <v>162423</v>
      </c>
      <c r="D1579" t="inlineStr">
        <is>
          <t>2024-02-03 06:55:47</t>
        </is>
      </c>
      <c r="E1579" t="inlineStr">
        <is>
          <t>2024-02-03 06:55:47</t>
        </is>
      </c>
      <c r="F1579" t="inlineStr">
        <is>
          <t>666</t>
        </is>
      </c>
    </row>
    <row r="1580">
      <c r="A1580" t="inlineStr">
        <is>
          <t>Boleta_T0001134.pdf</t>
        </is>
      </c>
      <c r="B1580">
        <f>HYPERLINK("C:\Users\lmonroy\Tema\PLANILLAS\2024\BoletasPDF-CCNN\Boleta_T0001134.pdf", "Link")</f>
        <v/>
      </c>
      <c r="C1580" t="n">
        <v>162410</v>
      </c>
      <c r="D1580" t="inlineStr">
        <is>
          <t>2024-02-03 06:55:48</t>
        </is>
      </c>
      <c r="E1580" t="inlineStr">
        <is>
          <t>2024-02-03 06:55:48</t>
        </is>
      </c>
      <c r="F1580" t="inlineStr">
        <is>
          <t>666</t>
        </is>
      </c>
    </row>
    <row r="1581">
      <c r="A1581" t="inlineStr">
        <is>
          <t>Boleta_T0001135.pdf</t>
        </is>
      </c>
      <c r="B1581">
        <f>HYPERLINK("C:\Users\lmonroy\Tema\PLANILLAS\2024\BoletasPDF-CCNN\Boleta_T0001135.pdf", "Link")</f>
        <v/>
      </c>
      <c r="C1581" t="n">
        <v>162457</v>
      </c>
      <c r="D1581" t="inlineStr">
        <is>
          <t>2024-02-03 06:55:50</t>
        </is>
      </c>
      <c r="E1581" t="inlineStr">
        <is>
          <t>2024-02-03 06:55:50</t>
        </is>
      </c>
      <c r="F1581" t="inlineStr">
        <is>
          <t>666</t>
        </is>
      </c>
    </row>
    <row r="1582">
      <c r="A1582" t="inlineStr">
        <is>
          <t>Boleta_T0001136.pdf</t>
        </is>
      </c>
      <c r="B1582">
        <f>HYPERLINK("C:\Users\lmonroy\Tema\PLANILLAS\2024\BoletasPDF-CCNN\Boleta_T0001136.pdf", "Link")</f>
        <v/>
      </c>
      <c r="C1582" t="n">
        <v>162553</v>
      </c>
      <c r="D1582" t="inlineStr">
        <is>
          <t>2024-02-03 06:55:48</t>
        </is>
      </c>
      <c r="E1582" t="inlineStr">
        <is>
          <t>2024-02-03 06:55:48</t>
        </is>
      </c>
      <c r="F1582" t="inlineStr">
        <is>
          <t>666</t>
        </is>
      </c>
    </row>
    <row r="1583">
      <c r="A1583" t="inlineStr">
        <is>
          <t>Boleta_T0001137.pdf</t>
        </is>
      </c>
      <c r="B1583">
        <f>HYPERLINK("C:\Users\lmonroy\Tema\PLANILLAS\2024\BoletasPDF-CCNN\Boleta_T0001137.pdf", "Link")</f>
        <v/>
      </c>
      <c r="C1583" t="n">
        <v>162425</v>
      </c>
      <c r="D1583" t="inlineStr">
        <is>
          <t>2024-02-03 06:55:49</t>
        </is>
      </c>
      <c r="E1583" t="inlineStr">
        <is>
          <t>2024-02-03 06:55:49</t>
        </is>
      </c>
      <c r="F1583" t="inlineStr">
        <is>
          <t>666</t>
        </is>
      </c>
    </row>
    <row r="1584">
      <c r="A1584" t="inlineStr">
        <is>
          <t>Boleta_T0001138.pdf</t>
        </is>
      </c>
      <c r="B1584">
        <f>HYPERLINK("C:\Users\lmonroy\Tema\PLANILLAS\2024\BoletasPDF-CCNN\Boleta_T0001138.pdf", "Link")</f>
        <v/>
      </c>
      <c r="C1584" t="n">
        <v>162439</v>
      </c>
      <c r="D1584" t="inlineStr">
        <is>
          <t>2024-02-03 06:55:50</t>
        </is>
      </c>
      <c r="E1584" t="inlineStr">
        <is>
          <t>2024-02-03 06:55:50</t>
        </is>
      </c>
      <c r="F1584" t="inlineStr">
        <is>
          <t>666</t>
        </is>
      </c>
    </row>
    <row r="1585">
      <c r="A1585" t="inlineStr">
        <is>
          <t>Boleta_T0001139.pdf</t>
        </is>
      </c>
      <c r="B1585">
        <f>HYPERLINK("C:\Users\lmonroy\Tema\PLANILLAS\2024\BoletasPDF-CCNN\Boleta_T0001139.pdf", "Link")</f>
        <v/>
      </c>
      <c r="C1585" t="n">
        <v>162425</v>
      </c>
      <c r="D1585" t="inlineStr">
        <is>
          <t>2024-02-03 06:55:51</t>
        </is>
      </c>
      <c r="E1585" t="inlineStr">
        <is>
          <t>2024-02-03 06:55:51</t>
        </is>
      </c>
      <c r="F1585" t="inlineStr">
        <is>
          <t>666</t>
        </is>
      </c>
    </row>
    <row r="1586">
      <c r="A1586" t="inlineStr">
        <is>
          <t>Boleta_T0001140.pdf</t>
        </is>
      </c>
      <c r="B1586">
        <f>HYPERLINK("C:\Users\lmonroy\Tema\PLANILLAS\2024\BoletasPDF-CCNN\Boleta_T0001140.pdf", "Link")</f>
        <v/>
      </c>
      <c r="C1586" t="n">
        <v>162550</v>
      </c>
      <c r="D1586" t="inlineStr">
        <is>
          <t>2024-02-03 06:55:52</t>
        </is>
      </c>
      <c r="E1586" t="inlineStr">
        <is>
          <t>2024-02-03 06:55:52</t>
        </is>
      </c>
      <c r="F1586" t="inlineStr">
        <is>
          <t>666</t>
        </is>
      </c>
    </row>
    <row r="1587">
      <c r="A1587" t="inlineStr">
        <is>
          <t>Boleta_T0001142.pdf</t>
        </is>
      </c>
      <c r="B1587">
        <f>HYPERLINK("C:\Users\lmonroy\Tema\PLANILLAS\2024\BoletasPDF-CCNN\Boleta_T0001142.pdf", "Link")</f>
        <v/>
      </c>
      <c r="C1587" t="n">
        <v>162285</v>
      </c>
      <c r="D1587" t="inlineStr">
        <is>
          <t>2024-02-03 06:55:53</t>
        </is>
      </c>
      <c r="E1587" t="inlineStr">
        <is>
          <t>2024-02-03 06:55:53</t>
        </is>
      </c>
      <c r="F1587" t="inlineStr">
        <is>
          <t>666</t>
        </is>
      </c>
    </row>
    <row r="1588">
      <c r="A1588" t="inlineStr">
        <is>
          <t>Boleta_T0001144.pdf</t>
        </is>
      </c>
      <c r="B1588">
        <f>HYPERLINK("C:\Users\lmonroy\Tema\PLANILLAS\2024\BoletasPDF-CCNN\Boleta_T0001144.pdf", "Link")</f>
        <v/>
      </c>
      <c r="C1588" t="n">
        <v>162444</v>
      </c>
      <c r="D1588" t="inlineStr">
        <is>
          <t>2024-02-03 06:55:54</t>
        </is>
      </c>
      <c r="E1588" t="inlineStr">
        <is>
          <t>2024-02-03 06:55:54</t>
        </is>
      </c>
      <c r="F1588" t="inlineStr">
        <is>
          <t>666</t>
        </is>
      </c>
    </row>
    <row r="1589">
      <c r="A1589" t="inlineStr">
        <is>
          <t>Boleta_T0001145.pdf</t>
        </is>
      </c>
      <c r="B1589">
        <f>HYPERLINK("C:\Users\lmonroy\Tema\PLANILLAS\2024\BoletasPDF-CCNN\Boleta_T0001145.pdf", "Link")</f>
        <v/>
      </c>
      <c r="C1589" t="n">
        <v>162542</v>
      </c>
      <c r="D1589" t="inlineStr">
        <is>
          <t>2024-02-03 06:55:54</t>
        </is>
      </c>
      <c r="E1589" t="inlineStr">
        <is>
          <t>2024-02-03 06:55:54</t>
        </is>
      </c>
      <c r="F1589" t="inlineStr">
        <is>
          <t>666</t>
        </is>
      </c>
    </row>
    <row r="1590">
      <c r="A1590" t="inlineStr">
        <is>
          <t>Boleta_T0001146.pdf</t>
        </is>
      </c>
      <c r="B1590">
        <f>HYPERLINK("C:\Users\lmonroy\Tema\PLANILLAS\2024\BoletasPDF-CCNN\Boleta_T0001146.pdf", "Link")</f>
        <v/>
      </c>
      <c r="C1590" t="n">
        <v>162431</v>
      </c>
      <c r="D1590" t="inlineStr">
        <is>
          <t>2024-02-03 06:55:55</t>
        </is>
      </c>
      <c r="E1590" t="inlineStr">
        <is>
          <t>2024-02-03 06:55:55</t>
        </is>
      </c>
      <c r="F1590" t="inlineStr">
        <is>
          <t>666</t>
        </is>
      </c>
    </row>
    <row r="1591">
      <c r="A1591" t="inlineStr">
        <is>
          <t>Boleta_T0001147.pdf</t>
        </is>
      </c>
      <c r="B1591">
        <f>HYPERLINK("C:\Users\lmonroy\Tema\PLANILLAS\2024\BoletasPDF-CCNN\Boleta_T0001147.pdf", "Link")</f>
        <v/>
      </c>
      <c r="C1591" t="n">
        <v>162428</v>
      </c>
      <c r="D1591" t="inlineStr">
        <is>
          <t>2024-02-03 06:55:56</t>
        </is>
      </c>
      <c r="E1591" t="inlineStr">
        <is>
          <t>2024-02-03 06:55:56</t>
        </is>
      </c>
      <c r="F1591" t="inlineStr">
        <is>
          <t>666</t>
        </is>
      </c>
    </row>
    <row r="1592">
      <c r="A1592" t="inlineStr">
        <is>
          <t>Boleta_T0001148.pdf</t>
        </is>
      </c>
      <c r="B1592">
        <f>HYPERLINK("C:\Users\lmonroy\Tema\PLANILLAS\2024\BoletasPDF-CCNN\Boleta_T0001148.pdf", "Link")</f>
        <v/>
      </c>
      <c r="C1592" t="n">
        <v>162413</v>
      </c>
      <c r="D1592" t="inlineStr">
        <is>
          <t>2024-02-03 06:55:56</t>
        </is>
      </c>
      <c r="E1592" t="inlineStr">
        <is>
          <t>2024-02-03 06:55:56</t>
        </is>
      </c>
      <c r="F1592" t="inlineStr">
        <is>
          <t>666</t>
        </is>
      </c>
    </row>
    <row r="1593">
      <c r="A1593" t="inlineStr">
        <is>
          <t>Boleta_T0001149.pdf</t>
        </is>
      </c>
      <c r="B1593">
        <f>HYPERLINK("C:\Users\lmonroy\Tema\PLANILLAS\2024\BoletasPDF-CCNN\Boleta_T0001149.pdf", "Link")</f>
        <v/>
      </c>
      <c r="C1593" t="n">
        <v>162427</v>
      </c>
      <c r="D1593" t="inlineStr">
        <is>
          <t>2024-02-03 06:55:57</t>
        </is>
      </c>
      <c r="E1593" t="inlineStr">
        <is>
          <t>2024-02-03 06:55:57</t>
        </is>
      </c>
      <c r="F1593" t="inlineStr">
        <is>
          <t>666</t>
        </is>
      </c>
    </row>
    <row r="1594">
      <c r="A1594" t="inlineStr">
        <is>
          <t>Boleta_T0001150.pdf</t>
        </is>
      </c>
      <c r="B1594">
        <f>HYPERLINK("C:\Users\lmonroy\Tema\PLANILLAS\2024\BoletasPDF-CCNN\Boleta_T0001150.pdf", "Link")</f>
        <v/>
      </c>
      <c r="C1594" t="n">
        <v>162459</v>
      </c>
      <c r="D1594" t="inlineStr">
        <is>
          <t>2024-02-03 06:55:57</t>
        </is>
      </c>
      <c r="E1594" t="inlineStr">
        <is>
          <t>2024-02-03 06:55:57</t>
        </is>
      </c>
      <c r="F1594" t="inlineStr">
        <is>
          <t>666</t>
        </is>
      </c>
    </row>
    <row r="1595">
      <c r="A1595" t="inlineStr">
        <is>
          <t>Boleta_T0001151.pdf</t>
        </is>
      </c>
      <c r="B1595">
        <f>HYPERLINK("C:\Users\lmonroy\Tema\PLANILLAS\2024\BoletasPDF-CCNN\Boleta_T0001151.pdf", "Link")</f>
        <v/>
      </c>
      <c r="C1595" t="n">
        <v>162422</v>
      </c>
      <c r="D1595" t="inlineStr">
        <is>
          <t>2024-02-03 06:55:58</t>
        </is>
      </c>
      <c r="E1595" t="inlineStr">
        <is>
          <t>2024-02-03 06:55:58</t>
        </is>
      </c>
      <c r="F1595" t="inlineStr">
        <is>
          <t>666</t>
        </is>
      </c>
    </row>
    <row r="1596">
      <c r="A1596" t="inlineStr">
        <is>
          <t>Boleta_T0001152.pdf</t>
        </is>
      </c>
      <c r="B1596">
        <f>HYPERLINK("C:\Users\lmonroy\Tema\PLANILLAS\2024\BoletasPDF-CCNN\Boleta_T0001152.pdf", "Link")</f>
        <v/>
      </c>
      <c r="C1596" t="n">
        <v>162546</v>
      </c>
      <c r="D1596" t="inlineStr">
        <is>
          <t>2024-02-03 06:55:59</t>
        </is>
      </c>
      <c r="E1596" t="inlineStr">
        <is>
          <t>2024-02-03 06:55:59</t>
        </is>
      </c>
      <c r="F1596" t="inlineStr">
        <is>
          <t>666</t>
        </is>
      </c>
    </row>
    <row r="1597">
      <c r="A1597" t="inlineStr">
        <is>
          <t>Boleta_T0001153.pdf</t>
        </is>
      </c>
      <c r="B1597">
        <f>HYPERLINK("C:\Users\lmonroy\Tema\PLANILLAS\2024\BoletasPDF-CCNN\Boleta_T0001153.pdf", "Link")</f>
        <v/>
      </c>
      <c r="C1597" t="n">
        <v>162546</v>
      </c>
      <c r="D1597" t="inlineStr">
        <is>
          <t>2024-02-03 06:55:59</t>
        </is>
      </c>
      <c r="E1597" t="inlineStr">
        <is>
          <t>2024-02-03 06:55:59</t>
        </is>
      </c>
      <c r="F1597" t="inlineStr">
        <is>
          <t>666</t>
        </is>
      </c>
    </row>
    <row r="1598">
      <c r="A1598" t="inlineStr">
        <is>
          <t>Boleta_T0001154.pdf</t>
        </is>
      </c>
      <c r="B1598">
        <f>HYPERLINK("C:\Users\lmonroy\Tema\PLANILLAS\2024\BoletasPDF-CCNN\Boleta_T0001154.pdf", "Link")</f>
        <v/>
      </c>
      <c r="C1598" t="n">
        <v>162546</v>
      </c>
      <c r="D1598" t="inlineStr">
        <is>
          <t>2024-02-03 06:56:00</t>
        </is>
      </c>
      <c r="E1598" t="inlineStr">
        <is>
          <t>2024-02-03 06:56:00</t>
        </is>
      </c>
      <c r="F1598" t="inlineStr">
        <is>
          <t>666</t>
        </is>
      </c>
    </row>
    <row r="1599">
      <c r="A1599" t="inlineStr">
        <is>
          <t>Boleta_T0001155.pdf</t>
        </is>
      </c>
      <c r="B1599">
        <f>HYPERLINK("C:\Users\lmonroy\Tema\PLANILLAS\2024\BoletasPDF-CCNN\Boleta_T0001155.pdf", "Link")</f>
        <v/>
      </c>
      <c r="C1599" t="n">
        <v>162600</v>
      </c>
      <c r="D1599" t="inlineStr">
        <is>
          <t>2024-02-03 06:56:00</t>
        </is>
      </c>
      <c r="E1599" t="inlineStr">
        <is>
          <t>2024-02-03 06:56:00</t>
        </is>
      </c>
      <c r="F1599" t="inlineStr">
        <is>
          <t>666</t>
        </is>
      </c>
    </row>
    <row r="1600">
      <c r="A1600" t="inlineStr">
        <is>
          <t>Boleta_T0001157.pdf</t>
        </is>
      </c>
      <c r="B1600">
        <f>HYPERLINK("C:\Users\lmonroy\Tema\PLANILLAS\2024\BoletasPDF-CCNN\Boleta_T0001157.pdf", "Link")</f>
        <v/>
      </c>
      <c r="C1600" t="n">
        <v>162461</v>
      </c>
      <c r="D1600" t="inlineStr">
        <is>
          <t>2024-02-03 06:56:02</t>
        </is>
      </c>
      <c r="E1600" t="inlineStr">
        <is>
          <t>2024-02-03 06:56:02</t>
        </is>
      </c>
      <c r="F1600" t="inlineStr">
        <is>
          <t>666</t>
        </is>
      </c>
    </row>
    <row r="1601">
      <c r="A1601" t="inlineStr">
        <is>
          <t>Boleta_T0001159.pdf</t>
        </is>
      </c>
      <c r="B1601">
        <f>HYPERLINK("C:\Users\lmonroy\Tema\PLANILLAS\2024\BoletasPDF-CCNN\Boleta_T0001159.pdf", "Link")</f>
        <v/>
      </c>
      <c r="C1601" t="n">
        <v>162546</v>
      </c>
      <c r="D1601" t="inlineStr">
        <is>
          <t>2024-02-03 06:56:03</t>
        </is>
      </c>
      <c r="E1601" t="inlineStr">
        <is>
          <t>2024-02-03 06:56:03</t>
        </is>
      </c>
      <c r="F1601" t="inlineStr">
        <is>
          <t>666</t>
        </is>
      </c>
    </row>
    <row r="1602">
      <c r="A1602" t="inlineStr">
        <is>
          <t>Boleta_T0001160.pdf</t>
        </is>
      </c>
      <c r="B1602">
        <f>HYPERLINK("C:\Users\lmonroy\Tema\PLANILLAS\2024\BoletasPDF-CCNN\Boleta_T0001160.pdf", "Link")</f>
        <v/>
      </c>
      <c r="C1602" t="n">
        <v>162435</v>
      </c>
      <c r="D1602" t="inlineStr">
        <is>
          <t>2024-02-03 06:56:03</t>
        </is>
      </c>
      <c r="E1602" t="inlineStr">
        <is>
          <t>2024-02-03 06:56:03</t>
        </is>
      </c>
      <c r="F1602" t="inlineStr">
        <is>
          <t>666</t>
        </is>
      </c>
    </row>
    <row r="1603">
      <c r="A1603" t="inlineStr">
        <is>
          <t>Boleta_T0001162.pdf</t>
        </is>
      </c>
      <c r="B1603">
        <f>HYPERLINK("C:\Users\lmonroy\Tema\PLANILLAS\2024\BoletasPDF-CCNN\Boleta_T0001162.pdf", "Link")</f>
        <v/>
      </c>
      <c r="C1603" t="n">
        <v>162427</v>
      </c>
      <c r="D1603" t="inlineStr">
        <is>
          <t>2024-02-03 06:56:05</t>
        </is>
      </c>
      <c r="E1603" t="inlineStr">
        <is>
          <t>2024-02-03 06:56:05</t>
        </is>
      </c>
      <c r="F1603" t="inlineStr">
        <is>
          <t>666</t>
        </is>
      </c>
    </row>
    <row r="1604">
      <c r="A1604" t="inlineStr">
        <is>
          <t>Boleta_T0001163.pdf</t>
        </is>
      </c>
      <c r="B1604">
        <f>HYPERLINK("C:\Users\lmonroy\Tema\PLANILLAS\2024\BoletasPDF-CCNN\Boleta_T0001163.pdf", "Link")</f>
        <v/>
      </c>
      <c r="C1604" t="n">
        <v>162420</v>
      </c>
      <c r="D1604" t="inlineStr">
        <is>
          <t>2024-02-03 06:56:06</t>
        </is>
      </c>
      <c r="E1604" t="inlineStr">
        <is>
          <t>2024-02-03 06:56:06</t>
        </is>
      </c>
      <c r="F1604" t="inlineStr">
        <is>
          <t>666</t>
        </is>
      </c>
    </row>
    <row r="1605">
      <c r="A1605" t="inlineStr">
        <is>
          <t>Boleta_T0001164.pdf</t>
        </is>
      </c>
      <c r="B1605">
        <f>HYPERLINK("C:\Users\lmonroy\Tema\PLANILLAS\2024\BoletasPDF-CCNN\Boleta_T0001164.pdf", "Link")</f>
        <v/>
      </c>
      <c r="C1605" t="n">
        <v>162443</v>
      </c>
      <c r="D1605" t="inlineStr">
        <is>
          <t>2024-02-03 06:56:06</t>
        </is>
      </c>
      <c r="E1605" t="inlineStr">
        <is>
          <t>2024-02-03 06:56:06</t>
        </is>
      </c>
      <c r="F1605" t="inlineStr">
        <is>
          <t>666</t>
        </is>
      </c>
    </row>
    <row r="1606">
      <c r="A1606" t="inlineStr">
        <is>
          <t>Boleta_T0001165.pdf</t>
        </is>
      </c>
      <c r="B1606">
        <f>HYPERLINK("C:\Users\lmonroy\Tema\PLANILLAS\2024\BoletasPDF-CCNN\Boleta_T0001165.pdf", "Link")</f>
        <v/>
      </c>
      <c r="C1606" t="n">
        <v>162443</v>
      </c>
      <c r="D1606" t="inlineStr">
        <is>
          <t>2024-02-03 06:56:07</t>
        </is>
      </c>
      <c r="E1606" t="inlineStr">
        <is>
          <t>2024-02-03 06:56:07</t>
        </is>
      </c>
      <c r="F1606" t="inlineStr">
        <is>
          <t>666</t>
        </is>
      </c>
    </row>
    <row r="1607">
      <c r="A1607" t="inlineStr">
        <is>
          <t>Boleta_T0001166.pdf</t>
        </is>
      </c>
      <c r="B1607">
        <f>HYPERLINK("C:\Users\lmonroy\Tema\PLANILLAS\2024\BoletasPDF-CCNN\Boleta_T0001166.pdf", "Link")</f>
        <v/>
      </c>
      <c r="C1607" t="n">
        <v>162432</v>
      </c>
      <c r="D1607" t="inlineStr">
        <is>
          <t>2024-02-03 06:56:07</t>
        </is>
      </c>
      <c r="E1607" t="inlineStr">
        <is>
          <t>2024-02-03 06:56:07</t>
        </is>
      </c>
      <c r="F1607" t="inlineStr">
        <is>
          <t>666</t>
        </is>
      </c>
    </row>
    <row r="1608">
      <c r="A1608" t="inlineStr">
        <is>
          <t>Boleta_T0001167.pdf</t>
        </is>
      </c>
      <c r="B1608">
        <f>HYPERLINK("C:\Users\lmonroy\Tema\PLANILLAS\2024\BoletasPDF-CCNN\Boleta_T0001167.pdf", "Link")</f>
        <v/>
      </c>
      <c r="C1608" t="n">
        <v>162530</v>
      </c>
      <c r="D1608" t="inlineStr">
        <is>
          <t>2024-02-03 06:56:08</t>
        </is>
      </c>
      <c r="E1608" t="inlineStr">
        <is>
          <t>2024-02-03 06:56:08</t>
        </is>
      </c>
      <c r="F1608" t="inlineStr">
        <is>
          <t>666</t>
        </is>
      </c>
    </row>
    <row r="1609">
      <c r="A1609" t="inlineStr">
        <is>
          <t>Boleta_T0001168.pdf</t>
        </is>
      </c>
      <c r="B1609">
        <f>HYPERLINK("C:\Users\lmonroy\Tema\PLANILLAS\2024\BoletasPDF-CCNN\Boleta_T0001168.pdf", "Link")</f>
        <v/>
      </c>
      <c r="C1609" t="n">
        <v>162577</v>
      </c>
      <c r="D1609" t="inlineStr">
        <is>
          <t>2024-02-03 06:56:09</t>
        </is>
      </c>
      <c r="E1609" t="inlineStr">
        <is>
          <t>2024-02-03 06:56:09</t>
        </is>
      </c>
      <c r="F1609" t="inlineStr">
        <is>
          <t>666</t>
        </is>
      </c>
    </row>
    <row r="1610">
      <c r="A1610" t="inlineStr">
        <is>
          <t>Boleta_T0001169.pdf</t>
        </is>
      </c>
      <c r="B1610">
        <f>HYPERLINK("C:\Users\lmonroy\Tema\PLANILLAS\2024\BoletasPDF-CCNN\Boleta_T0001169.pdf", "Link")</f>
        <v/>
      </c>
      <c r="C1610" t="n">
        <v>162538</v>
      </c>
      <c r="D1610" t="inlineStr">
        <is>
          <t>2024-02-03 06:56:10</t>
        </is>
      </c>
      <c r="E1610" t="inlineStr">
        <is>
          <t>2024-02-03 06:56:10</t>
        </is>
      </c>
      <c r="F1610" t="inlineStr">
        <is>
          <t>666</t>
        </is>
      </c>
    </row>
    <row r="1611">
      <c r="A1611" t="inlineStr">
        <is>
          <t>Boleta_T0001170.pdf</t>
        </is>
      </c>
      <c r="B1611">
        <f>HYPERLINK("C:\Users\lmonroy\Tema\PLANILLAS\2024\BoletasPDF-CCNN\Boleta_T0001170.pdf", "Link")</f>
        <v/>
      </c>
      <c r="C1611" t="n">
        <v>162545</v>
      </c>
      <c r="D1611" t="inlineStr">
        <is>
          <t>2024-02-03 06:56:10</t>
        </is>
      </c>
      <c r="E1611" t="inlineStr">
        <is>
          <t>2024-02-03 06:56:10</t>
        </is>
      </c>
      <c r="F1611" t="inlineStr">
        <is>
          <t>666</t>
        </is>
      </c>
    </row>
    <row r="1612">
      <c r="A1612" t="inlineStr">
        <is>
          <t>Boleta_T0001171.pdf</t>
        </is>
      </c>
      <c r="B1612">
        <f>HYPERLINK("C:\Users\lmonroy\Tema\PLANILLAS\2024\BoletasPDF-CCNN\Boleta_T0001171.pdf", "Link")</f>
        <v/>
      </c>
      <c r="C1612" t="n">
        <v>162545</v>
      </c>
      <c r="D1612" t="inlineStr">
        <is>
          <t>2024-02-03 06:56:12</t>
        </is>
      </c>
      <c r="E1612" t="inlineStr">
        <is>
          <t>2024-02-03 06:56:12</t>
        </is>
      </c>
      <c r="F1612" t="inlineStr">
        <is>
          <t>666</t>
        </is>
      </c>
    </row>
    <row r="1613">
      <c r="A1613" t="inlineStr">
        <is>
          <t>Boleta_T0001172.pdf</t>
        </is>
      </c>
      <c r="B1613">
        <f>HYPERLINK("C:\Users\lmonroy\Tema\PLANILLAS\2024\BoletasPDF-CCNN\Boleta_T0001172.pdf", "Link")</f>
        <v/>
      </c>
      <c r="C1613" t="n">
        <v>162422</v>
      </c>
      <c r="D1613" t="inlineStr">
        <is>
          <t>2024-02-03 06:56:12</t>
        </is>
      </c>
      <c r="E1613" t="inlineStr">
        <is>
          <t>2024-02-03 06:56:12</t>
        </is>
      </c>
      <c r="F1613" t="inlineStr">
        <is>
          <t>666</t>
        </is>
      </c>
    </row>
    <row r="1614">
      <c r="A1614" t="inlineStr">
        <is>
          <t>Boleta_T0001173.pdf</t>
        </is>
      </c>
      <c r="B1614">
        <f>HYPERLINK("C:\Users\lmonroy\Tema\PLANILLAS\2024\BoletasPDF-CCNN\Boleta_T0001173.pdf", "Link")</f>
        <v/>
      </c>
      <c r="C1614" t="n">
        <v>162420</v>
      </c>
      <c r="D1614" t="inlineStr">
        <is>
          <t>2024-02-03 06:56:13</t>
        </is>
      </c>
      <c r="E1614" t="inlineStr">
        <is>
          <t>2024-02-03 06:56:13</t>
        </is>
      </c>
      <c r="F1614" t="inlineStr">
        <is>
          <t>666</t>
        </is>
      </c>
    </row>
    <row r="1615">
      <c r="A1615" t="inlineStr">
        <is>
          <t>Boleta_T0001174.pdf</t>
        </is>
      </c>
      <c r="B1615">
        <f>HYPERLINK("C:\Users\lmonroy\Tema\PLANILLAS\2024\BoletasPDF-CCNN\Boleta_T0001174.pdf", "Link")</f>
        <v/>
      </c>
      <c r="C1615" t="n">
        <v>162434</v>
      </c>
      <c r="D1615" t="inlineStr">
        <is>
          <t>2024-02-03 06:56:14</t>
        </is>
      </c>
      <c r="E1615" t="inlineStr">
        <is>
          <t>2024-02-03 06:56:14</t>
        </is>
      </c>
      <c r="F1615" t="inlineStr">
        <is>
          <t>666</t>
        </is>
      </c>
    </row>
    <row r="1616">
      <c r="A1616" t="inlineStr">
        <is>
          <t>Boleta_T0001176.pdf</t>
        </is>
      </c>
      <c r="B1616">
        <f>HYPERLINK("C:\Users\lmonroy\Tema\PLANILLAS\2024\BoletasPDF-CCNN\Boleta_T0001176.pdf", "Link")</f>
        <v/>
      </c>
      <c r="C1616" t="n">
        <v>162434</v>
      </c>
      <c r="D1616" t="inlineStr">
        <is>
          <t>2024-02-03 06:56:15</t>
        </is>
      </c>
      <c r="E1616" t="inlineStr">
        <is>
          <t>2024-02-03 06:56:15</t>
        </is>
      </c>
      <c r="F1616" t="inlineStr">
        <is>
          <t>666</t>
        </is>
      </c>
    </row>
    <row r="1617">
      <c r="A1617" t="inlineStr">
        <is>
          <t>Boleta_T0001177.pdf</t>
        </is>
      </c>
      <c r="B1617">
        <f>HYPERLINK("C:\Users\lmonroy\Tema\PLANILLAS\2024\BoletasPDF-CCNN\Boleta_T0001177.pdf", "Link")</f>
        <v/>
      </c>
      <c r="C1617" t="n">
        <v>162563</v>
      </c>
      <c r="D1617" t="inlineStr">
        <is>
          <t>2024-02-03 06:56:16</t>
        </is>
      </c>
      <c r="E1617" t="inlineStr">
        <is>
          <t>2024-02-03 06:56:16</t>
        </is>
      </c>
      <c r="F1617" t="inlineStr">
        <is>
          <t>666</t>
        </is>
      </c>
    </row>
    <row r="1618">
      <c r="A1618" t="inlineStr">
        <is>
          <t>Boleta_T0001180.pdf</t>
        </is>
      </c>
      <c r="B1618">
        <f>HYPERLINK("C:\Users\lmonroy\Tema\PLANILLAS\2024\BoletasPDF-CCNN\Boleta_T0001180.pdf", "Link")</f>
        <v/>
      </c>
      <c r="C1618" t="n">
        <v>162549</v>
      </c>
      <c r="D1618" t="inlineStr">
        <is>
          <t>2024-02-03 06:56:16</t>
        </is>
      </c>
      <c r="E1618" t="inlineStr">
        <is>
          <t>2024-02-03 06:56:16</t>
        </is>
      </c>
      <c r="F1618" t="inlineStr">
        <is>
          <t>666</t>
        </is>
      </c>
    </row>
    <row r="1619">
      <c r="A1619" t="inlineStr">
        <is>
          <t>Boleta_T0001181.pdf</t>
        </is>
      </c>
      <c r="B1619">
        <f>HYPERLINK("C:\Users\lmonroy\Tema\PLANILLAS\2024\BoletasPDF-CCNN\Boleta_T0001181.pdf", "Link")</f>
        <v/>
      </c>
      <c r="C1619" t="n">
        <v>162563</v>
      </c>
      <c r="D1619" t="inlineStr">
        <is>
          <t>2024-02-03 06:56:17</t>
        </is>
      </c>
      <c r="E1619" t="inlineStr">
        <is>
          <t>2024-02-03 06:56:17</t>
        </is>
      </c>
      <c r="F1619" t="inlineStr">
        <is>
          <t>666</t>
        </is>
      </c>
    </row>
    <row r="1620">
      <c r="A1620" t="inlineStr">
        <is>
          <t>Boleta_T0001182.pdf</t>
        </is>
      </c>
      <c r="B1620">
        <f>HYPERLINK("C:\Users\lmonroy\Tema\PLANILLAS\2024\BoletasPDF-CCNN\Boleta_T0001182.pdf", "Link")</f>
        <v/>
      </c>
      <c r="C1620" t="n">
        <v>162563</v>
      </c>
      <c r="D1620" t="inlineStr">
        <is>
          <t>2024-02-03 06:56:18</t>
        </is>
      </c>
      <c r="E1620" t="inlineStr">
        <is>
          <t>2024-02-03 06:56:18</t>
        </is>
      </c>
      <c r="F1620" t="inlineStr">
        <is>
          <t>666</t>
        </is>
      </c>
    </row>
    <row r="1621">
      <c r="A1621" t="inlineStr">
        <is>
          <t>Boleta_T0001183.pdf</t>
        </is>
      </c>
      <c r="B1621">
        <f>HYPERLINK("C:\Users\lmonroy\Tema\PLANILLAS\2024\BoletasPDF-CCNN\Boleta_T0001183.pdf", "Link")</f>
        <v/>
      </c>
      <c r="C1621" t="n">
        <v>162435</v>
      </c>
      <c r="D1621" t="inlineStr">
        <is>
          <t>2024-02-03 06:56:19</t>
        </is>
      </c>
      <c r="E1621" t="inlineStr">
        <is>
          <t>2024-02-03 06:56:19</t>
        </is>
      </c>
      <c r="F1621" t="inlineStr">
        <is>
          <t>666</t>
        </is>
      </c>
    </row>
    <row r="1622">
      <c r="A1622" t="inlineStr">
        <is>
          <t>Boleta_T0001187.pdf</t>
        </is>
      </c>
      <c r="B1622">
        <f>HYPERLINK("C:\Users\lmonroy\Tema\PLANILLAS\2024\BoletasPDF-CCNN\Boleta_T0001187.pdf", "Link")</f>
        <v/>
      </c>
      <c r="C1622" t="n">
        <v>162421</v>
      </c>
      <c r="D1622" t="inlineStr">
        <is>
          <t>2024-02-03 06:56:21</t>
        </is>
      </c>
      <c r="E1622" t="inlineStr">
        <is>
          <t>2024-02-03 06:56:21</t>
        </is>
      </c>
      <c r="F1622" t="inlineStr">
        <is>
          <t>666</t>
        </is>
      </c>
    </row>
    <row r="1623">
      <c r="A1623" t="inlineStr">
        <is>
          <t>Boleta_T0001188.pdf</t>
        </is>
      </c>
      <c r="B1623">
        <f>HYPERLINK("C:\Users\lmonroy\Tema\PLANILLAS\2024\BoletasPDF-CCNN\Boleta_T0001188.pdf", "Link")</f>
        <v/>
      </c>
      <c r="C1623" t="n">
        <v>162595</v>
      </c>
      <c r="D1623" t="inlineStr">
        <is>
          <t>2024-02-03 06:56:22</t>
        </is>
      </c>
      <c r="E1623" t="inlineStr">
        <is>
          <t>2024-02-03 06:56:22</t>
        </is>
      </c>
      <c r="F1623" t="inlineStr">
        <is>
          <t>666</t>
        </is>
      </c>
    </row>
    <row r="1624">
      <c r="A1624" t="inlineStr">
        <is>
          <t>Boleta_T0001190.pdf</t>
        </is>
      </c>
      <c r="B1624">
        <f>HYPERLINK("C:\Users\lmonroy\Tema\PLANILLAS\2024\BoletasPDF-CCNN\Boleta_T0001190.pdf", "Link")</f>
        <v/>
      </c>
      <c r="C1624" t="n">
        <v>162535</v>
      </c>
      <c r="D1624" t="inlineStr">
        <is>
          <t>2024-02-03 06:56:23</t>
        </is>
      </c>
      <c r="E1624" t="inlineStr">
        <is>
          <t>2024-02-03 06:56:23</t>
        </is>
      </c>
      <c r="F1624" t="inlineStr">
        <is>
          <t>666</t>
        </is>
      </c>
    </row>
    <row r="1625">
      <c r="A1625" t="inlineStr">
        <is>
          <t>Boleta_T0001192.pdf</t>
        </is>
      </c>
      <c r="B1625">
        <f>HYPERLINK("C:\Users\lmonroy\Tema\PLANILLAS\2024\BoletasPDF-CCNN\Boleta_T0001192.pdf", "Link")</f>
        <v/>
      </c>
      <c r="C1625" t="n">
        <v>162457</v>
      </c>
      <c r="D1625" t="inlineStr">
        <is>
          <t>2024-02-03 06:56:25</t>
        </is>
      </c>
      <c r="E1625" t="inlineStr">
        <is>
          <t>2024-02-03 06:56:25</t>
        </is>
      </c>
      <c r="F1625" t="inlineStr">
        <is>
          <t>666</t>
        </is>
      </c>
    </row>
    <row r="1626">
      <c r="A1626" t="inlineStr">
        <is>
          <t>Boleta_T0001193.pdf</t>
        </is>
      </c>
      <c r="B1626">
        <f>HYPERLINK("C:\Users\lmonroy\Tema\PLANILLAS\2024\BoletasPDF-CCNN\Boleta_T0001193.pdf", "Link")</f>
        <v/>
      </c>
      <c r="C1626" t="n">
        <v>162542</v>
      </c>
      <c r="D1626" t="inlineStr">
        <is>
          <t>2024-02-03 06:56:25</t>
        </is>
      </c>
      <c r="E1626" t="inlineStr">
        <is>
          <t>2024-02-03 06:56:25</t>
        </is>
      </c>
      <c r="F1626" t="inlineStr">
        <is>
          <t>666</t>
        </is>
      </c>
    </row>
    <row r="1627">
      <c r="A1627" t="inlineStr">
        <is>
          <t>Boleta_T0001195.pdf</t>
        </is>
      </c>
      <c r="B1627">
        <f>HYPERLINK("C:\Users\lmonroy\Tema\PLANILLAS\2024\BoletasPDF-CCNN\Boleta_T0001195.pdf", "Link")</f>
        <v/>
      </c>
      <c r="C1627" t="n">
        <v>162532</v>
      </c>
      <c r="D1627" t="inlineStr">
        <is>
          <t>2024-02-03 06:56:27</t>
        </is>
      </c>
      <c r="E1627" t="inlineStr">
        <is>
          <t>2024-02-03 06:56:27</t>
        </is>
      </c>
      <c r="F1627" t="inlineStr">
        <is>
          <t>666</t>
        </is>
      </c>
    </row>
    <row r="1628">
      <c r="A1628" t="inlineStr">
        <is>
          <t>Boleta_T0001196.pdf</t>
        </is>
      </c>
      <c r="B1628">
        <f>HYPERLINK("C:\Users\lmonroy\Tema\PLANILLAS\2024\BoletasPDF-CCNN\Boleta_T0001196.pdf", "Link")</f>
        <v/>
      </c>
      <c r="C1628" t="n">
        <v>162523</v>
      </c>
      <c r="D1628" t="inlineStr">
        <is>
          <t>2024-02-03 06:56:28</t>
        </is>
      </c>
      <c r="E1628" t="inlineStr">
        <is>
          <t>2024-02-03 06:56:28</t>
        </is>
      </c>
      <c r="F1628" t="inlineStr">
        <is>
          <t>666</t>
        </is>
      </c>
    </row>
    <row r="1629">
      <c r="A1629" t="inlineStr">
        <is>
          <t>Boleta_T0001197.pdf</t>
        </is>
      </c>
      <c r="B1629">
        <f>HYPERLINK("C:\Users\lmonroy\Tema\PLANILLAS\2024\BoletasPDF-CCNN\Boleta_T0001197.pdf", "Link")</f>
        <v/>
      </c>
      <c r="C1629" t="n">
        <v>162426</v>
      </c>
      <c r="D1629" t="inlineStr">
        <is>
          <t>2024-02-03 06:56:29</t>
        </is>
      </c>
      <c r="E1629" t="inlineStr">
        <is>
          <t>2024-02-03 06:56:29</t>
        </is>
      </c>
      <c r="F1629" t="inlineStr">
        <is>
          <t>666</t>
        </is>
      </c>
    </row>
    <row r="1630">
      <c r="A1630" t="inlineStr">
        <is>
          <t>Boleta_T0001198.pdf</t>
        </is>
      </c>
      <c r="B1630">
        <f>HYPERLINK("C:\Users\lmonroy\Tema\PLANILLAS\2024\BoletasPDF-CCNN\Boleta_T0001198.pdf", "Link")</f>
        <v/>
      </c>
      <c r="C1630" t="n">
        <v>162417</v>
      </c>
      <c r="D1630" t="inlineStr">
        <is>
          <t>2024-02-03 06:56:28</t>
        </is>
      </c>
      <c r="E1630" t="inlineStr">
        <is>
          <t>2024-02-03 06:56:28</t>
        </is>
      </c>
      <c r="F1630" t="inlineStr">
        <is>
          <t>666</t>
        </is>
      </c>
    </row>
    <row r="1631">
      <c r="A1631" t="inlineStr">
        <is>
          <t>Boleta_T0001199.pdf</t>
        </is>
      </c>
      <c r="B1631">
        <f>HYPERLINK("C:\Users\lmonroy\Tema\PLANILLAS\2024\BoletasPDF-CCNN\Boleta_T0001199.pdf", "Link")</f>
        <v/>
      </c>
      <c r="C1631" t="n">
        <v>162444</v>
      </c>
      <c r="D1631" t="inlineStr">
        <is>
          <t>2024-02-03 06:56:30</t>
        </is>
      </c>
      <c r="E1631" t="inlineStr">
        <is>
          <t>2024-02-03 06:56:29</t>
        </is>
      </c>
      <c r="F1631" t="inlineStr">
        <is>
          <t>666</t>
        </is>
      </c>
    </row>
    <row r="1632">
      <c r="A1632" t="inlineStr">
        <is>
          <t>Boleta_T0001200.pdf</t>
        </is>
      </c>
      <c r="B1632">
        <f>HYPERLINK("C:\Users\lmonroy\Tema\PLANILLAS\2024\BoletasPDF-CCNN\Boleta_T0001200.pdf", "Link")</f>
        <v/>
      </c>
      <c r="C1632" t="n">
        <v>162526</v>
      </c>
      <c r="D1632" t="inlineStr">
        <is>
          <t>2024-02-03 06:56:30</t>
        </is>
      </c>
      <c r="E1632" t="inlineStr">
        <is>
          <t>2024-02-03 06:56:30</t>
        </is>
      </c>
      <c r="F1632" t="inlineStr">
        <is>
          <t>666</t>
        </is>
      </c>
    </row>
    <row r="1633">
      <c r="A1633" t="inlineStr">
        <is>
          <t>Boleta_T0001201.pdf</t>
        </is>
      </c>
      <c r="B1633">
        <f>HYPERLINK("C:\Users\lmonroy\Tema\PLANILLAS\2024\BoletasPDF-CCNN\Boleta_T0001201.pdf", "Link")</f>
        <v/>
      </c>
      <c r="C1633" t="n">
        <v>162513</v>
      </c>
      <c r="D1633" t="inlineStr">
        <is>
          <t>2024-02-03 06:56:31</t>
        </is>
      </c>
      <c r="E1633" t="inlineStr">
        <is>
          <t>2024-02-03 06:56:31</t>
        </is>
      </c>
      <c r="F1633" t="inlineStr">
        <is>
          <t>666</t>
        </is>
      </c>
    </row>
    <row r="1634">
      <c r="A1634" t="inlineStr">
        <is>
          <t>Boleta_T0001202.pdf</t>
        </is>
      </c>
      <c r="B1634">
        <f>HYPERLINK("C:\Users\lmonroy\Tema\PLANILLAS\2024\BoletasPDF-CCNN\Boleta_T0001202.pdf", "Link")</f>
        <v/>
      </c>
      <c r="C1634" t="n">
        <v>162519</v>
      </c>
      <c r="D1634" t="inlineStr">
        <is>
          <t>2024-02-03 06:56:31</t>
        </is>
      </c>
      <c r="E1634" t="inlineStr">
        <is>
          <t>2024-02-03 06:56:31</t>
        </is>
      </c>
      <c r="F1634" t="inlineStr">
        <is>
          <t>666</t>
        </is>
      </c>
    </row>
    <row r="1635">
      <c r="A1635" t="inlineStr">
        <is>
          <t>Boleta_T0001205.pdf</t>
        </is>
      </c>
      <c r="B1635">
        <f>HYPERLINK("C:\Users\lmonroy\Tema\PLANILLAS\2024\BoletasPDF-CCNN\Boleta_T0001205.pdf", "Link")</f>
        <v/>
      </c>
      <c r="C1635" t="n">
        <v>162411</v>
      </c>
      <c r="D1635" t="inlineStr">
        <is>
          <t>2024-02-03 06:56:35</t>
        </is>
      </c>
      <c r="E1635" t="inlineStr">
        <is>
          <t>2024-02-03 06:56:35</t>
        </is>
      </c>
      <c r="F1635" t="inlineStr">
        <is>
          <t>666</t>
        </is>
      </c>
    </row>
    <row r="1636">
      <c r="A1636" t="inlineStr">
        <is>
          <t>Boleta_T0001206.pdf</t>
        </is>
      </c>
      <c r="B1636">
        <f>HYPERLINK("C:\Users\lmonroy\Tema\PLANILLAS\2024\BoletasPDF-CCNN\Boleta_T0001206.pdf", "Link")</f>
        <v/>
      </c>
      <c r="C1636" t="n">
        <v>162440</v>
      </c>
      <c r="D1636" t="inlineStr">
        <is>
          <t>2024-02-03 06:56:35</t>
        </is>
      </c>
      <c r="E1636" t="inlineStr">
        <is>
          <t>2024-02-03 06:56:35</t>
        </is>
      </c>
      <c r="F1636" t="inlineStr">
        <is>
          <t>666</t>
        </is>
      </c>
    </row>
    <row r="1637">
      <c r="A1637" t="inlineStr">
        <is>
          <t>Boleta_T0001207.pdf</t>
        </is>
      </c>
      <c r="B1637">
        <f>HYPERLINK("C:\Users\lmonroy\Tema\PLANILLAS\2024\BoletasPDF-CCNN\Boleta_T0001207.pdf", "Link")</f>
        <v/>
      </c>
      <c r="C1637" t="n">
        <v>162442</v>
      </c>
      <c r="D1637" t="inlineStr">
        <is>
          <t>2024-02-03 06:56:36</t>
        </is>
      </c>
      <c r="E1637" t="inlineStr">
        <is>
          <t>2024-02-03 06:56:36</t>
        </is>
      </c>
      <c r="F1637" t="inlineStr">
        <is>
          <t>666</t>
        </is>
      </c>
    </row>
    <row r="1638">
      <c r="A1638" t="inlineStr">
        <is>
          <t>Boleta_T0001209.pdf</t>
        </is>
      </c>
      <c r="B1638">
        <f>HYPERLINK("C:\Users\lmonroy\Tema\PLANILLAS\2024\BoletasPDF-CCNN\Boleta_T0001209.pdf", "Link")</f>
        <v/>
      </c>
      <c r="C1638" t="n">
        <v>162442</v>
      </c>
      <c r="D1638" t="inlineStr">
        <is>
          <t>2024-02-03 06:56:38</t>
        </is>
      </c>
      <c r="E1638" t="inlineStr">
        <is>
          <t>2024-02-03 06:56:38</t>
        </is>
      </c>
      <c r="F1638" t="inlineStr">
        <is>
          <t>666</t>
        </is>
      </c>
    </row>
    <row r="1639">
      <c r="A1639" t="inlineStr">
        <is>
          <t>Boleta_T0001210.pdf</t>
        </is>
      </c>
      <c r="B1639">
        <f>HYPERLINK("C:\Users\lmonroy\Tema\PLANILLAS\2024\BoletasPDF-CCNN\Boleta_T0001210.pdf", "Link")</f>
        <v/>
      </c>
      <c r="C1639" t="n">
        <v>162444</v>
      </c>
      <c r="D1639" t="inlineStr">
        <is>
          <t>2024-02-03 06:56:39</t>
        </is>
      </c>
      <c r="E1639" t="inlineStr">
        <is>
          <t>2024-02-03 06:56:39</t>
        </is>
      </c>
      <c r="F1639" t="inlineStr">
        <is>
          <t>666</t>
        </is>
      </c>
    </row>
    <row r="1640">
      <c r="A1640" t="inlineStr">
        <is>
          <t>Boleta_T0001211.pdf</t>
        </is>
      </c>
      <c r="B1640">
        <f>HYPERLINK("C:\Users\lmonroy\Tema\PLANILLAS\2024\BoletasPDF-CCNN\Boleta_T0001211.pdf", "Link")</f>
        <v/>
      </c>
      <c r="C1640" t="n">
        <v>162404</v>
      </c>
      <c r="D1640" t="inlineStr">
        <is>
          <t>2024-02-03 06:56:39</t>
        </is>
      </c>
      <c r="E1640" t="inlineStr">
        <is>
          <t>2024-02-03 06:56:39</t>
        </is>
      </c>
      <c r="F1640" t="inlineStr">
        <is>
          <t>666</t>
        </is>
      </c>
    </row>
    <row r="1641">
      <c r="A1641" t="inlineStr">
        <is>
          <t>Boleta_T0001212.pdf</t>
        </is>
      </c>
      <c r="B1641">
        <f>HYPERLINK("C:\Users\lmonroy\Tema\PLANILLAS\2024\BoletasPDF-CCNN\Boleta_T0001212.pdf", "Link")</f>
        <v/>
      </c>
      <c r="C1641" t="n">
        <v>162603</v>
      </c>
      <c r="D1641" t="inlineStr">
        <is>
          <t>2024-02-03 06:56:40</t>
        </is>
      </c>
      <c r="E1641" t="inlineStr">
        <is>
          <t>2024-02-03 06:56:40</t>
        </is>
      </c>
      <c r="F1641" t="inlineStr">
        <is>
          <t>666</t>
        </is>
      </c>
    </row>
    <row r="1642">
      <c r="A1642" t="inlineStr">
        <is>
          <t>Boleta_T0001214.pdf</t>
        </is>
      </c>
      <c r="B1642">
        <f>HYPERLINK("C:\Users\lmonroy\Tema\PLANILLAS\2024\BoletasPDF-CCNN\Boleta_T0001214.pdf", "Link")</f>
        <v/>
      </c>
      <c r="C1642" t="n">
        <v>162442</v>
      </c>
      <c r="D1642" t="inlineStr">
        <is>
          <t>2024-02-03 06:56:43</t>
        </is>
      </c>
      <c r="E1642" t="inlineStr">
        <is>
          <t>2024-02-03 06:56:43</t>
        </is>
      </c>
      <c r="F1642" t="inlineStr">
        <is>
          <t>666</t>
        </is>
      </c>
    </row>
    <row r="1643">
      <c r="A1643" t="inlineStr">
        <is>
          <t>Boleta_T0001215.pdf</t>
        </is>
      </c>
      <c r="B1643">
        <f>HYPERLINK("C:\Users\lmonroy\Tema\PLANILLAS\2024\BoletasPDF-CCNN\Boleta_T0001215.pdf", "Link")</f>
        <v/>
      </c>
      <c r="C1643" t="n">
        <v>162449</v>
      </c>
      <c r="D1643" t="inlineStr">
        <is>
          <t>2024-02-03 06:56:44</t>
        </is>
      </c>
      <c r="E1643" t="inlineStr">
        <is>
          <t>2024-02-03 06:56:44</t>
        </is>
      </c>
      <c r="F1643" t="inlineStr">
        <is>
          <t>666</t>
        </is>
      </c>
    </row>
    <row r="1644">
      <c r="A1644" t="inlineStr">
        <is>
          <t>Boleta_T0001216.pdf</t>
        </is>
      </c>
      <c r="B1644">
        <f>HYPERLINK("C:\Users\lmonroy\Tema\PLANILLAS\2024\BoletasPDF-CCNN\Boleta_T0001216.pdf", "Link")</f>
        <v/>
      </c>
      <c r="C1644" t="n">
        <v>162425</v>
      </c>
      <c r="D1644" t="inlineStr">
        <is>
          <t>2024-02-03 06:56:45</t>
        </is>
      </c>
      <c r="E1644" t="inlineStr">
        <is>
          <t>2024-02-03 06:56:45</t>
        </is>
      </c>
      <c r="F1644" t="inlineStr">
        <is>
          <t>666</t>
        </is>
      </c>
    </row>
    <row r="1645">
      <c r="A1645" t="inlineStr">
        <is>
          <t>Boleta_T0001217.pdf</t>
        </is>
      </c>
      <c r="B1645">
        <f>HYPERLINK("C:\Users\lmonroy\Tema\PLANILLAS\2024\BoletasPDF-CCNN\Boleta_T0001217.pdf", "Link")</f>
        <v/>
      </c>
      <c r="C1645" t="n">
        <v>162448</v>
      </c>
      <c r="D1645" t="inlineStr">
        <is>
          <t>2024-02-03 06:56:45</t>
        </is>
      </c>
      <c r="E1645" t="inlineStr">
        <is>
          <t>2024-02-03 06:56:45</t>
        </is>
      </c>
      <c r="F1645" t="inlineStr">
        <is>
          <t>666</t>
        </is>
      </c>
    </row>
    <row r="1646">
      <c r="A1646" t="inlineStr">
        <is>
          <t>Boleta_T0001218.pdf</t>
        </is>
      </c>
      <c r="B1646">
        <f>HYPERLINK("C:\Users\lmonroy\Tema\PLANILLAS\2024\BoletasPDF-CCNN\Boleta_T0001218.pdf", "Link")</f>
        <v/>
      </c>
      <c r="C1646" t="n">
        <v>162446</v>
      </c>
      <c r="D1646" t="inlineStr">
        <is>
          <t>2024-02-03 06:56:46</t>
        </is>
      </c>
      <c r="E1646" t="inlineStr">
        <is>
          <t>2024-02-03 06:56:46</t>
        </is>
      </c>
      <c r="F1646" t="inlineStr">
        <is>
          <t>666</t>
        </is>
      </c>
    </row>
    <row r="1647">
      <c r="A1647" t="inlineStr">
        <is>
          <t>Boleta_T0001219.pdf</t>
        </is>
      </c>
      <c r="B1647">
        <f>HYPERLINK("C:\Users\lmonroy\Tema\PLANILLAS\2024\BoletasPDF-CCNN\Boleta_T0001219.pdf", "Link")</f>
        <v/>
      </c>
      <c r="C1647" t="n">
        <v>162442</v>
      </c>
      <c r="D1647" t="inlineStr">
        <is>
          <t>2024-02-03 06:56:46</t>
        </is>
      </c>
      <c r="E1647" t="inlineStr">
        <is>
          <t>2024-02-03 06:56:46</t>
        </is>
      </c>
      <c r="F1647" t="inlineStr">
        <is>
          <t>666</t>
        </is>
      </c>
    </row>
    <row r="1648">
      <c r="A1648" t="inlineStr">
        <is>
          <t>Boleta_T0001220.pdf</t>
        </is>
      </c>
      <c r="B1648">
        <f>HYPERLINK("C:\Users\lmonroy\Tema\PLANILLAS\2024\BoletasPDF-CCNN\Boleta_T0001220.pdf", "Link")</f>
        <v/>
      </c>
      <c r="C1648" t="n">
        <v>162450</v>
      </c>
      <c r="D1648" t="inlineStr">
        <is>
          <t>2024-02-03 06:56:47</t>
        </is>
      </c>
      <c r="E1648" t="inlineStr">
        <is>
          <t>2024-02-03 06:56:47</t>
        </is>
      </c>
      <c r="F1648" t="inlineStr">
        <is>
          <t>666</t>
        </is>
      </c>
    </row>
    <row r="1649">
      <c r="A1649" t="inlineStr">
        <is>
          <t>Boleta_T0001224.pdf</t>
        </is>
      </c>
      <c r="B1649">
        <f>HYPERLINK("C:\Users\lmonroy\Tema\PLANILLAS\2024\BoletasPDF-CCNN\Boleta_T0001224.pdf", "Link")</f>
        <v/>
      </c>
      <c r="C1649" t="n">
        <v>162421</v>
      </c>
      <c r="D1649" t="inlineStr">
        <is>
          <t>2024-02-03 06:56:49</t>
        </is>
      </c>
      <c r="E1649" t="inlineStr">
        <is>
          <t>2024-02-03 06:56:49</t>
        </is>
      </c>
      <c r="F1649" t="inlineStr">
        <is>
          <t>666</t>
        </is>
      </c>
    </row>
    <row r="1650">
      <c r="A1650" t="inlineStr">
        <is>
          <t>Boleta_T0001225.pdf</t>
        </is>
      </c>
      <c r="B1650">
        <f>HYPERLINK("C:\Users\lmonroy\Tema\PLANILLAS\2024\BoletasPDF-CCNN\Boleta_T0001225.pdf", "Link")</f>
        <v/>
      </c>
      <c r="C1650" t="n">
        <v>162452</v>
      </c>
      <c r="D1650" t="inlineStr">
        <is>
          <t>2024-02-03 06:56:49</t>
        </is>
      </c>
      <c r="E1650" t="inlineStr">
        <is>
          <t>2024-02-03 06:56:49</t>
        </is>
      </c>
      <c r="F1650" t="inlineStr">
        <is>
          <t>666</t>
        </is>
      </c>
    </row>
    <row r="1651">
      <c r="A1651" t="inlineStr">
        <is>
          <t>Boleta_T0001226.pdf</t>
        </is>
      </c>
      <c r="B1651">
        <f>HYPERLINK("C:\Users\lmonroy\Tema\PLANILLAS\2024\BoletasPDF-CCNN\Boleta_T0001226.pdf", "Link")</f>
        <v/>
      </c>
      <c r="C1651" t="n">
        <v>162457</v>
      </c>
      <c r="D1651" t="inlineStr">
        <is>
          <t>2024-02-03 06:56:50</t>
        </is>
      </c>
      <c r="E1651" t="inlineStr">
        <is>
          <t>2024-02-03 06:56:50</t>
        </is>
      </c>
      <c r="F1651" t="inlineStr">
        <is>
          <t>666</t>
        </is>
      </c>
    </row>
    <row r="1652">
      <c r="A1652" t="inlineStr">
        <is>
          <t>Boleta_T0001230.pdf</t>
        </is>
      </c>
      <c r="B1652">
        <f>HYPERLINK("C:\Users\lmonroy\Tema\PLANILLAS\2024\BoletasPDF-CCNN\Boleta_T0001230.pdf", "Link")</f>
        <v/>
      </c>
      <c r="C1652" t="n">
        <v>162552</v>
      </c>
      <c r="D1652" t="inlineStr">
        <is>
          <t>2024-02-03 06:56:52</t>
        </is>
      </c>
      <c r="E1652" t="inlineStr">
        <is>
          <t>2024-02-03 06:56:52</t>
        </is>
      </c>
      <c r="F1652" t="inlineStr">
        <is>
          <t>666</t>
        </is>
      </c>
    </row>
    <row r="1653">
      <c r="A1653" t="inlineStr">
        <is>
          <t>Boleta_T0001231.pdf</t>
        </is>
      </c>
      <c r="B1653">
        <f>HYPERLINK("C:\Users\lmonroy\Tema\PLANILLAS\2024\BoletasPDF-CCNN\Boleta_T0001231.pdf", "Link")</f>
        <v/>
      </c>
      <c r="C1653" t="n">
        <v>162421</v>
      </c>
      <c r="D1653" t="inlineStr">
        <is>
          <t>2024-02-03 06:56:52</t>
        </is>
      </c>
      <c r="E1653" t="inlineStr">
        <is>
          <t>2024-02-03 06:56:52</t>
        </is>
      </c>
      <c r="F1653" t="inlineStr">
        <is>
          <t>666</t>
        </is>
      </c>
    </row>
    <row r="1654">
      <c r="A1654" t="inlineStr">
        <is>
          <t>Boleta_T0001232.pdf</t>
        </is>
      </c>
      <c r="B1654">
        <f>HYPERLINK("C:\Users\lmonroy\Tema\PLANILLAS\2024\BoletasPDF-CCNN\Boleta_T0001232.pdf", "Link")</f>
        <v/>
      </c>
      <c r="C1654" t="n">
        <v>162459</v>
      </c>
      <c r="D1654" t="inlineStr">
        <is>
          <t>2024-02-03 06:56:53</t>
        </is>
      </c>
      <c r="E1654" t="inlineStr">
        <is>
          <t>2024-02-03 06:56:53</t>
        </is>
      </c>
      <c r="F1654" t="inlineStr">
        <is>
          <t>666</t>
        </is>
      </c>
    </row>
    <row r="1655">
      <c r="A1655" t="inlineStr">
        <is>
          <t>Boleta_T0001233.pdf</t>
        </is>
      </c>
      <c r="B1655">
        <f>HYPERLINK("C:\Users\lmonroy\Tema\PLANILLAS\2024\BoletasPDF-CCNN\Boleta_T0001233.pdf", "Link")</f>
        <v/>
      </c>
      <c r="C1655" t="n">
        <v>162442</v>
      </c>
      <c r="D1655" t="inlineStr">
        <is>
          <t>2024-02-03 06:56:54</t>
        </is>
      </c>
      <c r="E1655" t="inlineStr">
        <is>
          <t>2024-02-03 06:56:54</t>
        </is>
      </c>
      <c r="F1655" t="inlineStr">
        <is>
          <t>666</t>
        </is>
      </c>
    </row>
    <row r="1656">
      <c r="A1656" t="inlineStr">
        <is>
          <t>Boleta_T0001234.pdf</t>
        </is>
      </c>
      <c r="B1656">
        <f>HYPERLINK("C:\Users\lmonroy\Tema\PLANILLAS\2024\BoletasPDF-CCNN\Boleta_T0001234.pdf", "Link")</f>
        <v/>
      </c>
      <c r="C1656" t="n">
        <v>162421</v>
      </c>
      <c r="D1656" t="inlineStr">
        <is>
          <t>2024-02-03 06:56:54</t>
        </is>
      </c>
      <c r="E1656" t="inlineStr">
        <is>
          <t>2024-02-03 06:56:54</t>
        </is>
      </c>
      <c r="F1656" t="inlineStr">
        <is>
          <t>666</t>
        </is>
      </c>
    </row>
    <row r="1657">
      <c r="A1657" t="inlineStr">
        <is>
          <t>Boleta_T0001235.pdf</t>
        </is>
      </c>
      <c r="B1657">
        <f>HYPERLINK("C:\Users\lmonroy\Tema\PLANILLAS\2024\BoletasPDF-CCNN\Boleta_T0001235.pdf", "Link")</f>
        <v/>
      </c>
      <c r="C1657" t="n">
        <v>162441</v>
      </c>
      <c r="D1657" t="inlineStr">
        <is>
          <t>2024-02-03 06:56:55</t>
        </is>
      </c>
      <c r="E1657" t="inlineStr">
        <is>
          <t>2024-02-03 06:56:55</t>
        </is>
      </c>
      <c r="F1657" t="inlineStr">
        <is>
          <t>666</t>
        </is>
      </c>
    </row>
    <row r="1658">
      <c r="A1658" t="inlineStr">
        <is>
          <t>Boleta_T0001236.pdf</t>
        </is>
      </c>
      <c r="B1658">
        <f>HYPERLINK("C:\Users\lmonroy\Tema\PLANILLAS\2024\BoletasPDF-CCNN\Boleta_T0001236.pdf", "Link")</f>
        <v/>
      </c>
      <c r="C1658" t="n">
        <v>162432</v>
      </c>
      <c r="D1658" t="inlineStr">
        <is>
          <t>2024-02-03 06:56:55</t>
        </is>
      </c>
      <c r="E1658" t="inlineStr">
        <is>
          <t>2024-02-03 06:56:55</t>
        </is>
      </c>
      <c r="F1658" t="inlineStr">
        <is>
          <t>666</t>
        </is>
      </c>
    </row>
    <row r="1659">
      <c r="A1659" t="inlineStr">
        <is>
          <t>Boleta_T0001237.pdf</t>
        </is>
      </c>
      <c r="B1659">
        <f>HYPERLINK("C:\Users\lmonroy\Tema\PLANILLAS\2024\BoletasPDF-CCNN\Boleta_T0001237.pdf", "Link")</f>
        <v/>
      </c>
      <c r="C1659" t="n">
        <v>162547</v>
      </c>
      <c r="D1659" t="inlineStr">
        <is>
          <t>2024-02-03 06:56:56</t>
        </is>
      </c>
      <c r="E1659" t="inlineStr">
        <is>
          <t>2024-02-03 06:56:56</t>
        </is>
      </c>
      <c r="F1659" t="inlineStr">
        <is>
          <t>666</t>
        </is>
      </c>
    </row>
    <row r="1660">
      <c r="A1660" t="inlineStr">
        <is>
          <t>Boleta_T0001239.pdf</t>
        </is>
      </c>
      <c r="B1660">
        <f>HYPERLINK("C:\Users\lmonroy\Tema\PLANILLAS\2024\BoletasPDF-CCNN\Boleta_T0001239.pdf", "Link")</f>
        <v/>
      </c>
      <c r="C1660" t="n">
        <v>162541</v>
      </c>
      <c r="D1660" t="inlineStr">
        <is>
          <t>2024-02-03 06:56:57</t>
        </is>
      </c>
      <c r="E1660" t="inlineStr">
        <is>
          <t>2024-02-03 06:56:57</t>
        </is>
      </c>
      <c r="F1660" t="inlineStr">
        <is>
          <t>666</t>
        </is>
      </c>
    </row>
    <row r="1661">
      <c r="A1661" t="inlineStr">
        <is>
          <t>Boleta_T0001240.pdf</t>
        </is>
      </c>
      <c r="B1661">
        <f>HYPERLINK("C:\Users\lmonroy\Tema\PLANILLAS\2024\BoletasPDF-CCNN\Boleta_T0001240.pdf", "Link")</f>
        <v/>
      </c>
      <c r="C1661" t="n">
        <v>162440</v>
      </c>
      <c r="D1661" t="inlineStr">
        <is>
          <t>2024-02-03 06:56:57</t>
        </is>
      </c>
      <c r="E1661" t="inlineStr">
        <is>
          <t>2024-02-03 06:56:57</t>
        </is>
      </c>
      <c r="F1661" t="inlineStr">
        <is>
          <t>666</t>
        </is>
      </c>
    </row>
    <row r="1662">
      <c r="A1662" t="inlineStr">
        <is>
          <t>Boleta_T0001241.pdf</t>
        </is>
      </c>
      <c r="B1662">
        <f>HYPERLINK("C:\Users\lmonroy\Tema\PLANILLAS\2024\BoletasPDF-CCNN\Boleta_T0001241.pdf", "Link")</f>
        <v/>
      </c>
      <c r="C1662" t="n">
        <v>162558</v>
      </c>
      <c r="D1662" t="inlineStr">
        <is>
          <t>2024-02-03 06:56:58</t>
        </is>
      </c>
      <c r="E1662" t="inlineStr">
        <is>
          <t>2024-02-03 06:56:58</t>
        </is>
      </c>
      <c r="F1662" t="inlineStr">
        <is>
          <t>666</t>
        </is>
      </c>
    </row>
    <row r="1663">
      <c r="A1663" t="inlineStr">
        <is>
          <t>Boleta_T0001242.pdf</t>
        </is>
      </c>
      <c r="B1663">
        <f>HYPERLINK("C:\Users\lmonroy\Tema\PLANILLAS\2024\BoletasPDF-CCNN\Boleta_T0001242.pdf", "Link")</f>
        <v/>
      </c>
      <c r="C1663" t="n">
        <v>162558</v>
      </c>
      <c r="D1663" t="inlineStr">
        <is>
          <t>2024-02-03 06:56:58</t>
        </is>
      </c>
      <c r="E1663" t="inlineStr">
        <is>
          <t>2024-02-03 06:56:58</t>
        </is>
      </c>
      <c r="F1663" t="inlineStr">
        <is>
          <t>666</t>
        </is>
      </c>
    </row>
    <row r="1664">
      <c r="A1664" t="inlineStr">
        <is>
          <t>Boleta_T0001243.pdf</t>
        </is>
      </c>
      <c r="B1664">
        <f>HYPERLINK("C:\Users\lmonroy\Tema\PLANILLAS\2024\BoletasPDF-CCNN\Boleta_T0001243.pdf", "Link")</f>
        <v/>
      </c>
      <c r="C1664" t="n">
        <v>162613</v>
      </c>
      <c r="D1664" t="inlineStr">
        <is>
          <t>2024-02-03 06:56:59</t>
        </is>
      </c>
      <c r="E1664" t="inlineStr">
        <is>
          <t>2024-02-03 06:56:59</t>
        </is>
      </c>
      <c r="F1664" t="inlineStr">
        <is>
          <t>666</t>
        </is>
      </c>
    </row>
    <row r="1665">
      <c r="A1665" t="inlineStr">
        <is>
          <t>Boleta_T0001246.pdf</t>
        </is>
      </c>
      <c r="B1665">
        <f>HYPERLINK("C:\Users\lmonroy\Tema\PLANILLAS\2024\BoletasPDF-CCNN\Boleta_T0001246.pdf", "Link")</f>
        <v/>
      </c>
      <c r="C1665" t="n">
        <v>162457</v>
      </c>
      <c r="D1665" t="inlineStr">
        <is>
          <t>2024-02-03 06:57:01</t>
        </is>
      </c>
      <c r="E1665" t="inlineStr">
        <is>
          <t>2024-02-03 06:57:01</t>
        </is>
      </c>
      <c r="F1665" t="inlineStr">
        <is>
          <t>666</t>
        </is>
      </c>
    </row>
    <row r="1666">
      <c r="A1666" t="inlineStr">
        <is>
          <t>Boleta_T0001247.pdf</t>
        </is>
      </c>
      <c r="B1666">
        <f>HYPERLINK("C:\Users\lmonroy\Tema\PLANILLAS\2024\BoletasPDF-CCNN\Boleta_T0001247.pdf", "Link")</f>
        <v/>
      </c>
      <c r="C1666" t="n">
        <v>162549</v>
      </c>
      <c r="D1666" t="inlineStr">
        <is>
          <t>2024-02-03 06:57:02</t>
        </is>
      </c>
      <c r="E1666" t="inlineStr">
        <is>
          <t>2024-02-03 06:57:02</t>
        </is>
      </c>
      <c r="F1666" t="inlineStr">
        <is>
          <t>666</t>
        </is>
      </c>
    </row>
    <row r="1667">
      <c r="A1667" t="inlineStr">
        <is>
          <t>Boleta_T0001248.pdf</t>
        </is>
      </c>
      <c r="B1667">
        <f>HYPERLINK("C:\Users\lmonroy\Tema\PLANILLAS\2024\BoletasPDF-CCNN\Boleta_T0001248.pdf", "Link")</f>
        <v/>
      </c>
      <c r="C1667" t="n">
        <v>162535</v>
      </c>
      <c r="D1667" t="inlineStr">
        <is>
          <t>2024-02-03 06:57:03</t>
        </is>
      </c>
      <c r="E1667" t="inlineStr">
        <is>
          <t>2024-02-03 06:57:03</t>
        </is>
      </c>
      <c r="F1667" t="inlineStr">
        <is>
          <t>666</t>
        </is>
      </c>
    </row>
    <row r="1668">
      <c r="A1668" t="inlineStr">
        <is>
          <t>Boleta_T0001249.pdf</t>
        </is>
      </c>
      <c r="B1668">
        <f>HYPERLINK("C:\Users\lmonroy\Tema\PLANILLAS\2024\BoletasPDF-CCNN\Boleta_T0001249.pdf", "Link")</f>
        <v/>
      </c>
      <c r="C1668" t="n">
        <v>162413</v>
      </c>
      <c r="D1668" t="inlineStr">
        <is>
          <t>2024-02-03 06:57:04</t>
        </is>
      </c>
      <c r="E1668" t="inlineStr">
        <is>
          <t>2024-02-03 06:57:04</t>
        </is>
      </c>
      <c r="F1668" t="inlineStr">
        <is>
          <t>666</t>
        </is>
      </c>
    </row>
    <row r="1669">
      <c r="A1669" t="inlineStr">
        <is>
          <t>Boleta_T0001250.pdf</t>
        </is>
      </c>
      <c r="B1669">
        <f>HYPERLINK("C:\Users\lmonroy\Tema\PLANILLAS\2024\BoletasPDF-CCNN\Boleta_T0001250.pdf", "Link")</f>
        <v/>
      </c>
      <c r="C1669" t="n">
        <v>162549</v>
      </c>
      <c r="D1669" t="inlineStr">
        <is>
          <t>2024-02-03 06:57:04</t>
        </is>
      </c>
      <c r="E1669" t="inlineStr">
        <is>
          <t>2024-02-03 06:57:04</t>
        </is>
      </c>
      <c r="F1669" t="inlineStr">
        <is>
          <t>666</t>
        </is>
      </c>
    </row>
    <row r="1670">
      <c r="A1670" t="inlineStr">
        <is>
          <t>Boleta_T0001251.pdf</t>
        </is>
      </c>
      <c r="B1670">
        <f>HYPERLINK("C:\Users\lmonroy\Tema\PLANILLAS\2024\BoletasPDF-CCNN\Boleta_T0001251.pdf", "Link")</f>
        <v/>
      </c>
      <c r="C1670" t="n">
        <v>162437</v>
      </c>
      <c r="D1670" t="inlineStr">
        <is>
          <t>2024-02-03 06:57:05</t>
        </is>
      </c>
      <c r="E1670" t="inlineStr">
        <is>
          <t>2024-02-03 06:57:05</t>
        </is>
      </c>
      <c r="F1670" t="inlineStr">
        <is>
          <t>666</t>
        </is>
      </c>
    </row>
    <row r="1671">
      <c r="A1671" t="inlineStr">
        <is>
          <t>Boleta_T0001252.pdf</t>
        </is>
      </c>
      <c r="B1671">
        <f>HYPERLINK("C:\Users\lmonroy\Tema\PLANILLAS\2024\BoletasPDF-CCNN\Boleta_T0001252.pdf", "Link")</f>
        <v/>
      </c>
      <c r="C1671" t="n">
        <v>162533</v>
      </c>
      <c r="D1671" t="inlineStr">
        <is>
          <t>2024-02-03 06:57:06</t>
        </is>
      </c>
      <c r="E1671" t="inlineStr">
        <is>
          <t>2024-02-03 06:57:06</t>
        </is>
      </c>
      <c r="F1671" t="inlineStr">
        <is>
          <t>666</t>
        </is>
      </c>
    </row>
    <row r="1672">
      <c r="A1672" t="inlineStr">
        <is>
          <t>Boleta_T0001253.pdf</t>
        </is>
      </c>
      <c r="B1672">
        <f>HYPERLINK("C:\Users\lmonroy\Tema\PLANILLAS\2024\BoletasPDF-CCNN\Boleta_T0001253.pdf", "Link")</f>
        <v/>
      </c>
      <c r="C1672" t="n">
        <v>162440</v>
      </c>
      <c r="D1672" t="inlineStr">
        <is>
          <t>2024-02-03 06:57:06</t>
        </is>
      </c>
      <c r="E1672" t="inlineStr">
        <is>
          <t>2024-02-03 06:57:06</t>
        </is>
      </c>
      <c r="F1672" t="inlineStr">
        <is>
          <t>666</t>
        </is>
      </c>
    </row>
    <row r="1673">
      <c r="A1673" t="inlineStr">
        <is>
          <t>Boleta_T0001255.pdf</t>
        </is>
      </c>
      <c r="B1673">
        <f>HYPERLINK("C:\Users\lmonroy\Tema\PLANILLAS\2024\BoletasPDF-CCNN\Boleta_T0001255.pdf", "Link")</f>
        <v/>
      </c>
      <c r="C1673" t="n">
        <v>162457</v>
      </c>
      <c r="D1673" t="inlineStr">
        <is>
          <t>2024-02-03 06:57:07</t>
        </is>
      </c>
      <c r="E1673" t="inlineStr">
        <is>
          <t>2024-02-03 06:57:07</t>
        </is>
      </c>
      <c r="F1673" t="inlineStr">
        <is>
          <t>666</t>
        </is>
      </c>
    </row>
    <row r="1674">
      <c r="A1674" t="inlineStr">
        <is>
          <t>Boleta_T0001257.pdf</t>
        </is>
      </c>
      <c r="B1674">
        <f>HYPERLINK("C:\Users\lmonroy\Tema\PLANILLAS\2024\BoletasPDF-CCNN\Boleta_T0001257.pdf", "Link")</f>
        <v/>
      </c>
      <c r="C1674" t="n">
        <v>162461</v>
      </c>
      <c r="D1674" t="inlineStr">
        <is>
          <t>2024-02-03 06:57:08</t>
        </is>
      </c>
      <c r="E1674" t="inlineStr">
        <is>
          <t>2024-02-03 06:57:08</t>
        </is>
      </c>
      <c r="F1674" t="inlineStr">
        <is>
          <t>666</t>
        </is>
      </c>
    </row>
    <row r="1675">
      <c r="A1675" t="inlineStr">
        <is>
          <t>Boleta_T0001258.pdf</t>
        </is>
      </c>
      <c r="B1675">
        <f>HYPERLINK("C:\Users\lmonroy\Tema\PLANILLAS\2024\BoletasPDF-CCNN\Boleta_T0001258.pdf", "Link")</f>
        <v/>
      </c>
      <c r="C1675" t="n">
        <v>162507</v>
      </c>
      <c r="D1675" t="inlineStr">
        <is>
          <t>2024-02-03 06:57:10</t>
        </is>
      </c>
      <c r="E1675" t="inlineStr">
        <is>
          <t>2024-02-03 06:57:10</t>
        </is>
      </c>
      <c r="F1675" t="inlineStr">
        <is>
          <t>666</t>
        </is>
      </c>
    </row>
    <row r="1676">
      <c r="A1676" t="inlineStr">
        <is>
          <t>Boleta_T0001259.pdf</t>
        </is>
      </c>
      <c r="B1676">
        <f>HYPERLINK("C:\Users\lmonroy\Tema\PLANILLAS\2024\BoletasPDF-CCNN\Boleta_T0001259.pdf", "Link")</f>
        <v/>
      </c>
      <c r="C1676" t="n">
        <v>162419</v>
      </c>
      <c r="D1676" t="inlineStr">
        <is>
          <t>2024-02-03 06:57:10</t>
        </is>
      </c>
      <c r="E1676" t="inlineStr">
        <is>
          <t>2024-02-03 06:57:10</t>
        </is>
      </c>
      <c r="F1676" t="inlineStr">
        <is>
          <t>666</t>
        </is>
      </c>
    </row>
    <row r="1677">
      <c r="A1677" t="inlineStr">
        <is>
          <t>Boleta_T0001261.pdf</t>
        </is>
      </c>
      <c r="B1677">
        <f>HYPERLINK("C:\Users\lmonroy\Tema\PLANILLAS\2024\BoletasPDF-CCNN\Boleta_T0001261.pdf", "Link")</f>
        <v/>
      </c>
      <c r="C1677" t="n">
        <v>162551</v>
      </c>
      <c r="D1677" t="inlineStr">
        <is>
          <t>2024-02-03 06:57:11</t>
        </is>
      </c>
      <c r="E1677" t="inlineStr">
        <is>
          <t>2024-02-03 06:57:11</t>
        </is>
      </c>
      <c r="F1677" t="inlineStr">
        <is>
          <t>666</t>
        </is>
      </c>
    </row>
    <row r="1678">
      <c r="A1678" t="inlineStr">
        <is>
          <t>Boleta_T0001263.pdf</t>
        </is>
      </c>
      <c r="B1678">
        <f>HYPERLINK("C:\Users\lmonroy\Tema\PLANILLAS\2024\BoletasPDF-CCNN\Boleta_T0001263.pdf", "Link")</f>
        <v/>
      </c>
      <c r="C1678" t="n">
        <v>162446</v>
      </c>
      <c r="D1678" t="inlineStr">
        <is>
          <t>2024-02-03 06:57:12</t>
        </is>
      </c>
      <c r="E1678" t="inlineStr">
        <is>
          <t>2024-02-03 06:57:12</t>
        </is>
      </c>
      <c r="F1678" t="inlineStr">
        <is>
          <t>666</t>
        </is>
      </c>
    </row>
    <row r="1679">
      <c r="A1679" t="inlineStr">
        <is>
          <t>Boleta_T0001264.pdf</t>
        </is>
      </c>
      <c r="B1679">
        <f>HYPERLINK("C:\Users\lmonroy\Tema\PLANILLAS\2024\BoletasPDF-CCNN\Boleta_T0001264.pdf", "Link")</f>
        <v/>
      </c>
      <c r="C1679" t="n">
        <v>162547</v>
      </c>
      <c r="D1679" t="inlineStr">
        <is>
          <t>2024-02-03 06:57:12</t>
        </is>
      </c>
      <c r="E1679" t="inlineStr">
        <is>
          <t>2024-02-03 06:57:12</t>
        </is>
      </c>
      <c r="F1679" t="inlineStr">
        <is>
          <t>666</t>
        </is>
      </c>
    </row>
    <row r="1680">
      <c r="A1680" t="inlineStr">
        <is>
          <t>Boleta_T0001265.pdf</t>
        </is>
      </c>
      <c r="B1680">
        <f>HYPERLINK("C:\Users\lmonroy\Tema\PLANILLAS\2024\BoletasPDF-CCNN\Boleta_T0001265.pdf", "Link")</f>
        <v/>
      </c>
      <c r="C1680" t="n">
        <v>162556</v>
      </c>
      <c r="D1680" t="inlineStr">
        <is>
          <t>2024-02-03 06:57:13</t>
        </is>
      </c>
      <c r="E1680" t="inlineStr">
        <is>
          <t>2024-02-03 06:57:13</t>
        </is>
      </c>
      <c r="F1680" t="inlineStr">
        <is>
          <t>666</t>
        </is>
      </c>
    </row>
    <row r="1681">
      <c r="A1681" t="inlineStr">
        <is>
          <t>Boleta_T0001266.pdf</t>
        </is>
      </c>
      <c r="B1681">
        <f>HYPERLINK("C:\Users\lmonroy\Tema\PLANILLAS\2024\BoletasPDF-CCNN\Boleta_T0001266.pdf", "Link")</f>
        <v/>
      </c>
      <c r="C1681" t="n">
        <v>162441</v>
      </c>
      <c r="D1681" t="inlineStr">
        <is>
          <t>2024-02-03 06:57:13</t>
        </is>
      </c>
      <c r="E1681" t="inlineStr">
        <is>
          <t>2024-02-03 06:57:13</t>
        </is>
      </c>
      <c r="F1681" t="inlineStr">
        <is>
          <t>666</t>
        </is>
      </c>
    </row>
    <row r="1682">
      <c r="A1682" t="inlineStr">
        <is>
          <t>Boleta_T0001267.pdf</t>
        </is>
      </c>
      <c r="B1682">
        <f>HYPERLINK("C:\Users\lmonroy\Tema\PLANILLAS\2024\BoletasPDF-CCNN\Boleta_T0001267.pdf", "Link")</f>
        <v/>
      </c>
      <c r="C1682" t="n">
        <v>162419</v>
      </c>
      <c r="D1682" t="inlineStr">
        <is>
          <t>2024-02-03 06:57:14</t>
        </is>
      </c>
      <c r="E1682" t="inlineStr">
        <is>
          <t>2024-02-03 06:57:14</t>
        </is>
      </c>
      <c r="F1682" t="inlineStr">
        <is>
          <t>666</t>
        </is>
      </c>
    </row>
    <row r="1683">
      <c r="A1683" t="inlineStr">
        <is>
          <t>Boleta_T0001268.pdf</t>
        </is>
      </c>
      <c r="B1683">
        <f>HYPERLINK("C:\Users\lmonroy\Tema\PLANILLAS\2024\BoletasPDF-CCNN\Boleta_T0001268.pdf", "Link")</f>
        <v/>
      </c>
      <c r="C1683" t="n">
        <v>162588</v>
      </c>
      <c r="D1683" t="inlineStr">
        <is>
          <t>2024-02-03 06:57:15</t>
        </is>
      </c>
      <c r="E1683" t="inlineStr">
        <is>
          <t>2024-02-03 06:57:15</t>
        </is>
      </c>
      <c r="F1683" t="inlineStr">
        <is>
          <t>666</t>
        </is>
      </c>
    </row>
    <row r="1684">
      <c r="A1684" t="inlineStr">
        <is>
          <t>Boleta_T0001269.pdf</t>
        </is>
      </c>
      <c r="B1684">
        <f>HYPERLINK("C:\Users\lmonroy\Tema\PLANILLAS\2024\BoletasPDF-CCNN\Boleta_T0001269.pdf", "Link")</f>
        <v/>
      </c>
      <c r="C1684" t="n">
        <v>162530</v>
      </c>
      <c r="D1684" t="inlineStr">
        <is>
          <t>2024-02-03 06:57:15</t>
        </is>
      </c>
      <c r="E1684" t="inlineStr">
        <is>
          <t>2024-02-03 06:57:15</t>
        </is>
      </c>
      <c r="F1684" t="inlineStr">
        <is>
          <t>666</t>
        </is>
      </c>
    </row>
    <row r="1685">
      <c r="A1685" t="inlineStr">
        <is>
          <t>Boleta_T0001270.pdf</t>
        </is>
      </c>
      <c r="B1685">
        <f>HYPERLINK("C:\Users\lmonroy\Tema\PLANILLAS\2024\BoletasPDF-CCNN\Boleta_T0001270.pdf", "Link")</f>
        <v/>
      </c>
      <c r="C1685" t="n">
        <v>162530</v>
      </c>
      <c r="D1685" t="inlineStr">
        <is>
          <t>2024-02-03 06:57:16</t>
        </is>
      </c>
      <c r="E1685" t="inlineStr">
        <is>
          <t>2024-02-03 06:57:16</t>
        </is>
      </c>
      <c r="F1685" t="inlineStr">
        <is>
          <t>666</t>
        </is>
      </c>
    </row>
    <row r="1686">
      <c r="A1686" t="inlineStr">
        <is>
          <t>Boleta_T0001271.pdf</t>
        </is>
      </c>
      <c r="B1686">
        <f>HYPERLINK("C:\Users\lmonroy\Tema\PLANILLAS\2024\BoletasPDF-CCNN\Boleta_T0001271.pdf", "Link")</f>
        <v/>
      </c>
      <c r="C1686" t="n">
        <v>162522</v>
      </c>
      <c r="D1686" t="inlineStr">
        <is>
          <t>2024-02-03 06:57:16</t>
        </is>
      </c>
      <c r="E1686" t="inlineStr">
        <is>
          <t>2024-02-03 06:57:16</t>
        </is>
      </c>
      <c r="F1686" t="inlineStr">
        <is>
          <t>666</t>
        </is>
      </c>
    </row>
    <row r="1687">
      <c r="A1687" t="inlineStr">
        <is>
          <t>Boleta_T0001272.pdf</t>
        </is>
      </c>
      <c r="B1687">
        <f>HYPERLINK("C:\Users\lmonroy\Tema\PLANILLAS\2024\BoletasPDF-CCNN\Boleta_T0001272.pdf", "Link")</f>
        <v/>
      </c>
      <c r="C1687" t="n">
        <v>162530</v>
      </c>
      <c r="D1687" t="inlineStr">
        <is>
          <t>2024-02-03 06:57:17</t>
        </is>
      </c>
      <c r="E1687" t="inlineStr">
        <is>
          <t>2024-02-03 06:57:17</t>
        </is>
      </c>
      <c r="F1687" t="inlineStr">
        <is>
          <t>666</t>
        </is>
      </c>
    </row>
    <row r="1688">
      <c r="A1688" t="inlineStr">
        <is>
          <t>Boleta_T0001273.pdf</t>
        </is>
      </c>
      <c r="B1688">
        <f>HYPERLINK("C:\Users\lmonroy\Tema\PLANILLAS\2024\BoletasPDF-CCNN\Boleta_T0001273.pdf", "Link")</f>
        <v/>
      </c>
      <c r="C1688" t="n">
        <v>162446</v>
      </c>
      <c r="D1688" t="inlineStr">
        <is>
          <t>2024-02-03 06:57:18</t>
        </is>
      </c>
      <c r="E1688" t="inlineStr">
        <is>
          <t>2024-02-03 06:57:18</t>
        </is>
      </c>
      <c r="F1688" t="inlineStr">
        <is>
          <t>666</t>
        </is>
      </c>
    </row>
    <row r="1689">
      <c r="A1689" t="inlineStr">
        <is>
          <t>Boleta_T0001274.pdf</t>
        </is>
      </c>
      <c r="B1689">
        <f>HYPERLINK("C:\Users\lmonroy\Tema\PLANILLAS\2024\BoletasPDF-CCNN\Boleta_T0001274.pdf", "Link")</f>
        <v/>
      </c>
      <c r="C1689" t="n">
        <v>162538</v>
      </c>
      <c r="D1689" t="inlineStr">
        <is>
          <t>2024-02-03 06:57:19</t>
        </is>
      </c>
      <c r="E1689" t="inlineStr">
        <is>
          <t>2024-02-03 06:57:19</t>
        </is>
      </c>
      <c r="F1689" t="inlineStr">
        <is>
          <t>666</t>
        </is>
      </c>
    </row>
    <row r="1690">
      <c r="A1690" t="inlineStr">
        <is>
          <t>Boleta_T0001275.pdf</t>
        </is>
      </c>
      <c r="B1690">
        <f>HYPERLINK("C:\Users\lmonroy\Tema\PLANILLAS\2024\BoletasPDF-CCNN\Boleta_T0001275.pdf", "Link")</f>
        <v/>
      </c>
      <c r="C1690" t="n">
        <v>162454</v>
      </c>
      <c r="D1690" t="inlineStr">
        <is>
          <t>2024-02-03 06:57:19</t>
        </is>
      </c>
      <c r="E1690" t="inlineStr">
        <is>
          <t>2024-02-03 06:57:19</t>
        </is>
      </c>
      <c r="F1690" t="inlineStr">
        <is>
          <t>666</t>
        </is>
      </c>
    </row>
    <row r="1691">
      <c r="A1691" t="inlineStr">
        <is>
          <t>Boleta_T0001276.pdf</t>
        </is>
      </c>
      <c r="B1691">
        <f>HYPERLINK("C:\Users\lmonroy\Tema\PLANILLAS\2024\BoletasPDF-CCNN\Boleta_T0001276.pdf", "Link")</f>
        <v/>
      </c>
      <c r="C1691" t="n">
        <v>162418</v>
      </c>
      <c r="D1691" t="inlineStr">
        <is>
          <t>2024-02-03 06:57:21</t>
        </is>
      </c>
      <c r="E1691" t="inlineStr">
        <is>
          <t>2024-02-03 06:57:21</t>
        </is>
      </c>
      <c r="F1691" t="inlineStr">
        <is>
          <t>666</t>
        </is>
      </c>
    </row>
    <row r="1692">
      <c r="A1692" t="inlineStr">
        <is>
          <t>Boleta_T0001277.pdf</t>
        </is>
      </c>
      <c r="B1692">
        <f>HYPERLINK("C:\Users\lmonroy\Tema\PLANILLAS\2024\BoletasPDF-CCNN\Boleta_T0001277.pdf", "Link")</f>
        <v/>
      </c>
      <c r="C1692" t="n">
        <v>162520</v>
      </c>
      <c r="D1692" t="inlineStr">
        <is>
          <t>2024-02-03 06:57:21</t>
        </is>
      </c>
      <c r="E1692" t="inlineStr">
        <is>
          <t>2024-02-03 06:57:21</t>
        </is>
      </c>
      <c r="F1692" t="inlineStr">
        <is>
          <t>666</t>
        </is>
      </c>
    </row>
    <row r="1693">
      <c r="A1693" t="inlineStr">
        <is>
          <t>Boleta_T0001278.pdf</t>
        </is>
      </c>
      <c r="B1693">
        <f>HYPERLINK("C:\Users\lmonroy\Tema\PLANILLAS\2024\BoletasPDF-CCNN\Boleta_T0001278.pdf", "Link")</f>
        <v/>
      </c>
      <c r="C1693" t="n">
        <v>162520</v>
      </c>
      <c r="D1693" t="inlineStr">
        <is>
          <t>2024-02-03 06:57:18</t>
        </is>
      </c>
      <c r="E1693" t="inlineStr">
        <is>
          <t>2024-02-03 06:57:18</t>
        </is>
      </c>
      <c r="F1693" t="inlineStr">
        <is>
          <t>666</t>
        </is>
      </c>
    </row>
    <row r="1694">
      <c r="A1694" t="inlineStr">
        <is>
          <t>Boleta_T0001279.pdf</t>
        </is>
      </c>
      <c r="B1694">
        <f>HYPERLINK("C:\Users\lmonroy\Tema\PLANILLAS\2024\BoletasPDF-CCNN\Boleta_T0001279.pdf", "Link")</f>
        <v/>
      </c>
      <c r="C1694" t="n">
        <v>162555</v>
      </c>
      <c r="D1694" t="inlineStr">
        <is>
          <t>2024-02-03 06:57:22</t>
        </is>
      </c>
      <c r="E1694" t="inlineStr">
        <is>
          <t>2024-02-03 06:57:22</t>
        </is>
      </c>
      <c r="F1694" t="inlineStr">
        <is>
          <t>666</t>
        </is>
      </c>
    </row>
    <row r="1695">
      <c r="A1695" t="inlineStr">
        <is>
          <t>Boleta_T0001280.pdf</t>
        </is>
      </c>
      <c r="B1695">
        <f>HYPERLINK("C:\Users\lmonroy\Tema\PLANILLAS\2024\BoletasPDF-CCNN\Boleta_T0001280.pdf", "Link")</f>
        <v/>
      </c>
      <c r="C1695" t="n">
        <v>162409</v>
      </c>
      <c r="D1695" t="inlineStr">
        <is>
          <t>2024-02-03 06:57:23</t>
        </is>
      </c>
      <c r="E1695" t="inlineStr">
        <is>
          <t>2024-02-03 06:57:23</t>
        </is>
      </c>
      <c r="F1695" t="inlineStr">
        <is>
          <t>666</t>
        </is>
      </c>
    </row>
    <row r="1696">
      <c r="A1696" t="inlineStr">
        <is>
          <t>Boleta_T0001281.pdf</t>
        </is>
      </c>
      <c r="B1696">
        <f>HYPERLINK("C:\Users\lmonroy\Tema\PLANILLAS\2024\BoletasPDF-CCNN\Boleta_T0001281.pdf", "Link")</f>
        <v/>
      </c>
      <c r="C1696" t="n">
        <v>162417</v>
      </c>
      <c r="D1696" t="inlineStr">
        <is>
          <t>2024-02-03 06:57:24</t>
        </is>
      </c>
      <c r="E1696" t="inlineStr">
        <is>
          <t>2024-02-03 06:57:24</t>
        </is>
      </c>
      <c r="F1696" t="inlineStr">
        <is>
          <t>666</t>
        </is>
      </c>
    </row>
    <row r="1697">
      <c r="A1697" t="inlineStr">
        <is>
          <t>Boleta_T0001282.pdf</t>
        </is>
      </c>
      <c r="B1697">
        <f>HYPERLINK("C:\Users\lmonroy\Tema\PLANILLAS\2024\BoletasPDF-CCNN\Boleta_T0001282.pdf", "Link")</f>
        <v/>
      </c>
      <c r="C1697" t="n">
        <v>162546</v>
      </c>
      <c r="D1697" t="inlineStr">
        <is>
          <t>2024-02-03 06:57:24</t>
        </is>
      </c>
      <c r="E1697" t="inlineStr">
        <is>
          <t>2024-02-03 06:57:24</t>
        </is>
      </c>
      <c r="F1697" t="inlineStr">
        <is>
          <t>666</t>
        </is>
      </c>
    </row>
    <row r="1698">
      <c r="A1698" t="inlineStr">
        <is>
          <t>Boleta_T0001283.pdf</t>
        </is>
      </c>
      <c r="B1698">
        <f>HYPERLINK("C:\Users\lmonroy\Tema\PLANILLAS\2024\BoletasPDF-CCNN\Boleta_T0001283.pdf", "Link")</f>
        <v/>
      </c>
      <c r="C1698" t="n">
        <v>162549</v>
      </c>
      <c r="D1698" t="inlineStr">
        <is>
          <t>2024-02-03 06:57:25</t>
        </is>
      </c>
      <c r="E1698" t="inlineStr">
        <is>
          <t>2024-02-03 06:57:25</t>
        </is>
      </c>
      <c r="F1698" t="inlineStr">
        <is>
          <t>666</t>
        </is>
      </c>
    </row>
    <row r="1699">
      <c r="A1699" t="inlineStr">
        <is>
          <t>Boleta_T0001285.pdf</t>
        </is>
      </c>
      <c r="B1699">
        <f>HYPERLINK("C:\Users\lmonroy\Tema\PLANILLAS\2024\BoletasPDF-CCNN\Boleta_T0001285.pdf", "Link")</f>
        <v/>
      </c>
      <c r="C1699" t="n">
        <v>162411</v>
      </c>
      <c r="D1699" t="inlineStr">
        <is>
          <t>2024-02-03 06:57:27</t>
        </is>
      </c>
      <c r="E1699" t="inlineStr">
        <is>
          <t>2024-02-03 06:57:27</t>
        </is>
      </c>
      <c r="F1699" t="inlineStr">
        <is>
          <t>666</t>
        </is>
      </c>
    </row>
    <row r="1700">
      <c r="A1700" t="inlineStr">
        <is>
          <t>Boleta_T0001286.pdf</t>
        </is>
      </c>
      <c r="B1700">
        <f>HYPERLINK("C:\Users\lmonroy\Tema\PLANILLAS\2024\BoletasPDF-CCNN\Boleta_T0001286.pdf", "Link")</f>
        <v/>
      </c>
      <c r="C1700" t="n">
        <v>162415</v>
      </c>
      <c r="D1700" t="inlineStr">
        <is>
          <t>2024-02-03 06:57:27</t>
        </is>
      </c>
      <c r="E1700" t="inlineStr">
        <is>
          <t>2024-02-03 06:57:27</t>
        </is>
      </c>
      <c r="F1700" t="inlineStr">
        <is>
          <t>666</t>
        </is>
      </c>
    </row>
    <row r="1701">
      <c r="A1701" t="inlineStr">
        <is>
          <t>Boleta_T0001287.pdf</t>
        </is>
      </c>
      <c r="B1701">
        <f>HYPERLINK("C:\Users\lmonroy\Tema\PLANILLAS\2024\BoletasPDF-CCNN\Boleta_T0001287.pdf", "Link")</f>
        <v/>
      </c>
      <c r="C1701" t="n">
        <v>162453</v>
      </c>
      <c r="D1701" t="inlineStr">
        <is>
          <t>2024-02-03 06:57:28</t>
        </is>
      </c>
      <c r="E1701" t="inlineStr">
        <is>
          <t>2024-02-03 06:57:28</t>
        </is>
      </c>
      <c r="F1701" t="inlineStr">
        <is>
          <t>666</t>
        </is>
      </c>
    </row>
    <row r="1702">
      <c r="A1702" t="inlineStr">
        <is>
          <t>Boleta_T0001288.pdf</t>
        </is>
      </c>
      <c r="B1702">
        <f>HYPERLINK("C:\Users\lmonroy\Tema\PLANILLAS\2024\BoletasPDF-CCNN\Boleta_T0001288.pdf", "Link")</f>
        <v/>
      </c>
      <c r="C1702" t="n">
        <v>162530</v>
      </c>
      <c r="D1702" t="inlineStr">
        <is>
          <t>2024-02-03 06:57:29</t>
        </is>
      </c>
      <c r="E1702" t="inlineStr">
        <is>
          <t>2024-02-03 06:57:29</t>
        </is>
      </c>
      <c r="F1702" t="inlineStr">
        <is>
          <t>666</t>
        </is>
      </c>
    </row>
    <row r="1703">
      <c r="A1703" t="inlineStr">
        <is>
          <t>Boleta_T0001289.pdf</t>
        </is>
      </c>
      <c r="B1703">
        <f>HYPERLINK("C:\Users\lmonroy\Tema\PLANILLAS\2024\BoletasPDF-CCNN\Boleta_T0001289.pdf", "Link")</f>
        <v/>
      </c>
      <c r="C1703" t="n">
        <v>162466</v>
      </c>
      <c r="D1703" t="inlineStr">
        <is>
          <t>2024-02-03 06:57:29</t>
        </is>
      </c>
      <c r="E1703" t="inlineStr">
        <is>
          <t>2024-02-03 06:57:29</t>
        </is>
      </c>
      <c r="F1703" t="inlineStr">
        <is>
          <t>666</t>
        </is>
      </c>
    </row>
    <row r="1704">
      <c r="A1704" t="inlineStr">
        <is>
          <t>Boleta_T0001290.pdf</t>
        </is>
      </c>
      <c r="B1704">
        <f>HYPERLINK("C:\Users\lmonroy\Tema\PLANILLAS\2024\BoletasPDF-CCNN\Boleta_T0001290.pdf", "Link")</f>
        <v/>
      </c>
      <c r="C1704" t="n">
        <v>162410</v>
      </c>
      <c r="D1704" t="inlineStr">
        <is>
          <t>2024-02-03 06:57:30</t>
        </is>
      </c>
      <c r="E1704" t="inlineStr">
        <is>
          <t>2024-02-03 06:57:30</t>
        </is>
      </c>
      <c r="F1704" t="inlineStr">
        <is>
          <t>666</t>
        </is>
      </c>
    </row>
    <row r="1705">
      <c r="A1705" t="inlineStr">
        <is>
          <t>Boleta_T0001291.pdf</t>
        </is>
      </c>
      <c r="B1705">
        <f>HYPERLINK("C:\Users\lmonroy\Tema\PLANILLAS\2024\BoletasPDF-CCNN\Boleta_T0001291.pdf", "Link")</f>
        <v/>
      </c>
      <c r="C1705" t="n">
        <v>162449</v>
      </c>
      <c r="D1705" t="inlineStr">
        <is>
          <t>2024-02-03 06:57:30</t>
        </is>
      </c>
      <c r="E1705" t="inlineStr">
        <is>
          <t>2024-02-03 06:57:30</t>
        </is>
      </c>
      <c r="F1705" t="inlineStr">
        <is>
          <t>666</t>
        </is>
      </c>
    </row>
    <row r="1706">
      <c r="A1706" t="inlineStr">
        <is>
          <t>Boleta_T0001292.pdf</t>
        </is>
      </c>
      <c r="B1706">
        <f>HYPERLINK("C:\Users\lmonroy\Tema\PLANILLAS\2024\BoletasPDF-CCNN\Boleta_T0001292.pdf", "Link")</f>
        <v/>
      </c>
      <c r="C1706" t="n">
        <v>162442</v>
      </c>
      <c r="D1706" t="inlineStr">
        <is>
          <t>2024-02-03 06:57:31</t>
        </is>
      </c>
      <c r="E1706" t="inlineStr">
        <is>
          <t>2024-02-03 06:57:31</t>
        </is>
      </c>
      <c r="F1706" t="inlineStr">
        <is>
          <t>666</t>
        </is>
      </c>
    </row>
    <row r="1707">
      <c r="A1707" t="inlineStr">
        <is>
          <t>Boleta_T0001293.pdf</t>
        </is>
      </c>
      <c r="B1707">
        <f>HYPERLINK("C:\Users\lmonroy\Tema\PLANILLAS\2024\BoletasPDF-CCNN\Boleta_T0001293.pdf", "Link")</f>
        <v/>
      </c>
      <c r="C1707" t="n">
        <v>162600</v>
      </c>
      <c r="D1707" t="inlineStr">
        <is>
          <t>2024-02-03 06:57:32</t>
        </is>
      </c>
      <c r="E1707" t="inlineStr">
        <is>
          <t>2024-02-03 06:57:32</t>
        </is>
      </c>
      <c r="F1707" t="inlineStr">
        <is>
          <t>666</t>
        </is>
      </c>
    </row>
    <row r="1708">
      <c r="A1708" t="inlineStr">
        <is>
          <t>Boleta_T0001294.pdf</t>
        </is>
      </c>
      <c r="B1708">
        <f>HYPERLINK("C:\Users\lmonroy\Tema\PLANILLAS\2024\BoletasPDF-CCNN\Boleta_T0001294.pdf", "Link")</f>
        <v/>
      </c>
      <c r="C1708" t="n">
        <v>162541</v>
      </c>
      <c r="D1708" t="inlineStr">
        <is>
          <t>2024-02-03 06:57:32</t>
        </is>
      </c>
      <c r="E1708" t="inlineStr">
        <is>
          <t>2024-02-03 06:57:32</t>
        </is>
      </c>
      <c r="F1708" t="inlineStr">
        <is>
          <t>666</t>
        </is>
      </c>
    </row>
    <row r="1709">
      <c r="A1709" t="inlineStr">
        <is>
          <t>Boleta_T0001295.pdf</t>
        </is>
      </c>
      <c r="B1709">
        <f>HYPERLINK("C:\Users\lmonroy\Tema\PLANILLAS\2024\BoletasPDF-CCNN\Boleta_T0001295.pdf", "Link")</f>
        <v/>
      </c>
      <c r="C1709" t="n">
        <v>162422</v>
      </c>
      <c r="D1709" t="inlineStr">
        <is>
          <t>2024-02-03 06:57:33</t>
        </is>
      </c>
      <c r="E1709" t="inlineStr">
        <is>
          <t>2024-02-03 06:57:33</t>
        </is>
      </c>
      <c r="F1709" t="inlineStr">
        <is>
          <t>666</t>
        </is>
      </c>
    </row>
    <row r="1710">
      <c r="A1710" t="inlineStr">
        <is>
          <t>Boleta_T0001297.pdf</t>
        </is>
      </c>
      <c r="B1710">
        <f>HYPERLINK("C:\Users\lmonroy\Tema\PLANILLAS\2024\BoletasPDF-CCNN\Boleta_T0001297.pdf", "Link")</f>
        <v/>
      </c>
      <c r="C1710" t="n">
        <v>162514</v>
      </c>
      <c r="D1710" t="inlineStr">
        <is>
          <t>2024-02-03 06:57:35</t>
        </is>
      </c>
      <c r="E1710" t="inlineStr">
        <is>
          <t>2024-02-03 06:57:35</t>
        </is>
      </c>
      <c r="F1710" t="inlineStr">
        <is>
          <t>666</t>
        </is>
      </c>
    </row>
    <row r="1711">
      <c r="A1711" t="inlineStr">
        <is>
          <t>Boleta_T0001298.pdf</t>
        </is>
      </c>
      <c r="B1711">
        <f>HYPERLINK("C:\Users\lmonroy\Tema\PLANILLAS\2024\BoletasPDF-CCNN\Boleta_T0001298.pdf", "Link")</f>
        <v/>
      </c>
      <c r="C1711" t="n">
        <v>162417</v>
      </c>
      <c r="D1711" t="inlineStr">
        <is>
          <t>2024-02-03 06:57:35</t>
        </is>
      </c>
      <c r="E1711" t="inlineStr">
        <is>
          <t>2024-02-03 06:57:35</t>
        </is>
      </c>
      <c r="F1711" t="inlineStr">
        <is>
          <t>666</t>
        </is>
      </c>
    </row>
    <row r="1712">
      <c r="A1712" t="inlineStr">
        <is>
          <t>Boleta_T0001300.pdf</t>
        </is>
      </c>
      <c r="B1712">
        <f>HYPERLINK("C:\Users\lmonroy\Tema\PLANILLAS\2024\BoletasPDF-CCNN\Boleta_T0001300.pdf", "Link")</f>
        <v/>
      </c>
      <c r="C1712" t="n">
        <v>162459</v>
      </c>
      <c r="D1712" t="inlineStr">
        <is>
          <t>2024-02-03 06:57:36</t>
        </is>
      </c>
      <c r="E1712" t="inlineStr">
        <is>
          <t>2024-02-03 06:57:36</t>
        </is>
      </c>
      <c r="F1712" t="inlineStr">
        <is>
          <t>666</t>
        </is>
      </c>
    </row>
    <row r="1713">
      <c r="A1713" t="inlineStr">
        <is>
          <t>Boleta_T0001301.pdf</t>
        </is>
      </c>
      <c r="B1713">
        <f>HYPERLINK("C:\Users\lmonroy\Tema\PLANILLAS\2024\BoletasPDF-CCNN\Boleta_T0001301.pdf", "Link")</f>
        <v/>
      </c>
      <c r="C1713" t="n">
        <v>162446</v>
      </c>
      <c r="D1713" t="inlineStr">
        <is>
          <t>2024-02-03 06:57:36</t>
        </is>
      </c>
      <c r="E1713" t="inlineStr">
        <is>
          <t>2024-02-03 06:57:36</t>
        </is>
      </c>
      <c r="F1713" t="inlineStr">
        <is>
          <t>666</t>
        </is>
      </c>
    </row>
    <row r="1714">
      <c r="A1714" t="inlineStr">
        <is>
          <t>Boleta_T0001303.pdf</t>
        </is>
      </c>
      <c r="B1714">
        <f>HYPERLINK("C:\Users\lmonroy\Tema\PLANILLAS\2024\BoletasPDF-CCNN\Boleta_T0001303.pdf", "Link")</f>
        <v/>
      </c>
      <c r="C1714" t="n">
        <v>162414</v>
      </c>
      <c r="D1714" t="inlineStr">
        <is>
          <t>2024-02-03 06:57:41</t>
        </is>
      </c>
      <c r="E1714" t="inlineStr">
        <is>
          <t>2024-02-03 06:57:41</t>
        </is>
      </c>
      <c r="F1714" t="inlineStr">
        <is>
          <t>666</t>
        </is>
      </c>
    </row>
    <row r="1715">
      <c r="A1715" t="inlineStr">
        <is>
          <t>Boleta_T0001304.pdf</t>
        </is>
      </c>
      <c r="B1715">
        <f>HYPERLINK("C:\Users\lmonroy\Tema\PLANILLAS\2024\BoletasPDF-CCNN\Boleta_T0001304.pdf", "Link")</f>
        <v/>
      </c>
      <c r="C1715" t="n">
        <v>162532</v>
      </c>
      <c r="D1715" t="inlineStr">
        <is>
          <t>2024-02-03 06:57:42</t>
        </is>
      </c>
      <c r="E1715" t="inlineStr">
        <is>
          <t>2024-02-03 06:57:42</t>
        </is>
      </c>
      <c r="F1715" t="inlineStr">
        <is>
          <t>666</t>
        </is>
      </c>
    </row>
    <row r="1716">
      <c r="A1716" t="inlineStr">
        <is>
          <t>Boleta_T0001308.pdf</t>
        </is>
      </c>
      <c r="B1716">
        <f>HYPERLINK("C:\Users\lmonroy\Tema\PLANILLAS\2024\BoletasPDF-CCNN\Boleta_T0001308.pdf", "Link")</f>
        <v/>
      </c>
      <c r="C1716" t="n">
        <v>162462</v>
      </c>
      <c r="D1716" t="inlineStr">
        <is>
          <t>2024-02-03 06:57:44</t>
        </is>
      </c>
      <c r="E1716" t="inlineStr">
        <is>
          <t>2024-02-03 06:57:44</t>
        </is>
      </c>
      <c r="F1716" t="inlineStr">
        <is>
          <t>666</t>
        </is>
      </c>
    </row>
    <row r="1717">
      <c r="A1717" t="inlineStr">
        <is>
          <t>Boleta_T0001309.pdf</t>
        </is>
      </c>
      <c r="B1717">
        <f>HYPERLINK("C:\Users\lmonroy\Tema\PLANILLAS\2024\BoletasPDF-CCNN\Boleta_T0001309.pdf", "Link")</f>
        <v/>
      </c>
      <c r="C1717" t="n">
        <v>162524</v>
      </c>
      <c r="D1717" t="inlineStr">
        <is>
          <t>2024-02-03 06:57:45</t>
        </is>
      </c>
      <c r="E1717" t="inlineStr">
        <is>
          <t>2024-02-03 06:57:45</t>
        </is>
      </c>
      <c r="F1717" t="inlineStr">
        <is>
          <t>666</t>
        </is>
      </c>
    </row>
    <row r="1718">
      <c r="A1718" t="inlineStr">
        <is>
          <t>Boleta_T0001310.pdf</t>
        </is>
      </c>
      <c r="B1718">
        <f>HYPERLINK("C:\Users\lmonroy\Tema\PLANILLAS\2024\BoletasPDF-CCNN\Boleta_T0001310.pdf", "Link")</f>
        <v/>
      </c>
      <c r="C1718" t="n">
        <v>162525</v>
      </c>
      <c r="D1718" t="inlineStr">
        <is>
          <t>2024-02-03 06:57:46</t>
        </is>
      </c>
      <c r="E1718" t="inlineStr">
        <is>
          <t>2024-02-03 06:57:46</t>
        </is>
      </c>
      <c r="F1718" t="inlineStr">
        <is>
          <t>666</t>
        </is>
      </c>
    </row>
    <row r="1719">
      <c r="A1719" t="inlineStr">
        <is>
          <t>Boleta_T0001311.pdf</t>
        </is>
      </c>
      <c r="B1719">
        <f>HYPERLINK("C:\Users\lmonroy\Tema\PLANILLAS\2024\BoletasPDF-CCNN\Boleta_T0001311.pdf", "Link")</f>
        <v/>
      </c>
      <c r="C1719" t="n">
        <v>162577</v>
      </c>
      <c r="D1719" t="inlineStr">
        <is>
          <t>2024-02-03 06:57:46</t>
        </is>
      </c>
      <c r="E1719" t="inlineStr">
        <is>
          <t>2024-02-03 06:57:46</t>
        </is>
      </c>
      <c r="F1719" t="inlineStr">
        <is>
          <t>666</t>
        </is>
      </c>
    </row>
    <row r="1720">
      <c r="A1720" t="inlineStr">
        <is>
          <t>Boleta_T0001312.pdf</t>
        </is>
      </c>
      <c r="B1720">
        <f>HYPERLINK("C:\Users\lmonroy\Tema\PLANILLAS\2024\BoletasPDF-CCNN\Boleta_T0001312.pdf", "Link")</f>
        <v/>
      </c>
      <c r="C1720" t="n">
        <v>162421</v>
      </c>
      <c r="D1720" t="inlineStr">
        <is>
          <t>2024-02-03 06:57:47</t>
        </is>
      </c>
      <c r="E1720" t="inlineStr">
        <is>
          <t>2024-02-03 06:57:47</t>
        </is>
      </c>
      <c r="F1720" t="inlineStr">
        <is>
          <t>666</t>
        </is>
      </c>
    </row>
    <row r="1721">
      <c r="A1721" t="inlineStr">
        <is>
          <t>Boleta_T0001313.pdf</t>
        </is>
      </c>
      <c r="B1721">
        <f>HYPERLINK("C:\Users\lmonroy\Tema\PLANILLAS\2024\BoletasPDF-CCNN\Boleta_T0001313.pdf", "Link")</f>
        <v/>
      </c>
      <c r="C1721" t="n">
        <v>162452</v>
      </c>
      <c r="D1721" t="inlineStr">
        <is>
          <t>2024-02-03 06:57:48</t>
        </is>
      </c>
      <c r="E1721" t="inlineStr">
        <is>
          <t>2024-02-03 06:57:48</t>
        </is>
      </c>
      <c r="F1721" t="inlineStr">
        <is>
          <t>666</t>
        </is>
      </c>
    </row>
    <row r="1722">
      <c r="A1722" t="inlineStr">
        <is>
          <t>Boleta_T0001314.pdf</t>
        </is>
      </c>
      <c r="B1722">
        <f>HYPERLINK("C:\Users\lmonroy\Tema\PLANILLAS\2024\BoletasPDF-CCNN\Boleta_T0001314.pdf", "Link")</f>
        <v/>
      </c>
      <c r="C1722" t="n">
        <v>162448</v>
      </c>
      <c r="D1722" t="inlineStr">
        <is>
          <t>2024-02-03 06:57:49</t>
        </is>
      </c>
      <c r="E1722" t="inlineStr">
        <is>
          <t>2024-02-03 06:57:49</t>
        </is>
      </c>
      <c r="F1722" t="inlineStr">
        <is>
          <t>666</t>
        </is>
      </c>
    </row>
    <row r="1723">
      <c r="A1723" t="inlineStr">
        <is>
          <t>Boleta_T0001316.pdf</t>
        </is>
      </c>
      <c r="B1723">
        <f>HYPERLINK("C:\Users\lmonroy\Tema\PLANILLAS\2024\BoletasPDF-CCNN\Boleta_T0001316.pdf", "Link")</f>
        <v/>
      </c>
      <c r="C1723" t="n">
        <v>162555</v>
      </c>
      <c r="D1723" t="inlineStr">
        <is>
          <t>2024-02-03 06:57:50</t>
        </is>
      </c>
      <c r="E1723" t="inlineStr">
        <is>
          <t>2024-02-03 06:57:50</t>
        </is>
      </c>
      <c r="F1723" t="inlineStr">
        <is>
          <t>666</t>
        </is>
      </c>
    </row>
    <row r="1724">
      <c r="A1724" t="inlineStr">
        <is>
          <t>Boleta_T0001317.pdf</t>
        </is>
      </c>
      <c r="B1724">
        <f>HYPERLINK("C:\Users\lmonroy\Tema\PLANILLAS\2024\BoletasPDF-CCNN\Boleta_T0001317.pdf", "Link")</f>
        <v/>
      </c>
      <c r="C1724" t="n">
        <v>162600</v>
      </c>
      <c r="D1724" t="inlineStr">
        <is>
          <t>2024-02-03 06:58:32</t>
        </is>
      </c>
      <c r="E1724" t="inlineStr">
        <is>
          <t>2024-02-03 06:58:32</t>
        </is>
      </c>
      <c r="F1724" t="inlineStr">
        <is>
          <t>666</t>
        </is>
      </c>
    </row>
    <row r="1725">
      <c r="A1725" t="inlineStr">
        <is>
          <t>Boleta_T0001318.pdf</t>
        </is>
      </c>
      <c r="B1725">
        <f>HYPERLINK("C:\Users\lmonroy\Tema\PLANILLAS\2024\BoletasPDF-CCNN\Boleta_T0001318.pdf", "Link")</f>
        <v/>
      </c>
      <c r="C1725" t="n">
        <v>162439</v>
      </c>
      <c r="D1725" t="inlineStr">
        <is>
          <t>2024-02-03 06:57:53</t>
        </is>
      </c>
      <c r="E1725" t="inlineStr">
        <is>
          <t>2024-02-03 06:57:53</t>
        </is>
      </c>
      <c r="F1725" t="inlineStr">
        <is>
          <t>666</t>
        </is>
      </c>
    </row>
    <row r="1726">
      <c r="A1726" t="inlineStr">
        <is>
          <t>Boleta_T0001319.pdf</t>
        </is>
      </c>
      <c r="B1726">
        <f>HYPERLINK("C:\Users\lmonroy\Tema\PLANILLAS\2024\BoletasPDF-CCNN\Boleta_T0001319.pdf", "Link")</f>
        <v/>
      </c>
      <c r="C1726" t="n">
        <v>162454</v>
      </c>
      <c r="D1726" t="inlineStr">
        <is>
          <t>2024-02-03 06:57:53</t>
        </is>
      </c>
      <c r="E1726" t="inlineStr">
        <is>
          <t>2024-02-03 06:57:53</t>
        </is>
      </c>
      <c r="F1726" t="inlineStr">
        <is>
          <t>666</t>
        </is>
      </c>
    </row>
    <row r="1727">
      <c r="A1727" t="inlineStr">
        <is>
          <t>Boleta_T0001320.pdf</t>
        </is>
      </c>
      <c r="B1727">
        <f>HYPERLINK("C:\Users\lmonroy\Tema\PLANILLAS\2024\BoletasPDF-CCNN\Boleta_T0001320.pdf", "Link")</f>
        <v/>
      </c>
      <c r="C1727" t="n">
        <v>162474</v>
      </c>
      <c r="D1727" t="inlineStr">
        <is>
          <t>2024-02-03 06:57:54</t>
        </is>
      </c>
      <c r="E1727" t="inlineStr">
        <is>
          <t>2024-02-03 06:57:54</t>
        </is>
      </c>
      <c r="F1727" t="inlineStr">
        <is>
          <t>666</t>
        </is>
      </c>
    </row>
    <row r="1728">
      <c r="A1728" t="inlineStr">
        <is>
          <t>Boleta_T0001321.pdf</t>
        </is>
      </c>
      <c r="B1728">
        <f>HYPERLINK("C:\Users\lmonroy\Tema\PLANILLAS\2024\BoletasPDF-CCNN\Boleta_T0001321.pdf", "Link")</f>
        <v/>
      </c>
      <c r="C1728" t="n">
        <v>162411</v>
      </c>
      <c r="D1728" t="inlineStr">
        <is>
          <t>2024-02-03 06:57:55</t>
        </is>
      </c>
      <c r="E1728" t="inlineStr">
        <is>
          <t>2024-02-03 06:57:55</t>
        </is>
      </c>
      <c r="F1728" t="inlineStr">
        <is>
          <t>666</t>
        </is>
      </c>
    </row>
    <row r="1729">
      <c r="A1729" t="inlineStr">
        <is>
          <t>Boleta_T0001322.pdf</t>
        </is>
      </c>
      <c r="B1729">
        <f>HYPERLINK("C:\Users\lmonroy\Tema\PLANILLAS\2024\BoletasPDF-CCNN\Boleta_T0001322.pdf", "Link")</f>
        <v/>
      </c>
      <c r="C1729" t="n">
        <v>162444</v>
      </c>
      <c r="D1729" t="inlineStr">
        <is>
          <t>2024-02-03 06:57:55</t>
        </is>
      </c>
      <c r="E1729" t="inlineStr">
        <is>
          <t>2024-02-03 06:57:55</t>
        </is>
      </c>
      <c r="F1729" t="inlineStr">
        <is>
          <t>666</t>
        </is>
      </c>
    </row>
    <row r="1730">
      <c r="A1730" t="inlineStr">
        <is>
          <t>Boleta_T0001323.pdf</t>
        </is>
      </c>
      <c r="B1730">
        <f>HYPERLINK("C:\Users\lmonroy\Tema\PLANILLAS\2024\BoletasPDF-CCNN\Boleta_T0001323.pdf", "Link")</f>
        <v/>
      </c>
      <c r="C1730" t="n">
        <v>162539</v>
      </c>
      <c r="D1730" t="inlineStr">
        <is>
          <t>2024-02-03 06:57:56</t>
        </is>
      </c>
      <c r="E1730" t="inlineStr">
        <is>
          <t>2024-02-03 06:57:56</t>
        </is>
      </c>
      <c r="F1730" t="inlineStr">
        <is>
          <t>666</t>
        </is>
      </c>
    </row>
    <row r="1731">
      <c r="A1731" t="inlineStr">
        <is>
          <t>Boleta_T0001324.pdf</t>
        </is>
      </c>
      <c r="B1731">
        <f>HYPERLINK("C:\Users\lmonroy\Tema\PLANILLAS\2024\BoletasPDF-CCNN\Boleta_T0001324.pdf", "Link")</f>
        <v/>
      </c>
      <c r="C1731" t="n">
        <v>162431</v>
      </c>
      <c r="D1731" t="inlineStr">
        <is>
          <t>2024-02-03 06:57:57</t>
        </is>
      </c>
      <c r="E1731" t="inlineStr">
        <is>
          <t>2024-02-03 06:57:57</t>
        </is>
      </c>
      <c r="F1731" t="inlineStr">
        <is>
          <t>666</t>
        </is>
      </c>
    </row>
    <row r="1732">
      <c r="A1732" t="inlineStr">
        <is>
          <t>Boleta_T0001325.pdf</t>
        </is>
      </c>
      <c r="B1732">
        <f>HYPERLINK("C:\Users\lmonroy\Tema\PLANILLAS\2024\BoletasPDF-CCNN\Boleta_T0001325.pdf", "Link")</f>
        <v/>
      </c>
      <c r="C1732" t="n">
        <v>162528</v>
      </c>
      <c r="D1732" t="inlineStr">
        <is>
          <t>2024-02-03 06:57:57</t>
        </is>
      </c>
      <c r="E1732" t="inlineStr">
        <is>
          <t>2024-02-03 06:57:57</t>
        </is>
      </c>
      <c r="F1732" t="inlineStr">
        <is>
          <t>666</t>
        </is>
      </c>
    </row>
    <row r="1733">
      <c r="A1733" t="inlineStr">
        <is>
          <t>Boleta_T0001326.pdf</t>
        </is>
      </c>
      <c r="B1733">
        <f>HYPERLINK("C:\Users\lmonroy\Tema\PLANILLAS\2024\BoletasPDF-CCNN\Boleta_T0001326.pdf", "Link")</f>
        <v/>
      </c>
      <c r="C1733" t="n">
        <v>162517</v>
      </c>
      <c r="D1733" t="inlineStr">
        <is>
          <t>2024-02-03 06:57:58</t>
        </is>
      </c>
      <c r="E1733" t="inlineStr">
        <is>
          <t>2024-02-03 06:57:58</t>
        </is>
      </c>
      <c r="F1733" t="inlineStr">
        <is>
          <t>666</t>
        </is>
      </c>
    </row>
    <row r="1734">
      <c r="A1734" t="inlineStr">
        <is>
          <t>Boleta_T0001329.pdf</t>
        </is>
      </c>
      <c r="B1734">
        <f>HYPERLINK("C:\Users\lmonroy\Tema\PLANILLAS\2024\BoletasPDF-CCNN\Boleta_T0001329.pdf", "Link")</f>
        <v/>
      </c>
      <c r="C1734" t="n">
        <v>162410</v>
      </c>
      <c r="D1734" t="inlineStr">
        <is>
          <t>2024-02-03 06:58:00</t>
        </is>
      </c>
      <c r="E1734" t="inlineStr">
        <is>
          <t>2024-02-03 06:58:00</t>
        </is>
      </c>
      <c r="F1734" t="inlineStr">
        <is>
          <t>666</t>
        </is>
      </c>
    </row>
    <row r="1735">
      <c r="A1735" t="inlineStr">
        <is>
          <t>Boleta_T0001330.pdf</t>
        </is>
      </c>
      <c r="B1735">
        <f>HYPERLINK("C:\Users\lmonroy\Tema\PLANILLAS\2024\BoletasPDF-CCNN\Boleta_T0001330.pdf", "Link")</f>
        <v/>
      </c>
      <c r="C1735" t="n">
        <v>162446</v>
      </c>
      <c r="D1735" t="inlineStr">
        <is>
          <t>2024-02-03 06:58:00</t>
        </is>
      </c>
      <c r="E1735" t="inlineStr">
        <is>
          <t>2024-02-03 06:58:00</t>
        </is>
      </c>
      <c r="F1735" t="inlineStr">
        <is>
          <t>666</t>
        </is>
      </c>
    </row>
    <row r="1736">
      <c r="A1736" t="inlineStr">
        <is>
          <t>Boleta_T0001331.pdf</t>
        </is>
      </c>
      <c r="B1736">
        <f>HYPERLINK("C:\Users\lmonroy\Tema\PLANILLAS\2024\BoletasPDF-CCNN\Boleta_T0001331.pdf", "Link")</f>
        <v/>
      </c>
      <c r="C1736" t="n">
        <v>162439</v>
      </c>
      <c r="D1736" t="inlineStr">
        <is>
          <t>2024-02-03 06:58:02</t>
        </is>
      </c>
      <c r="E1736" t="inlineStr">
        <is>
          <t>2024-02-03 06:58:02</t>
        </is>
      </c>
      <c r="F1736" t="inlineStr">
        <is>
          <t>666</t>
        </is>
      </c>
    </row>
    <row r="1737">
      <c r="A1737" t="inlineStr">
        <is>
          <t>Boleta_T0001332.pdf</t>
        </is>
      </c>
      <c r="B1737">
        <f>HYPERLINK("C:\Users\lmonroy\Tema\PLANILLAS\2024\BoletasPDF-CCNN\Boleta_T0001332.pdf", "Link")</f>
        <v/>
      </c>
      <c r="C1737" t="n">
        <v>162419</v>
      </c>
      <c r="D1737" t="inlineStr">
        <is>
          <t>2024-02-03 06:58:02</t>
        </is>
      </c>
      <c r="E1737" t="inlineStr">
        <is>
          <t>2024-02-03 06:58:02</t>
        </is>
      </c>
      <c r="F1737" t="inlineStr">
        <is>
          <t>666</t>
        </is>
      </c>
    </row>
    <row r="1738">
      <c r="A1738" t="inlineStr">
        <is>
          <t>Boleta_T0001333.pdf</t>
        </is>
      </c>
      <c r="B1738">
        <f>HYPERLINK("C:\Users\lmonroy\Tema\PLANILLAS\2024\BoletasPDF-CCNN\Boleta_T0001333.pdf", "Link")</f>
        <v/>
      </c>
      <c r="C1738" t="n">
        <v>162425</v>
      </c>
      <c r="D1738" t="inlineStr">
        <is>
          <t>2024-02-03 06:58:03</t>
        </is>
      </c>
      <c r="E1738" t="inlineStr">
        <is>
          <t>2024-02-03 06:58:03</t>
        </is>
      </c>
      <c r="F1738" t="inlineStr">
        <is>
          <t>666</t>
        </is>
      </c>
    </row>
    <row r="1739">
      <c r="A1739" t="inlineStr">
        <is>
          <t>Boleta_T0001334.pdf</t>
        </is>
      </c>
      <c r="B1739">
        <f>HYPERLINK("C:\Users\lmonroy\Tema\PLANILLAS\2024\BoletasPDF-CCNN\Boleta_T0001334.pdf", "Link")</f>
        <v/>
      </c>
      <c r="C1739" t="n">
        <v>162446</v>
      </c>
      <c r="D1739" t="inlineStr">
        <is>
          <t>2024-02-03 06:58:04</t>
        </is>
      </c>
      <c r="E1739" t="inlineStr">
        <is>
          <t>2024-02-03 06:58:04</t>
        </is>
      </c>
      <c r="F1739" t="inlineStr">
        <is>
          <t>666</t>
        </is>
      </c>
    </row>
    <row r="1740">
      <c r="A1740" t="inlineStr">
        <is>
          <t>Boleta_T0001335.pdf</t>
        </is>
      </c>
      <c r="B1740">
        <f>HYPERLINK("C:\Users\lmonroy\Tema\PLANILLAS\2024\BoletasPDF-CCNN\Boleta_T0001335.pdf", "Link")</f>
        <v/>
      </c>
      <c r="C1740" t="n">
        <v>162434</v>
      </c>
      <c r="D1740" t="inlineStr">
        <is>
          <t>2024-02-03 06:58:05</t>
        </is>
      </c>
      <c r="E1740" t="inlineStr">
        <is>
          <t>2024-02-03 06:58:05</t>
        </is>
      </c>
      <c r="F1740" t="inlineStr">
        <is>
          <t>666</t>
        </is>
      </c>
    </row>
    <row r="1741">
      <c r="A1741" t="inlineStr">
        <is>
          <t>Boleta_T0001336.pdf</t>
        </is>
      </c>
      <c r="B1741">
        <f>HYPERLINK("C:\Users\lmonroy\Tema\PLANILLAS\2024\BoletasPDF-CCNN\Boleta_T0001336.pdf", "Link")</f>
        <v/>
      </c>
      <c r="C1741" t="n">
        <v>162510</v>
      </c>
      <c r="D1741" t="inlineStr">
        <is>
          <t>2024-02-03 06:58:06</t>
        </is>
      </c>
      <c r="E1741" t="inlineStr">
        <is>
          <t>2024-02-03 06:58:06</t>
        </is>
      </c>
      <c r="F1741" t="inlineStr">
        <is>
          <t>666</t>
        </is>
      </c>
    </row>
    <row r="1742">
      <c r="A1742" t="inlineStr">
        <is>
          <t>Boleta_T0001337.pdf</t>
        </is>
      </c>
      <c r="B1742">
        <f>HYPERLINK("C:\Users\lmonroy\Tema\PLANILLAS\2024\BoletasPDF-CCNN\Boleta_T0001337.pdf", "Link")</f>
        <v/>
      </c>
      <c r="C1742" t="n">
        <v>162416</v>
      </c>
      <c r="D1742" t="inlineStr">
        <is>
          <t>2024-02-03 06:58:06</t>
        </is>
      </c>
      <c r="E1742" t="inlineStr">
        <is>
          <t>2024-02-03 06:58:06</t>
        </is>
      </c>
      <c r="F1742" t="inlineStr">
        <is>
          <t>666</t>
        </is>
      </c>
    </row>
    <row r="1743">
      <c r="A1743" t="inlineStr">
        <is>
          <t>Boleta_T0001338.pdf</t>
        </is>
      </c>
      <c r="B1743">
        <f>HYPERLINK("C:\Users\lmonroy\Tema\PLANILLAS\2024\BoletasPDF-CCNN\Boleta_T0001338.pdf", "Link")</f>
        <v/>
      </c>
      <c r="C1743" t="n">
        <v>162446</v>
      </c>
      <c r="D1743" t="inlineStr">
        <is>
          <t>2024-02-03 06:58:07</t>
        </is>
      </c>
      <c r="E1743" t="inlineStr">
        <is>
          <t>2024-02-03 06:58:07</t>
        </is>
      </c>
      <c r="F1743" t="inlineStr">
        <is>
          <t>666</t>
        </is>
      </c>
    </row>
    <row r="1744">
      <c r="A1744" t="inlineStr">
        <is>
          <t>Boleta_T0001339.pdf</t>
        </is>
      </c>
      <c r="B1744">
        <f>HYPERLINK("C:\Users\lmonroy\Tema\PLANILLAS\2024\BoletasPDF-CCNN\Boleta_T0001339.pdf", "Link")</f>
        <v/>
      </c>
      <c r="C1744" t="n">
        <v>162440</v>
      </c>
      <c r="D1744" t="inlineStr">
        <is>
          <t>2024-02-03 06:58:08</t>
        </is>
      </c>
      <c r="E1744" t="inlineStr">
        <is>
          <t>2024-02-03 06:58:08</t>
        </is>
      </c>
      <c r="F1744" t="inlineStr">
        <is>
          <t>666</t>
        </is>
      </c>
    </row>
    <row r="1745">
      <c r="A1745" t="inlineStr">
        <is>
          <t>Boleta_T0001340.pdf</t>
        </is>
      </c>
      <c r="B1745">
        <f>HYPERLINK("C:\Users\lmonroy\Tema\PLANILLAS\2024\BoletasPDF-CCNN\Boleta_T0001340.pdf", "Link")</f>
        <v/>
      </c>
      <c r="C1745" t="n">
        <v>162428</v>
      </c>
      <c r="D1745" t="inlineStr">
        <is>
          <t>2024-02-03 06:58:08</t>
        </is>
      </c>
      <c r="E1745" t="inlineStr">
        <is>
          <t>2024-02-03 06:58:08</t>
        </is>
      </c>
      <c r="F1745" t="inlineStr">
        <is>
          <t>666</t>
        </is>
      </c>
    </row>
    <row r="1746">
      <c r="A1746" t="inlineStr">
        <is>
          <t>Boleta_T0001341.pdf</t>
        </is>
      </c>
      <c r="B1746">
        <f>HYPERLINK("C:\Users\lmonroy\Tema\PLANILLAS\2024\BoletasPDF-CCNN\Boleta_T0001341.pdf", "Link")</f>
        <v/>
      </c>
      <c r="C1746" t="n">
        <v>162409</v>
      </c>
      <c r="D1746" t="inlineStr">
        <is>
          <t>2024-02-03 06:58:09</t>
        </is>
      </c>
      <c r="E1746" t="inlineStr">
        <is>
          <t>2024-02-03 06:58:09</t>
        </is>
      </c>
      <c r="F1746" t="inlineStr">
        <is>
          <t>666</t>
        </is>
      </c>
    </row>
    <row r="1747">
      <c r="A1747" t="inlineStr">
        <is>
          <t>Boleta_T0001342.pdf</t>
        </is>
      </c>
      <c r="B1747">
        <f>HYPERLINK("C:\Users\lmonroy\Tema\PLANILLAS\2024\BoletasPDF-CCNN\Boleta_T0001342.pdf", "Link")</f>
        <v/>
      </c>
      <c r="C1747" t="n">
        <v>162535</v>
      </c>
      <c r="D1747" t="inlineStr">
        <is>
          <t>2024-02-03 06:58:10</t>
        </is>
      </c>
      <c r="E1747" t="inlineStr">
        <is>
          <t>2024-02-03 06:58:10</t>
        </is>
      </c>
      <c r="F1747" t="inlineStr">
        <is>
          <t>666</t>
        </is>
      </c>
    </row>
    <row r="1748">
      <c r="A1748" t="inlineStr">
        <is>
          <t>Boleta_T0001343.pdf</t>
        </is>
      </c>
      <c r="B1748">
        <f>HYPERLINK("C:\Users\lmonroy\Tema\PLANILLAS\2024\BoletasPDF-CCNN\Boleta_T0001343.pdf", "Link")</f>
        <v/>
      </c>
      <c r="C1748" t="n">
        <v>162542</v>
      </c>
      <c r="D1748" t="inlineStr">
        <is>
          <t>2024-02-03 06:58:10</t>
        </is>
      </c>
      <c r="E1748" t="inlineStr">
        <is>
          <t>2024-02-03 06:58:10</t>
        </is>
      </c>
      <c r="F1748" t="inlineStr">
        <is>
          <t>666</t>
        </is>
      </c>
    </row>
    <row r="1749">
      <c r="A1749" t="inlineStr">
        <is>
          <t>Boleta_T0001344.pdf</t>
        </is>
      </c>
      <c r="B1749">
        <f>HYPERLINK("C:\Users\lmonroy\Tema\PLANILLAS\2024\BoletasPDF-CCNN\Boleta_T0001344.pdf", "Link")</f>
        <v/>
      </c>
      <c r="C1749" t="n">
        <v>162435</v>
      </c>
      <c r="D1749" t="inlineStr">
        <is>
          <t>2024-02-03 06:58:11</t>
        </is>
      </c>
      <c r="E1749" t="inlineStr">
        <is>
          <t>2024-02-03 06:58:11</t>
        </is>
      </c>
      <c r="F1749" t="inlineStr">
        <is>
          <t>666</t>
        </is>
      </c>
    </row>
    <row r="1750">
      <c r="A1750" t="inlineStr">
        <is>
          <t>Boleta_T0001345.pdf</t>
        </is>
      </c>
      <c r="B1750">
        <f>HYPERLINK("C:\Users\lmonroy\Tema\PLANILLAS\2024\BoletasPDF-CCNN\Boleta_T0001345.pdf", "Link")</f>
        <v/>
      </c>
      <c r="C1750" t="n">
        <v>162448</v>
      </c>
      <c r="D1750" t="inlineStr">
        <is>
          <t>2024-02-03 06:58:11</t>
        </is>
      </c>
      <c r="E1750" t="inlineStr">
        <is>
          <t>2024-02-03 06:58:11</t>
        </is>
      </c>
      <c r="F1750" t="inlineStr">
        <is>
          <t>666</t>
        </is>
      </c>
    </row>
    <row r="1751">
      <c r="A1751" t="inlineStr">
        <is>
          <t>Boleta_T0001347.pdf</t>
        </is>
      </c>
      <c r="B1751">
        <f>HYPERLINK("C:\Users\lmonroy\Tema\PLANILLAS\2024\BoletasPDF-CCNN\Boleta_T0001347.pdf", "Link")</f>
        <v/>
      </c>
      <c r="C1751" t="n">
        <v>162509</v>
      </c>
      <c r="D1751" t="inlineStr">
        <is>
          <t>2024-02-03 06:58:12</t>
        </is>
      </c>
      <c r="E1751" t="inlineStr">
        <is>
          <t>2024-02-03 06:58:12</t>
        </is>
      </c>
      <c r="F1751" t="inlineStr">
        <is>
          <t>666</t>
        </is>
      </c>
    </row>
    <row r="1752">
      <c r="A1752" t="inlineStr">
        <is>
          <t>Boleta_T0001348.pdf</t>
        </is>
      </c>
      <c r="B1752">
        <f>HYPERLINK("C:\Users\lmonroy\Tema\PLANILLAS\2024\BoletasPDF-CCNN\Boleta_T0001348.pdf", "Link")</f>
        <v/>
      </c>
      <c r="C1752" t="n">
        <v>162430</v>
      </c>
      <c r="D1752" t="inlineStr">
        <is>
          <t>2024-02-03 06:58:13</t>
        </is>
      </c>
      <c r="E1752" t="inlineStr">
        <is>
          <t>2024-02-03 06:58:13</t>
        </is>
      </c>
      <c r="F1752" t="inlineStr">
        <is>
          <t>666</t>
        </is>
      </c>
    </row>
    <row r="1753">
      <c r="A1753" t="inlineStr">
        <is>
          <t>Boleta_T0001349.pdf</t>
        </is>
      </c>
      <c r="B1753">
        <f>HYPERLINK("C:\Users\lmonroy\Tema\PLANILLAS\2024\BoletasPDF-CCNN\Boleta_T0001349.pdf", "Link")</f>
        <v/>
      </c>
      <c r="C1753" t="n">
        <v>162449</v>
      </c>
      <c r="D1753" t="inlineStr">
        <is>
          <t>2024-02-03 06:58:13</t>
        </is>
      </c>
      <c r="E1753" t="inlineStr">
        <is>
          <t>2024-02-03 06:58:13</t>
        </is>
      </c>
      <c r="F1753" t="inlineStr">
        <is>
          <t>666</t>
        </is>
      </c>
    </row>
    <row r="1754">
      <c r="A1754" t="inlineStr">
        <is>
          <t>Boleta_T0001350.pdf</t>
        </is>
      </c>
      <c r="B1754">
        <f>HYPERLINK("C:\Users\lmonroy\Tema\PLANILLAS\2024\BoletasPDF-CCNN\Boleta_T0001350.pdf", "Link")</f>
        <v/>
      </c>
      <c r="C1754" t="n">
        <v>162440</v>
      </c>
      <c r="D1754" t="inlineStr">
        <is>
          <t>2024-02-03 06:58:14</t>
        </is>
      </c>
      <c r="E1754" t="inlineStr">
        <is>
          <t>2024-02-03 06:58:14</t>
        </is>
      </c>
      <c r="F1754" t="inlineStr">
        <is>
          <t>666</t>
        </is>
      </c>
    </row>
    <row r="1755">
      <c r="A1755" t="inlineStr">
        <is>
          <t>Boleta_T0001352.pdf</t>
        </is>
      </c>
      <c r="B1755">
        <f>HYPERLINK("C:\Users\lmonroy\Tema\PLANILLAS\2024\BoletasPDF-CCNN\Boleta_T0001352.pdf", "Link")</f>
        <v/>
      </c>
      <c r="C1755" t="n">
        <v>162527</v>
      </c>
      <c r="D1755" t="inlineStr">
        <is>
          <t>2024-02-03 06:58:15</t>
        </is>
      </c>
      <c r="E1755" t="inlineStr">
        <is>
          <t>2024-02-03 06:58:15</t>
        </is>
      </c>
      <c r="F1755" t="inlineStr">
        <is>
          <t>666</t>
        </is>
      </c>
    </row>
    <row r="1756">
      <c r="A1756" t="inlineStr">
        <is>
          <t>Boleta_T0001353.pdf</t>
        </is>
      </c>
      <c r="B1756">
        <f>HYPERLINK("C:\Users\lmonroy\Tema\PLANILLAS\2024\BoletasPDF-CCNN\Boleta_T0001353.pdf", "Link")</f>
        <v/>
      </c>
      <c r="C1756" t="n">
        <v>162584</v>
      </c>
      <c r="D1756" t="inlineStr">
        <is>
          <t>2024-02-03 06:58:15</t>
        </is>
      </c>
      <c r="E1756" t="inlineStr">
        <is>
          <t>2024-02-03 06:58:15</t>
        </is>
      </c>
      <c r="F1756" t="inlineStr">
        <is>
          <t>666</t>
        </is>
      </c>
    </row>
    <row r="1757">
      <c r="A1757" t="inlineStr">
        <is>
          <t>Boleta_T0001354.pdf</t>
        </is>
      </c>
      <c r="B1757">
        <f>HYPERLINK("C:\Users\lmonroy\Tema\PLANILLAS\2024\BoletasPDF-CCNN\Boleta_T0001354.pdf", "Link")</f>
        <v/>
      </c>
      <c r="C1757" t="n">
        <v>162457</v>
      </c>
      <c r="D1757" t="inlineStr">
        <is>
          <t>2024-02-03 06:58:16</t>
        </is>
      </c>
      <c r="E1757" t="inlineStr">
        <is>
          <t>2024-02-03 06:58:16</t>
        </is>
      </c>
      <c r="F1757" t="inlineStr">
        <is>
          <t>666</t>
        </is>
      </c>
    </row>
    <row r="1758">
      <c r="A1758" t="inlineStr">
        <is>
          <t>Boleta_T0001355.pdf</t>
        </is>
      </c>
      <c r="B1758">
        <f>HYPERLINK("C:\Users\lmonroy\Tema\PLANILLAS\2024\BoletasPDF-CCNN\Boleta_T0001355.pdf", "Link")</f>
        <v/>
      </c>
      <c r="C1758" t="n">
        <v>162462</v>
      </c>
      <c r="D1758" t="inlineStr">
        <is>
          <t>2024-02-03 06:58:17</t>
        </is>
      </c>
      <c r="E1758" t="inlineStr">
        <is>
          <t>2024-02-03 06:58:17</t>
        </is>
      </c>
      <c r="F1758" t="inlineStr">
        <is>
          <t>666</t>
        </is>
      </c>
    </row>
    <row r="1759">
      <c r="A1759" t="inlineStr">
        <is>
          <t>Boleta_T0001356.pdf</t>
        </is>
      </c>
      <c r="B1759">
        <f>HYPERLINK("C:\Users\lmonroy\Tema\PLANILLAS\2024\BoletasPDF-CCNN\Boleta_T0001356.pdf", "Link")</f>
        <v/>
      </c>
      <c r="C1759" t="n">
        <v>162442</v>
      </c>
      <c r="D1759" t="inlineStr">
        <is>
          <t>2024-02-03 06:58:18</t>
        </is>
      </c>
      <c r="E1759" t="inlineStr">
        <is>
          <t>2024-02-03 06:58:18</t>
        </is>
      </c>
      <c r="F1759" t="inlineStr">
        <is>
          <t>666</t>
        </is>
      </c>
    </row>
    <row r="1760">
      <c r="A1760" t="inlineStr">
        <is>
          <t>Boleta_T0001357.pdf</t>
        </is>
      </c>
      <c r="B1760">
        <f>HYPERLINK("C:\Users\lmonroy\Tema\PLANILLAS\2024\BoletasPDF-CCNN\Boleta_T0001357.pdf", "Link")</f>
        <v/>
      </c>
      <c r="C1760" t="n">
        <v>162430</v>
      </c>
      <c r="D1760" t="inlineStr">
        <is>
          <t>2024-02-03 06:58:20</t>
        </is>
      </c>
      <c r="E1760" t="inlineStr">
        <is>
          <t>2024-02-03 06:58:20</t>
        </is>
      </c>
      <c r="F1760" t="inlineStr">
        <is>
          <t>666</t>
        </is>
      </c>
    </row>
    <row r="1761">
      <c r="A1761" t="inlineStr">
        <is>
          <t>Boleta_T0001358.pdf</t>
        </is>
      </c>
      <c r="B1761">
        <f>HYPERLINK("C:\Users\lmonroy\Tema\PLANILLAS\2024\BoletasPDF-CCNN\Boleta_T0001358.pdf", "Link")</f>
        <v/>
      </c>
      <c r="C1761" t="n">
        <v>162535</v>
      </c>
      <c r="D1761" t="inlineStr">
        <is>
          <t>2024-02-03 06:58:20</t>
        </is>
      </c>
      <c r="E1761" t="inlineStr">
        <is>
          <t>2024-02-03 06:58:20</t>
        </is>
      </c>
      <c r="F1761" t="inlineStr">
        <is>
          <t>666</t>
        </is>
      </c>
    </row>
    <row r="1762">
      <c r="A1762" t="inlineStr">
        <is>
          <t>Boleta_T0001359.pdf</t>
        </is>
      </c>
      <c r="B1762">
        <f>HYPERLINK("C:\Users\lmonroy\Tema\PLANILLAS\2024\BoletasPDF-CCNN\Boleta_T0001359.pdf", "Link")</f>
        <v/>
      </c>
      <c r="C1762" t="n">
        <v>162523</v>
      </c>
      <c r="D1762" t="inlineStr">
        <is>
          <t>2024-02-03 06:58:21</t>
        </is>
      </c>
      <c r="E1762" t="inlineStr">
        <is>
          <t>2024-02-03 06:58:21</t>
        </is>
      </c>
      <c r="F1762" t="inlineStr">
        <is>
          <t>666</t>
        </is>
      </c>
    </row>
    <row r="1763">
      <c r="A1763" t="inlineStr">
        <is>
          <t>Boleta_T0001360.pdf</t>
        </is>
      </c>
      <c r="B1763">
        <f>HYPERLINK("C:\Users\lmonroy\Tema\PLANILLAS\2024\BoletasPDF-CCNN\Boleta_T0001360.pdf", "Link")</f>
        <v/>
      </c>
      <c r="C1763" t="n">
        <v>162442</v>
      </c>
      <c r="D1763" t="inlineStr">
        <is>
          <t>2024-02-03 06:58:22</t>
        </is>
      </c>
      <c r="E1763" t="inlineStr">
        <is>
          <t>2024-02-03 06:58:22</t>
        </is>
      </c>
      <c r="F1763" t="inlineStr">
        <is>
          <t>666</t>
        </is>
      </c>
    </row>
    <row r="1764">
      <c r="A1764" t="inlineStr">
        <is>
          <t>Boleta_T0001361.pdf</t>
        </is>
      </c>
      <c r="B1764">
        <f>HYPERLINK("C:\Users\lmonroy\Tema\PLANILLAS\2024\BoletasPDF-CCNN\Boleta_T0001361.pdf", "Link")</f>
        <v/>
      </c>
      <c r="C1764" t="n">
        <v>162479</v>
      </c>
      <c r="D1764" t="inlineStr">
        <is>
          <t>2024-02-03 06:58:22</t>
        </is>
      </c>
      <c r="E1764" t="inlineStr">
        <is>
          <t>2024-02-03 06:58:22</t>
        </is>
      </c>
      <c r="F1764" t="inlineStr">
        <is>
          <t>666</t>
        </is>
      </c>
    </row>
    <row r="1765">
      <c r="A1765" t="inlineStr">
        <is>
          <t>Boleta_T0001362.pdf</t>
        </is>
      </c>
      <c r="B1765">
        <f>HYPERLINK("C:\Users\lmonroy\Tema\PLANILLAS\2024\BoletasPDF-CCNN\Boleta_T0001362.pdf", "Link")</f>
        <v/>
      </c>
      <c r="C1765" t="n">
        <v>162450</v>
      </c>
      <c r="D1765" t="inlineStr">
        <is>
          <t>2024-02-03 06:58:23</t>
        </is>
      </c>
      <c r="E1765" t="inlineStr">
        <is>
          <t>2024-02-03 06:58:23</t>
        </is>
      </c>
      <c r="F1765" t="inlineStr">
        <is>
          <t>666</t>
        </is>
      </c>
    </row>
    <row r="1766">
      <c r="A1766" t="inlineStr">
        <is>
          <t>Boleta_T0001363.pdf</t>
        </is>
      </c>
      <c r="B1766">
        <f>HYPERLINK("C:\Users\lmonroy\Tema\PLANILLAS\2024\BoletasPDF-CCNN\Boleta_T0001363.pdf", "Link")</f>
        <v/>
      </c>
      <c r="C1766" t="n">
        <v>162448</v>
      </c>
      <c r="D1766" t="inlineStr">
        <is>
          <t>2024-02-03 06:58:24</t>
        </is>
      </c>
      <c r="E1766" t="inlineStr">
        <is>
          <t>2024-02-03 06:58:24</t>
        </is>
      </c>
      <c r="F1766" t="inlineStr">
        <is>
          <t>666</t>
        </is>
      </c>
    </row>
    <row r="1767">
      <c r="A1767" t="inlineStr">
        <is>
          <t>Boleta_T0001365.pdf</t>
        </is>
      </c>
      <c r="B1767">
        <f>HYPERLINK("C:\Users\lmonroy\Tema\PLANILLAS\2024\BoletasPDF-CCNN\Boleta_T0001365.pdf", "Link")</f>
        <v/>
      </c>
      <c r="C1767" t="n">
        <v>162430</v>
      </c>
      <c r="D1767" t="inlineStr">
        <is>
          <t>2024-02-03 06:58:24</t>
        </is>
      </c>
      <c r="E1767" t="inlineStr">
        <is>
          <t>2024-02-03 06:58:24</t>
        </is>
      </c>
      <c r="F1767" t="inlineStr">
        <is>
          <t>666</t>
        </is>
      </c>
    </row>
    <row r="1768">
      <c r="A1768" t="inlineStr">
        <is>
          <t>Boleta_T0001366.pdf</t>
        </is>
      </c>
      <c r="B1768">
        <f>HYPERLINK("C:\Users\lmonroy\Tema\PLANILLAS\2024\BoletasPDF-CCNN\Boleta_T0001366.pdf", "Link")</f>
        <v/>
      </c>
      <c r="C1768" t="n">
        <v>162431</v>
      </c>
      <c r="D1768" t="inlineStr">
        <is>
          <t>2024-02-03 06:58:25</t>
        </is>
      </c>
      <c r="E1768" t="inlineStr">
        <is>
          <t>2024-02-03 06:58:25</t>
        </is>
      </c>
      <c r="F1768" t="inlineStr">
        <is>
          <t>666</t>
        </is>
      </c>
    </row>
    <row r="1769">
      <c r="A1769" t="inlineStr">
        <is>
          <t>Boleta_T0001367.pdf</t>
        </is>
      </c>
      <c r="B1769">
        <f>HYPERLINK("C:\Users\lmonroy\Tema\PLANILLAS\2024\BoletasPDF-CCNN\Boleta_T0001367.pdf", "Link")</f>
        <v/>
      </c>
      <c r="C1769" t="n">
        <v>162608</v>
      </c>
      <c r="D1769" t="inlineStr">
        <is>
          <t>2024-02-03 06:58:25</t>
        </is>
      </c>
      <c r="E1769" t="inlineStr">
        <is>
          <t>2024-02-03 06:58:25</t>
        </is>
      </c>
      <c r="F1769" t="inlineStr">
        <is>
          <t>666</t>
        </is>
      </c>
    </row>
    <row r="1770">
      <c r="A1770" t="inlineStr">
        <is>
          <t>Boleta_T0001368.pdf</t>
        </is>
      </c>
      <c r="B1770">
        <f>HYPERLINK("C:\Users\lmonroy\Tema\PLANILLAS\2024\BoletasPDF-CCNN\Boleta_T0001368.pdf", "Link")</f>
        <v/>
      </c>
      <c r="C1770" t="n">
        <v>162550</v>
      </c>
      <c r="D1770" t="inlineStr">
        <is>
          <t>2024-02-03 06:57:01</t>
        </is>
      </c>
      <c r="E1770" t="inlineStr">
        <is>
          <t>2024-02-03 06:57:01</t>
        </is>
      </c>
      <c r="F1770" t="inlineStr">
        <is>
          <t>666</t>
        </is>
      </c>
    </row>
    <row r="1771">
      <c r="A1771" t="inlineStr">
        <is>
          <t>Boleta_T0001369.pdf</t>
        </is>
      </c>
      <c r="B1771">
        <f>HYPERLINK("C:\Users\lmonroy\Tema\PLANILLAS\2024\BoletasPDF-CCNN\Boleta_T0001369.pdf", "Link")</f>
        <v/>
      </c>
      <c r="C1771" t="n">
        <v>162431</v>
      </c>
      <c r="D1771" t="inlineStr">
        <is>
          <t>2024-02-03 06:58:19</t>
        </is>
      </c>
      <c r="E1771" t="inlineStr">
        <is>
          <t>2024-02-03 06:58:19</t>
        </is>
      </c>
      <c r="F1771" t="inlineStr">
        <is>
          <t>666</t>
        </is>
      </c>
    </row>
    <row r="1772">
      <c r="A1772" t="inlineStr">
        <is>
          <t>Boleta_T0001370.pdf</t>
        </is>
      </c>
      <c r="B1772">
        <f>HYPERLINK("C:\Users\lmonroy\Tema\PLANILLAS\2024\BoletasPDF-CCNN\Boleta_T0001370.pdf", "Link")</f>
        <v/>
      </c>
      <c r="C1772" t="n">
        <v>162520</v>
      </c>
      <c r="D1772" t="inlineStr">
        <is>
          <t>2024-02-03 06:56:27</t>
        </is>
      </c>
      <c r="E1772" t="inlineStr">
        <is>
          <t>2024-02-03 06:56:27</t>
        </is>
      </c>
      <c r="F1772" t="inlineStr">
        <is>
          <t>666</t>
        </is>
      </c>
    </row>
    <row r="1773">
      <c r="A1773" t="inlineStr">
        <is>
          <t>Boleta_T0001371.pdf</t>
        </is>
      </c>
      <c r="B1773">
        <f>HYPERLINK("C:\Users\lmonroy\Tema\PLANILLAS\2024\BoletasPDF-CCNN\Boleta_T0001371.pdf", "Link")</f>
        <v/>
      </c>
      <c r="C1773" t="n">
        <v>162421</v>
      </c>
      <c r="D1773" t="inlineStr">
        <is>
          <t>2024-02-03 06:55:29</t>
        </is>
      </c>
      <c r="E1773" t="inlineStr">
        <is>
          <t>2024-02-03 06:55:29</t>
        </is>
      </c>
      <c r="F1773" t="inlineStr">
        <is>
          <t>666</t>
        </is>
      </c>
    </row>
    <row r="1774">
      <c r="A1774" t="inlineStr">
        <is>
          <t>Boleta_T0001372.pdf</t>
        </is>
      </c>
      <c r="B1774">
        <f>HYPERLINK("C:\Users\lmonroy\Tema\PLANILLAS\2024\BoletasPDF-CCNN\Boleta_T0001372.pdf", "Link")</f>
        <v/>
      </c>
      <c r="C1774" t="n">
        <v>162519</v>
      </c>
      <c r="D1774" t="inlineStr">
        <is>
          <t>2024-02-03 06:55:22</t>
        </is>
      </c>
      <c r="E1774" t="inlineStr">
        <is>
          <t>2024-02-03 06:55:22</t>
        </is>
      </c>
      <c r="F1774" t="inlineStr">
        <is>
          <t>666</t>
        </is>
      </c>
    </row>
    <row r="1775">
      <c r="A1775" t="inlineStr">
        <is>
          <t>Boleta_T0001373.pdf</t>
        </is>
      </c>
      <c r="B1775">
        <f>HYPERLINK("C:\Users\lmonroy\Tema\PLANILLAS\2024\BoletasPDF-CCNN\Boleta_T0001373.pdf", "Link")</f>
        <v/>
      </c>
      <c r="C1775" t="n">
        <v>162542</v>
      </c>
      <c r="D1775" t="inlineStr">
        <is>
          <t>2024-02-03 06:54:42</t>
        </is>
      </c>
      <c r="E1775" t="inlineStr">
        <is>
          <t>2024-02-03 06:54:42</t>
        </is>
      </c>
      <c r="F1775" t="inlineStr">
        <is>
          <t>666</t>
        </is>
      </c>
    </row>
    <row r="1776">
      <c r="A1776" t="inlineStr">
        <is>
          <t>Boleta_T0001377.pdf</t>
        </is>
      </c>
      <c r="B1776">
        <f>HYPERLINK("C:\Users\lmonroy\Tema\PLANILLAS\2024\BoletasPDF-CCNN\Boleta_T0001377.pdf", "Link")</f>
        <v/>
      </c>
      <c r="C1776" t="n">
        <v>162421</v>
      </c>
      <c r="D1776" t="inlineStr">
        <is>
          <t>2024-02-03 06:55:17</t>
        </is>
      </c>
      <c r="E1776" t="inlineStr">
        <is>
          <t>2024-02-03 06:55:17</t>
        </is>
      </c>
      <c r="F1776" t="inlineStr">
        <is>
          <t>666</t>
        </is>
      </c>
    </row>
    <row r="1777">
      <c r="A1777" t="inlineStr">
        <is>
          <t>Boleta_T0001378.pdf</t>
        </is>
      </c>
      <c r="B1777">
        <f>HYPERLINK("C:\Users\lmonroy\Tema\PLANILLAS\2024\BoletasPDF-CCNN\Boleta_T0001378.pdf", "Link")</f>
        <v/>
      </c>
      <c r="C1777" t="n">
        <v>162538</v>
      </c>
      <c r="D1777" t="inlineStr">
        <is>
          <t>2024-02-03 06:55:44</t>
        </is>
      </c>
      <c r="E1777" t="inlineStr">
        <is>
          <t>2024-02-03 06:55:44</t>
        </is>
      </c>
      <c r="F1777" t="inlineStr">
        <is>
          <t>666</t>
        </is>
      </c>
    </row>
    <row r="1778">
      <c r="A1778" t="inlineStr">
        <is>
          <t>Boleta_T0001379.pdf</t>
        </is>
      </c>
      <c r="B1778">
        <f>HYPERLINK("C:\Users\lmonroy\Tema\PLANILLAS\2024\BoletasPDF-CCNN\Boleta_T0001379.pdf", "Link")</f>
        <v/>
      </c>
      <c r="C1778" t="n">
        <v>162430</v>
      </c>
      <c r="D1778" t="inlineStr">
        <is>
          <t>2024-02-03 06:55:43</t>
        </is>
      </c>
      <c r="E1778" t="inlineStr">
        <is>
          <t>2024-02-03 06:55:43</t>
        </is>
      </c>
      <c r="F1778" t="inlineStr">
        <is>
          <t>666</t>
        </is>
      </c>
    </row>
    <row r="1779">
      <c r="A1779" t="inlineStr">
        <is>
          <t>Boleta_T0001380.pdf</t>
        </is>
      </c>
      <c r="B1779">
        <f>HYPERLINK("C:\Users\lmonroy\Tema\PLANILLAS\2024\BoletasPDF-CCNN\Boleta_T0001380.pdf", "Link")</f>
        <v/>
      </c>
      <c r="C1779" t="n">
        <v>162596</v>
      </c>
      <c r="D1779" t="inlineStr">
        <is>
          <t>2024-02-03 06:56:04</t>
        </is>
      </c>
      <c r="E1779" t="inlineStr">
        <is>
          <t>2024-02-03 06:56:04</t>
        </is>
      </c>
      <c r="F1779" t="inlineStr">
        <is>
          <t>666</t>
        </is>
      </c>
    </row>
    <row r="1780">
      <c r="A1780" t="inlineStr">
        <is>
          <t>Boleta_T0001381.pdf</t>
        </is>
      </c>
      <c r="B1780">
        <f>HYPERLINK("C:\Users\lmonroy\Tema\PLANILLAS\2024\BoletasPDF-CCNN\Boleta_T0001381.pdf", "Link")</f>
        <v/>
      </c>
      <c r="C1780" t="n">
        <v>162438</v>
      </c>
      <c r="D1780" t="inlineStr">
        <is>
          <t>2024-02-03 06:56:20</t>
        </is>
      </c>
      <c r="E1780" t="inlineStr">
        <is>
          <t>2024-02-03 06:56:20</t>
        </is>
      </c>
      <c r="F1780" t="inlineStr">
        <is>
          <t>666</t>
        </is>
      </c>
    </row>
    <row r="1781">
      <c r="A1781" t="inlineStr">
        <is>
          <t>Boleta_T0001382.pdf</t>
        </is>
      </c>
      <c r="B1781">
        <f>HYPERLINK("C:\Users\lmonroy\Tema\PLANILLAS\2024\BoletasPDF-CCNN\Boleta_T0001382.pdf", "Link")</f>
        <v/>
      </c>
      <c r="C1781" t="n">
        <v>162521</v>
      </c>
      <c r="D1781" t="inlineStr">
        <is>
          <t>2024-02-03 06:56:48</t>
        </is>
      </c>
      <c r="E1781" t="inlineStr">
        <is>
          <t>2024-02-03 06:56:48</t>
        </is>
      </c>
      <c r="F1781" t="inlineStr">
        <is>
          <t>666</t>
        </is>
      </c>
    </row>
    <row r="1782">
      <c r="A1782" t="inlineStr">
        <is>
          <t>Boleta_T0001383.pdf</t>
        </is>
      </c>
      <c r="B1782">
        <f>HYPERLINK("C:\Users\lmonroy\Tema\PLANILLAS\2024\BoletasPDF-CCNN\Boleta_T0001383.pdf", "Link")</f>
        <v/>
      </c>
      <c r="C1782" t="n">
        <v>162550</v>
      </c>
      <c r="D1782" t="inlineStr">
        <is>
          <t>2024-02-03 06:57:44</t>
        </is>
      </c>
      <c r="E1782" t="inlineStr">
        <is>
          <t>2024-02-03 06:57:44</t>
        </is>
      </c>
      <c r="F1782" t="inlineStr">
        <is>
          <t>666</t>
        </is>
      </c>
    </row>
    <row r="1783">
      <c r="A1783" t="inlineStr">
        <is>
          <t>Boleta_T0001384.pdf</t>
        </is>
      </c>
      <c r="B1783">
        <f>HYPERLINK("C:\Users\lmonroy\Tema\PLANILLAS\2024\BoletasPDF-CCNN\Boleta_T0001384.pdf", "Link")</f>
        <v/>
      </c>
      <c r="C1783" t="n">
        <v>162600</v>
      </c>
      <c r="D1783" t="inlineStr">
        <is>
          <t>2024-02-03 06:57:43</t>
        </is>
      </c>
      <c r="E1783" t="inlineStr">
        <is>
          <t>2024-02-03 06:57:43</t>
        </is>
      </c>
      <c r="F1783" t="inlineStr">
        <is>
          <t>666</t>
        </is>
      </c>
    </row>
    <row r="1784">
      <c r="A1784" t="inlineStr">
        <is>
          <t>Boleta_T0001385.pdf</t>
        </is>
      </c>
      <c r="B1784">
        <f>HYPERLINK("C:\Users\lmonroy\Tema\PLANILLAS\2024\BoletasPDF-CCNN\Boleta_T0001385.pdf", "Link")</f>
        <v/>
      </c>
      <c r="C1784" t="n">
        <v>162535</v>
      </c>
      <c r="D1784" t="inlineStr">
        <is>
          <t>2024-02-03 06:56:48</t>
        </is>
      </c>
      <c r="E1784" t="inlineStr">
        <is>
          <t>2024-02-03 06:56:48</t>
        </is>
      </c>
      <c r="F1784" t="inlineStr">
        <is>
          <t>666</t>
        </is>
      </c>
    </row>
    <row r="1785">
      <c r="A1785" t="inlineStr">
        <is>
          <t>Boleta_T0001386.pdf</t>
        </is>
      </c>
      <c r="B1785">
        <f>HYPERLINK("C:\Users\lmonroy\Tema\PLANILLAS\2024\BoletasPDF-CCNN\Boleta_T0001386.pdf", "Link")</f>
        <v/>
      </c>
      <c r="C1785" t="n">
        <v>162446</v>
      </c>
      <c r="D1785" t="inlineStr">
        <is>
          <t>2024-02-03 06:55:40</t>
        </is>
      </c>
      <c r="E1785" t="inlineStr">
        <is>
          <t>2024-02-03 06:55:40</t>
        </is>
      </c>
      <c r="F1785" t="inlineStr">
        <is>
          <t>666</t>
        </is>
      </c>
    </row>
    <row r="1786">
      <c r="A1786" t="inlineStr">
        <is>
          <t>Boleta_T0001387.pdf</t>
        </is>
      </c>
      <c r="B1786">
        <f>HYPERLINK("C:\Users\lmonroy\Tema\PLANILLAS\2024\BoletasPDF-CCNN\Boleta_T0001387.pdf", "Link")</f>
        <v/>
      </c>
      <c r="C1786" t="n">
        <v>162430</v>
      </c>
      <c r="D1786" t="inlineStr">
        <is>
          <t>2024-02-03 06:55:36</t>
        </is>
      </c>
      <c r="E1786" t="inlineStr">
        <is>
          <t>2024-02-03 06:55:36</t>
        </is>
      </c>
      <c r="F1786" t="inlineStr">
        <is>
          <t>666</t>
        </is>
      </c>
    </row>
    <row r="1787">
      <c r="A1787" t="inlineStr">
        <is>
          <t>Boleta_T0001388.pdf</t>
        </is>
      </c>
      <c r="B1787">
        <f>HYPERLINK("C:\Users\lmonroy\Tema\PLANILLAS\2024\BoletasPDF-CCNN\Boleta_T0001388.pdf", "Link")</f>
        <v/>
      </c>
      <c r="C1787" t="n">
        <v>162448</v>
      </c>
      <c r="D1787" t="inlineStr">
        <is>
          <t>2024-02-03 06:56:13</t>
        </is>
      </c>
      <c r="E1787" t="inlineStr">
        <is>
          <t>2024-02-03 06:56:13</t>
        </is>
      </c>
      <c r="F1787" t="inlineStr">
        <is>
          <t>666</t>
        </is>
      </c>
    </row>
    <row r="1788">
      <c r="A1788" t="inlineStr">
        <is>
          <t>Boleta_T0001389.pdf</t>
        </is>
      </c>
      <c r="B1788">
        <f>HYPERLINK("C:\Users\lmonroy\Tema\PLANILLAS\2024\BoletasPDF-CCNN\Boleta_T0001389.pdf", "Link")</f>
        <v/>
      </c>
      <c r="C1788" t="n">
        <v>162456</v>
      </c>
      <c r="D1788" t="inlineStr">
        <is>
          <t>2024-02-03 06:54:17</t>
        </is>
      </c>
      <c r="E1788" t="inlineStr">
        <is>
          <t>2024-02-03 06:54:17</t>
        </is>
      </c>
      <c r="F1788" t="inlineStr">
        <is>
          <t>666</t>
        </is>
      </c>
    </row>
    <row r="1789">
      <c r="A1789" t="inlineStr">
        <is>
          <t>Boleta_T0001390.pdf</t>
        </is>
      </c>
      <c r="B1789">
        <f>HYPERLINK("C:\Users\lmonroy\Tema\PLANILLAS\2024\BoletasPDF-CCNN\Boleta_T0001390.pdf", "Link")</f>
        <v/>
      </c>
      <c r="C1789" t="n">
        <v>162451</v>
      </c>
      <c r="D1789" t="inlineStr">
        <is>
          <t>2024-02-03 06:55:34</t>
        </is>
      </c>
      <c r="E1789" t="inlineStr">
        <is>
          <t>2024-02-03 06:55:34</t>
        </is>
      </c>
      <c r="F1789" t="inlineStr">
        <is>
          <t>666</t>
        </is>
      </c>
    </row>
    <row r="1790">
      <c r="A1790" t="inlineStr">
        <is>
          <t>Boleta_T0001391.pdf</t>
        </is>
      </c>
      <c r="B1790">
        <f>HYPERLINK("C:\Users\lmonroy\Tema\PLANILLAS\2024\BoletasPDF-CCNN\Boleta_T0001391.pdf", "Link")</f>
        <v/>
      </c>
      <c r="C1790" t="n">
        <v>162448</v>
      </c>
      <c r="D1790" t="inlineStr">
        <is>
          <t>2024-02-03 06:56:43</t>
        </is>
      </c>
      <c r="E1790" t="inlineStr">
        <is>
          <t>2024-02-03 06:56:43</t>
        </is>
      </c>
      <c r="F1790" t="inlineStr">
        <is>
          <t>666</t>
        </is>
      </c>
    </row>
    <row r="1791">
      <c r="A1791" t="inlineStr">
        <is>
          <t>Boleta_T0001392.pdf</t>
        </is>
      </c>
      <c r="B1791">
        <f>HYPERLINK("C:\Users\lmonroy\Tema\PLANILLAS\2024\BoletasPDF-CCNN\Boleta_T0001392.pdf", "Link")</f>
        <v/>
      </c>
      <c r="C1791" t="n">
        <v>162421</v>
      </c>
      <c r="D1791" t="inlineStr">
        <is>
          <t>2024-02-03 06:57:48</t>
        </is>
      </c>
      <c r="E1791" t="inlineStr">
        <is>
          <t>2024-02-03 06:57:48</t>
        </is>
      </c>
      <c r="F1791" t="inlineStr">
        <is>
          <t>666</t>
        </is>
      </c>
    </row>
    <row r="1792">
      <c r="A1792" t="inlineStr">
        <is>
          <t>Boleta_T0001437.pdf</t>
        </is>
      </c>
      <c r="B1792">
        <f>HYPERLINK("C:\Users\lmonroy\Tema\PLANILLAS\2024\BoletasPDF-CCNN\Boleta_T0001437.pdf", "Link")</f>
        <v/>
      </c>
      <c r="C1792" t="n">
        <v>162540</v>
      </c>
      <c r="D1792" t="inlineStr">
        <is>
          <t>2024-02-03 06:54:17</t>
        </is>
      </c>
      <c r="E1792" t="inlineStr">
        <is>
          <t>2024-02-03 06:54:17</t>
        </is>
      </c>
      <c r="F1792" t="inlineStr">
        <is>
          <t>666</t>
        </is>
      </c>
    </row>
    <row r="1793">
      <c r="A1793" t="inlineStr">
        <is>
          <t>Boleta_T0001438.pdf</t>
        </is>
      </c>
      <c r="B1793">
        <f>HYPERLINK("C:\Users\lmonroy\Tema\PLANILLAS\2024\BoletasPDF-CCNN\Boleta_T0001438.pdf", "Link")</f>
        <v/>
      </c>
      <c r="C1793" t="n">
        <v>162433</v>
      </c>
      <c r="D1793" t="inlineStr">
        <is>
          <t>2024-02-03 06:54:20</t>
        </is>
      </c>
      <c r="E1793" t="inlineStr">
        <is>
          <t>2024-02-03 06:54:20</t>
        </is>
      </c>
      <c r="F1793" t="inlineStr">
        <is>
          <t>666</t>
        </is>
      </c>
    </row>
    <row r="1794">
      <c r="A1794" t="inlineStr">
        <is>
          <t>Boleta_T0001439.pdf</t>
        </is>
      </c>
      <c r="B1794">
        <f>HYPERLINK("C:\Users\lmonroy\Tema\PLANILLAS\2024\BoletasPDF-CCNN\Boleta_T0001439.pdf", "Link")</f>
        <v/>
      </c>
      <c r="C1794" t="n">
        <v>162530</v>
      </c>
      <c r="D1794" t="inlineStr">
        <is>
          <t>2024-02-03 06:54:21</t>
        </is>
      </c>
      <c r="E1794" t="inlineStr">
        <is>
          <t>2024-02-03 06:54:21</t>
        </is>
      </c>
      <c r="F1794" t="inlineStr">
        <is>
          <t>666</t>
        </is>
      </c>
    </row>
    <row r="1795">
      <c r="A1795" t="inlineStr">
        <is>
          <t>Boleta_T0001440.pdf</t>
        </is>
      </c>
      <c r="B1795">
        <f>HYPERLINK("C:\Users\lmonroy\Tema\PLANILLAS\2024\BoletasPDF-CCNN\Boleta_T0001440.pdf", "Link")</f>
        <v/>
      </c>
      <c r="C1795" t="n">
        <v>162434</v>
      </c>
      <c r="D1795" t="inlineStr">
        <is>
          <t>2024-02-03 06:54:29</t>
        </is>
      </c>
      <c r="E1795" t="inlineStr">
        <is>
          <t>2024-02-03 06:54:29</t>
        </is>
      </c>
      <c r="F1795" t="inlineStr">
        <is>
          <t>666</t>
        </is>
      </c>
    </row>
    <row r="1796">
      <c r="A1796" t="inlineStr">
        <is>
          <t>Boleta_T0001441.pdf</t>
        </is>
      </c>
      <c r="B1796">
        <f>HYPERLINK("C:\Users\lmonroy\Tema\PLANILLAS\2024\BoletasPDF-CCNN\Boleta_T0001441.pdf", "Link")</f>
        <v/>
      </c>
      <c r="C1796" t="n">
        <v>162547</v>
      </c>
      <c r="D1796" t="inlineStr">
        <is>
          <t>2024-02-03 06:54:30</t>
        </is>
      </c>
      <c r="E1796" t="inlineStr">
        <is>
          <t>2024-02-03 06:54:30</t>
        </is>
      </c>
      <c r="F1796" t="inlineStr">
        <is>
          <t>666</t>
        </is>
      </c>
    </row>
    <row r="1797">
      <c r="A1797" t="inlineStr">
        <is>
          <t>Boleta_T0001442.pdf</t>
        </is>
      </c>
      <c r="B1797">
        <f>HYPERLINK("C:\Users\lmonroy\Tema\PLANILLAS\2024\BoletasPDF-CCNN\Boleta_T0001442.pdf", "Link")</f>
        <v/>
      </c>
      <c r="C1797" t="n">
        <v>162431</v>
      </c>
      <c r="D1797" t="inlineStr">
        <is>
          <t>2024-02-03 06:54:42</t>
        </is>
      </c>
      <c r="E1797" t="inlineStr">
        <is>
          <t>2024-02-03 06:54:42</t>
        </is>
      </c>
      <c r="F1797" t="inlineStr">
        <is>
          <t>666</t>
        </is>
      </c>
    </row>
    <row r="1798">
      <c r="A1798" t="inlineStr">
        <is>
          <t>Boleta_T0001443.pdf</t>
        </is>
      </c>
      <c r="B1798">
        <f>HYPERLINK("C:\Users\lmonroy\Tema\PLANILLAS\2024\BoletasPDF-CCNN\Boleta_T0001443.pdf", "Link")</f>
        <v/>
      </c>
      <c r="C1798" t="n">
        <v>162428</v>
      </c>
      <c r="D1798" t="inlineStr">
        <is>
          <t>2024-02-03 06:54:45</t>
        </is>
      </c>
      <c r="E1798" t="inlineStr">
        <is>
          <t>2024-02-03 06:54:45</t>
        </is>
      </c>
      <c r="F1798" t="inlineStr">
        <is>
          <t>666</t>
        </is>
      </c>
    </row>
    <row r="1799">
      <c r="A1799" t="inlineStr">
        <is>
          <t>Boleta_T0001444.pdf</t>
        </is>
      </c>
      <c r="B1799">
        <f>HYPERLINK("C:\Users\lmonroy\Tema\PLANILLAS\2024\BoletasPDF-CCNN\Boleta_T0001444.pdf", "Link")</f>
        <v/>
      </c>
      <c r="C1799" t="n">
        <v>162429</v>
      </c>
      <c r="D1799" t="inlineStr">
        <is>
          <t>2024-02-03 06:54:45</t>
        </is>
      </c>
      <c r="E1799" t="inlineStr">
        <is>
          <t>2024-02-03 06:54:45</t>
        </is>
      </c>
      <c r="F1799" t="inlineStr">
        <is>
          <t>666</t>
        </is>
      </c>
    </row>
    <row r="1800">
      <c r="A1800" t="inlineStr">
        <is>
          <t>Boleta_T0001445.pdf</t>
        </is>
      </c>
      <c r="B1800">
        <f>HYPERLINK("C:\Users\lmonroy\Tema\PLANILLAS\2024\BoletasPDF-CCNN\Boleta_T0001445.pdf", "Link")</f>
        <v/>
      </c>
      <c r="C1800" t="n">
        <v>162547</v>
      </c>
      <c r="D1800" t="inlineStr">
        <is>
          <t>2024-02-03 06:54:46</t>
        </is>
      </c>
      <c r="E1800" t="inlineStr">
        <is>
          <t>2024-02-03 06:54:46</t>
        </is>
      </c>
      <c r="F1800" t="inlineStr">
        <is>
          <t>666</t>
        </is>
      </c>
    </row>
    <row r="1801">
      <c r="A1801" t="inlineStr">
        <is>
          <t>Boleta_T0001446.pdf</t>
        </is>
      </c>
      <c r="B1801">
        <f>HYPERLINK("C:\Users\lmonroy\Tema\PLANILLAS\2024\BoletasPDF-CCNN\Boleta_T0001446.pdf", "Link")</f>
        <v/>
      </c>
      <c r="C1801" t="n">
        <v>162427</v>
      </c>
      <c r="D1801" t="inlineStr">
        <is>
          <t>2024-02-03 06:54:50</t>
        </is>
      </c>
      <c r="E1801" t="inlineStr">
        <is>
          <t>2024-02-03 06:54:50</t>
        </is>
      </c>
      <c r="F1801" t="inlineStr">
        <is>
          <t>666</t>
        </is>
      </c>
    </row>
    <row r="1802">
      <c r="A1802" t="inlineStr">
        <is>
          <t>Boleta_T0001447.pdf</t>
        </is>
      </c>
      <c r="B1802">
        <f>HYPERLINK("C:\Users\lmonroy\Tema\PLANILLAS\2024\BoletasPDF-CCNN\Boleta_T0001447.pdf", "Link")</f>
        <v/>
      </c>
      <c r="C1802" t="n">
        <v>162438</v>
      </c>
      <c r="D1802" t="inlineStr">
        <is>
          <t>2024-02-03 06:54:52</t>
        </is>
      </c>
      <c r="E1802" t="inlineStr">
        <is>
          <t>2024-02-03 06:54:52</t>
        </is>
      </c>
      <c r="F1802" t="inlineStr">
        <is>
          <t>666</t>
        </is>
      </c>
    </row>
    <row r="1803">
      <c r="A1803" t="inlineStr">
        <is>
          <t>Boleta_T0001448.pdf</t>
        </is>
      </c>
      <c r="B1803">
        <f>HYPERLINK("C:\Users\lmonroy\Tema\PLANILLAS\2024\BoletasPDF-CCNN\Boleta_T0001448.pdf", "Link")</f>
        <v/>
      </c>
      <c r="C1803" t="n">
        <v>162425</v>
      </c>
      <c r="D1803" t="inlineStr">
        <is>
          <t>2024-02-03 06:54:52</t>
        </is>
      </c>
      <c r="E1803" t="inlineStr">
        <is>
          <t>2024-02-03 06:54:52</t>
        </is>
      </c>
      <c r="F1803" t="inlineStr">
        <is>
          <t>666</t>
        </is>
      </c>
    </row>
    <row r="1804">
      <c r="A1804" t="inlineStr">
        <is>
          <t>Boleta_T0001449.pdf</t>
        </is>
      </c>
      <c r="B1804">
        <f>HYPERLINK("C:\Users\lmonroy\Tema\PLANILLAS\2024\BoletasPDF-CCNN\Boleta_T0001449.pdf", "Link")</f>
        <v/>
      </c>
      <c r="C1804" t="n">
        <v>162431</v>
      </c>
      <c r="D1804" t="inlineStr">
        <is>
          <t>2024-02-03 06:54:56</t>
        </is>
      </c>
      <c r="E1804" t="inlineStr">
        <is>
          <t>2024-02-03 06:54:56</t>
        </is>
      </c>
      <c r="F1804" t="inlineStr">
        <is>
          <t>666</t>
        </is>
      </c>
    </row>
    <row r="1805">
      <c r="A1805" t="inlineStr">
        <is>
          <t>Boleta_T0001450.pdf</t>
        </is>
      </c>
      <c r="B1805">
        <f>HYPERLINK("C:\Users\lmonroy\Tema\PLANILLAS\2024\BoletasPDF-CCNN\Boleta_T0001450.pdf", "Link")</f>
        <v/>
      </c>
      <c r="C1805" t="n">
        <v>162532</v>
      </c>
      <c r="D1805" t="inlineStr">
        <is>
          <t>2024-02-03 06:55:05</t>
        </is>
      </c>
      <c r="E1805" t="inlineStr">
        <is>
          <t>2024-02-03 06:55:05</t>
        </is>
      </c>
      <c r="F1805" t="inlineStr">
        <is>
          <t>666</t>
        </is>
      </c>
    </row>
    <row r="1806">
      <c r="A1806" t="inlineStr">
        <is>
          <t>Boleta_T0001451.pdf</t>
        </is>
      </c>
      <c r="B1806">
        <f>HYPERLINK("C:\Users\lmonroy\Tema\PLANILLAS\2024\BoletasPDF-CCNN\Boleta_T0001451.pdf", "Link")</f>
        <v/>
      </c>
      <c r="C1806" t="n">
        <v>162438</v>
      </c>
      <c r="D1806" t="inlineStr">
        <is>
          <t>2024-02-03 06:55:08</t>
        </is>
      </c>
      <c r="E1806" t="inlineStr">
        <is>
          <t>2024-02-03 06:55:08</t>
        </is>
      </c>
      <c r="F1806" t="inlineStr">
        <is>
          <t>666</t>
        </is>
      </c>
    </row>
    <row r="1807">
      <c r="A1807" t="inlineStr">
        <is>
          <t>Boleta_T0001452.pdf</t>
        </is>
      </c>
      <c r="B1807">
        <f>HYPERLINK("C:\Users\lmonroy\Tema\PLANILLAS\2024\BoletasPDF-CCNN\Boleta_T0001452.pdf", "Link")</f>
        <v/>
      </c>
      <c r="C1807" t="n">
        <v>162431</v>
      </c>
      <c r="D1807" t="inlineStr">
        <is>
          <t>2024-02-03 06:55:23</t>
        </is>
      </c>
      <c r="E1807" t="inlineStr">
        <is>
          <t>2024-02-03 06:55:23</t>
        </is>
      </c>
      <c r="F1807" t="inlineStr">
        <is>
          <t>666</t>
        </is>
      </c>
    </row>
    <row r="1808">
      <c r="A1808" t="inlineStr">
        <is>
          <t>Boleta_T0001453.pdf</t>
        </is>
      </c>
      <c r="B1808">
        <f>HYPERLINK("C:\Users\lmonroy\Tema\PLANILLAS\2024\BoletasPDF-CCNN\Boleta_T0001453.pdf", "Link")</f>
        <v/>
      </c>
      <c r="C1808" t="n">
        <v>162431</v>
      </c>
      <c r="D1808" t="inlineStr">
        <is>
          <t>2024-02-03 06:56:01</t>
        </is>
      </c>
      <c r="E1808" t="inlineStr">
        <is>
          <t>2024-02-03 06:56:01</t>
        </is>
      </c>
      <c r="F1808" t="inlineStr">
        <is>
          <t>666</t>
        </is>
      </c>
    </row>
    <row r="1809">
      <c r="A1809" t="inlineStr">
        <is>
          <t>Boleta_T0001454.pdf</t>
        </is>
      </c>
      <c r="B1809">
        <f>HYPERLINK("C:\Users\lmonroy\Tema\PLANILLAS\2024\BoletasPDF-CCNN\Boleta_T0001454.pdf", "Link")</f>
        <v/>
      </c>
      <c r="C1809" t="n">
        <v>162418</v>
      </c>
      <c r="D1809" t="inlineStr">
        <is>
          <t>2024-02-03 06:56:11</t>
        </is>
      </c>
      <c r="E1809" t="inlineStr">
        <is>
          <t>2024-02-03 06:56:11</t>
        </is>
      </c>
      <c r="F1809" t="inlineStr">
        <is>
          <t>666</t>
        </is>
      </c>
    </row>
    <row r="1810">
      <c r="A1810" t="inlineStr">
        <is>
          <t>Boleta_T0001455.pdf</t>
        </is>
      </c>
      <c r="B1810">
        <f>HYPERLINK("C:\Users\lmonroy\Tema\PLANILLAS\2024\BoletasPDF-CCNN\Boleta_T0001455.pdf", "Link")</f>
        <v/>
      </c>
      <c r="C1810" t="n">
        <v>162423</v>
      </c>
      <c r="D1810" t="inlineStr">
        <is>
          <t>2024-02-03 06:56:18</t>
        </is>
      </c>
      <c r="E1810" t="inlineStr">
        <is>
          <t>2024-02-03 06:56:18</t>
        </is>
      </c>
      <c r="F1810" t="inlineStr">
        <is>
          <t>666</t>
        </is>
      </c>
    </row>
    <row r="1811">
      <c r="A1811" t="inlineStr">
        <is>
          <t>Boleta_T0001456.pdf</t>
        </is>
      </c>
      <c r="B1811">
        <f>HYPERLINK("C:\Users\lmonroy\Tema\PLANILLAS\2024\BoletasPDF-CCNN\Boleta_T0001456.pdf", "Link")</f>
        <v/>
      </c>
      <c r="C1811" t="n">
        <v>162441</v>
      </c>
      <c r="D1811" t="inlineStr">
        <is>
          <t>2024-02-03 06:56:19</t>
        </is>
      </c>
      <c r="E1811" t="inlineStr">
        <is>
          <t>2024-02-03 06:56:19</t>
        </is>
      </c>
      <c r="F1811" t="inlineStr">
        <is>
          <t>666</t>
        </is>
      </c>
    </row>
    <row r="1812">
      <c r="A1812" t="inlineStr">
        <is>
          <t>Boleta_T0001457.pdf</t>
        </is>
      </c>
      <c r="B1812">
        <f>HYPERLINK("C:\Users\lmonroy\Tema\PLANILLAS\2024\BoletasPDF-CCNN\Boleta_T0001457.pdf", "Link")</f>
        <v/>
      </c>
      <c r="C1812" t="n">
        <v>162431</v>
      </c>
      <c r="D1812" t="inlineStr">
        <is>
          <t>2024-02-03 06:56:21</t>
        </is>
      </c>
      <c r="E1812" t="inlineStr">
        <is>
          <t>2024-02-03 06:56:21</t>
        </is>
      </c>
      <c r="F1812" t="inlineStr">
        <is>
          <t>666</t>
        </is>
      </c>
    </row>
    <row r="1813">
      <c r="A1813" t="inlineStr">
        <is>
          <t>Boleta_T0001458.pdf</t>
        </is>
      </c>
      <c r="B1813">
        <f>HYPERLINK("C:\Users\lmonroy\Tema\PLANILLAS\2024\BoletasPDF-CCNN\Boleta_T0001458.pdf", "Link")</f>
        <v/>
      </c>
      <c r="C1813" t="n">
        <v>162433</v>
      </c>
      <c r="D1813" t="inlineStr">
        <is>
          <t>2024-02-03 06:56:24</t>
        </is>
      </c>
      <c r="E1813" t="inlineStr">
        <is>
          <t>2024-02-03 06:56:24</t>
        </is>
      </c>
      <c r="F1813" t="inlineStr">
        <is>
          <t>666</t>
        </is>
      </c>
    </row>
    <row r="1814">
      <c r="A1814" t="inlineStr">
        <is>
          <t>Boleta_T0001459.pdf</t>
        </is>
      </c>
      <c r="B1814">
        <f>HYPERLINK("C:\Users\lmonroy\Tema\PLANILLAS\2024\BoletasPDF-CCNN\Boleta_T0001459.pdf", "Link")</f>
        <v/>
      </c>
      <c r="C1814" t="n">
        <v>162417</v>
      </c>
      <c r="D1814" t="inlineStr">
        <is>
          <t>2024-02-03 06:56:24</t>
        </is>
      </c>
      <c r="E1814" t="inlineStr">
        <is>
          <t>2024-02-03 06:56:24</t>
        </is>
      </c>
      <c r="F1814" t="inlineStr">
        <is>
          <t>666</t>
        </is>
      </c>
    </row>
    <row r="1815">
      <c r="A1815" t="inlineStr">
        <is>
          <t>Boleta_T0001460.pdf</t>
        </is>
      </c>
      <c r="B1815">
        <f>HYPERLINK("C:\Users\lmonroy\Tema\PLANILLAS\2024\BoletasPDF-CCNN\Boleta_T0001460.pdf", "Link")</f>
        <v/>
      </c>
      <c r="C1815" t="n">
        <v>162538</v>
      </c>
      <c r="D1815" t="inlineStr">
        <is>
          <t>2024-02-03 06:56:26</t>
        </is>
      </c>
      <c r="E1815" t="inlineStr">
        <is>
          <t>2024-02-03 06:56:26</t>
        </is>
      </c>
      <c r="F1815" t="inlineStr">
        <is>
          <t>666</t>
        </is>
      </c>
    </row>
    <row r="1816">
      <c r="A1816" t="inlineStr">
        <is>
          <t>Boleta_T0001461.pdf</t>
        </is>
      </c>
      <c r="B1816">
        <f>HYPERLINK("C:\Users\lmonroy\Tema\PLANILLAS\2024\BoletasPDF-CCNN\Boleta_T0001461.pdf", "Link")</f>
        <v/>
      </c>
      <c r="C1816" t="n">
        <v>162534</v>
      </c>
      <c r="D1816" t="inlineStr">
        <is>
          <t>2024-02-03 06:56:41</t>
        </is>
      </c>
      <c r="E1816" t="inlineStr">
        <is>
          <t>2024-02-03 06:56:41</t>
        </is>
      </c>
      <c r="F1816" t="inlineStr">
        <is>
          <t>666</t>
        </is>
      </c>
    </row>
    <row r="1817">
      <c r="A1817" t="inlineStr">
        <is>
          <t>Boleta_T0001462.pdf</t>
        </is>
      </c>
      <c r="B1817">
        <f>HYPERLINK("C:\Users\lmonroy\Tema\PLANILLAS\2024\BoletasPDF-CCNN\Boleta_T0001462.pdf", "Link")</f>
        <v/>
      </c>
      <c r="C1817" t="n">
        <v>162451</v>
      </c>
      <c r="D1817" t="inlineStr">
        <is>
          <t>2024-02-03 06:57:00</t>
        </is>
      </c>
      <c r="E1817" t="inlineStr">
        <is>
          <t>2024-02-03 06:57:00</t>
        </is>
      </c>
      <c r="F1817" t="inlineStr">
        <is>
          <t>666</t>
        </is>
      </c>
    </row>
    <row r="1818">
      <c r="A1818" t="inlineStr">
        <is>
          <t>Boleta_T0001463.pdf</t>
        </is>
      </c>
      <c r="B1818">
        <f>HYPERLINK("C:\Users\lmonroy\Tema\PLANILLAS\2024\BoletasPDF-CCNN\Boleta_T0001463.pdf", "Link")</f>
        <v/>
      </c>
      <c r="C1818" t="n">
        <v>162430</v>
      </c>
      <c r="D1818" t="inlineStr">
        <is>
          <t>2024-02-03 06:57:07</t>
        </is>
      </c>
      <c r="E1818" t="inlineStr">
        <is>
          <t>2024-02-03 06:57:07</t>
        </is>
      </c>
      <c r="F1818" t="inlineStr">
        <is>
          <t>666</t>
        </is>
      </c>
    </row>
    <row r="1819">
      <c r="A1819" t="inlineStr">
        <is>
          <t>Boleta_T0001464.pdf</t>
        </is>
      </c>
      <c r="B1819">
        <f>HYPERLINK("C:\Users\lmonroy\Tema\PLANILLAS\2024\BoletasPDF-CCNN\Boleta_T0001464.pdf", "Link")</f>
        <v/>
      </c>
      <c r="C1819" t="n">
        <v>162431</v>
      </c>
      <c r="D1819" t="inlineStr">
        <is>
          <t>2024-02-03 06:57:33</t>
        </is>
      </c>
      <c r="E1819" t="inlineStr">
        <is>
          <t>2024-02-03 06:57:33</t>
        </is>
      </c>
      <c r="F1819" t="inlineStr">
        <is>
          <t>666</t>
        </is>
      </c>
    </row>
    <row r="1820">
      <c r="A1820" t="inlineStr">
        <is>
          <t>Boleta_T0001465.pdf</t>
        </is>
      </c>
      <c r="B1820">
        <f>HYPERLINK("C:\Users\lmonroy\Tema\PLANILLAS\2024\BoletasPDF-CCNN\Boleta_T0001465.pdf", "Link")</f>
        <v/>
      </c>
      <c r="C1820" t="n">
        <v>162543</v>
      </c>
      <c r="D1820" t="inlineStr">
        <is>
          <t>2024-02-03 06:57:34</t>
        </is>
      </c>
      <c r="E1820" t="inlineStr">
        <is>
          <t>2024-02-03 06:57:34</t>
        </is>
      </c>
      <c r="F1820" t="inlineStr">
        <is>
          <t>666</t>
        </is>
      </c>
    </row>
    <row r="1821">
      <c r="A1821" t="inlineStr">
        <is>
          <t>Boleta_T0001466.pdf</t>
        </is>
      </c>
      <c r="B1821">
        <f>HYPERLINK("C:\Users\lmonroy\Tema\PLANILLAS\2024\BoletasPDF-CCNN\Boleta_T0001466.pdf", "Link")</f>
        <v/>
      </c>
      <c r="C1821" t="n">
        <v>162450</v>
      </c>
      <c r="D1821" t="inlineStr">
        <is>
          <t>2024-02-03 06:57:41</t>
        </is>
      </c>
      <c r="E1821" t="inlineStr">
        <is>
          <t>2024-02-03 06:57:41</t>
        </is>
      </c>
      <c r="F1821" t="inlineStr">
        <is>
          <t>666</t>
        </is>
      </c>
    </row>
    <row r="1822">
      <c r="A1822" t="inlineStr">
        <is>
          <t>Boleta_T0001467.pdf</t>
        </is>
      </c>
      <c r="B1822">
        <f>HYPERLINK("C:\Users\lmonroy\Tema\PLANILLAS\2024\BoletasPDF-CCNN\Boleta_T0001467.pdf", "Link")</f>
        <v/>
      </c>
      <c r="C1822" t="n">
        <v>162441</v>
      </c>
      <c r="D1822" t="inlineStr">
        <is>
          <t>2024-02-03 06:57:43</t>
        </is>
      </c>
      <c r="E1822" t="inlineStr">
        <is>
          <t>2024-02-03 06:57:43</t>
        </is>
      </c>
      <c r="F1822" t="inlineStr">
        <is>
          <t>666</t>
        </is>
      </c>
    </row>
    <row r="1823">
      <c r="A1823" t="inlineStr">
        <is>
          <t>Boleta_T0001468.pdf</t>
        </is>
      </c>
      <c r="B1823">
        <f>HYPERLINK("C:\Users\lmonroy\Tema\PLANILLAS\2024\BoletasPDF-CCNN\Boleta_T0001468.pdf", "Link")</f>
        <v/>
      </c>
      <c r="C1823" t="n">
        <v>162421</v>
      </c>
      <c r="D1823" t="inlineStr">
        <is>
          <t>2024-02-03 06:57:59</t>
        </is>
      </c>
      <c r="E1823" t="inlineStr">
        <is>
          <t>2024-02-03 06:57:59</t>
        </is>
      </c>
      <c r="F1823" t="inlineStr">
        <is>
          <t>666</t>
        </is>
      </c>
    </row>
    <row r="1824">
      <c r="A1824" t="inlineStr">
        <is>
          <t>Boleta_T0001469.pdf</t>
        </is>
      </c>
      <c r="B1824">
        <f>HYPERLINK("C:\Users\lmonroy\Tema\PLANILLAS\2024\BoletasPDF-CCNN\Boleta_T0001469.pdf", "Link")</f>
        <v/>
      </c>
      <c r="C1824" t="n">
        <v>162422</v>
      </c>
      <c r="D1824" t="inlineStr">
        <is>
          <t>2024-02-03 06:58:01</t>
        </is>
      </c>
      <c r="E1824" t="inlineStr">
        <is>
          <t>2024-02-03 06:58:01</t>
        </is>
      </c>
      <c r="F1824" t="inlineStr">
        <is>
          <t>666</t>
        </is>
      </c>
    </row>
    <row r="1825">
      <c r="A1825" t="inlineStr">
        <is>
          <t>Boleta_T0001470.pdf</t>
        </is>
      </c>
      <c r="B1825">
        <f>HYPERLINK("C:\Users\lmonroy\Tema\PLANILLAS\2024\BoletasPDF-CCNN\Boleta_T0001470.pdf", "Link")</f>
        <v/>
      </c>
      <c r="C1825" t="n">
        <v>162433</v>
      </c>
      <c r="D1825" t="inlineStr">
        <is>
          <t>2024-02-03 06:58:17</t>
        </is>
      </c>
      <c r="E1825" t="inlineStr">
        <is>
          <t>2024-02-03 06:58:17</t>
        </is>
      </c>
      <c r="F1825" t="inlineStr">
        <is>
          <t>666</t>
        </is>
      </c>
    </row>
    <row r="1826">
      <c r="A1826" t="inlineStr">
        <is>
          <t>Boleta_T0001471.pdf</t>
        </is>
      </c>
      <c r="B1826">
        <f>HYPERLINK("C:\Users\lmonroy\Tema\PLANILLAS\2024\BoletasPDF-CCNN\Boleta_T0001471.pdf", "Link")</f>
        <v/>
      </c>
      <c r="C1826" t="n">
        <v>162534</v>
      </c>
      <c r="D1826" t="inlineStr">
        <is>
          <t>2024-02-03 06:58:18</t>
        </is>
      </c>
      <c r="E1826" t="inlineStr">
        <is>
          <t>2024-02-03 06:58:18</t>
        </is>
      </c>
      <c r="F1826" t="inlineStr">
        <is>
          <t>666</t>
        </is>
      </c>
    </row>
    <row r="1827">
      <c r="A1827" t="inlineStr">
        <is>
          <t>Boleta_T0001472.pdf</t>
        </is>
      </c>
      <c r="B1827">
        <f>HYPERLINK("C:\Users\lmonroy\Tema\PLANILLAS\2024\BoletasPDF-CCNN\Boleta_T0001472.pdf", "Link")</f>
        <v/>
      </c>
      <c r="C1827" t="n">
        <v>162521</v>
      </c>
      <c r="D1827" t="inlineStr">
        <is>
          <t>2024-02-03 06:54:56</t>
        </is>
      </c>
      <c r="E1827" t="inlineStr">
        <is>
          <t>2024-02-03 06:54:56</t>
        </is>
      </c>
      <c r="F1827" t="inlineStr">
        <is>
          <t>666</t>
        </is>
      </c>
    </row>
    <row r="1828">
      <c r="A1828" t="inlineStr">
        <is>
          <t>Boleta_T0001474.pdf</t>
        </is>
      </c>
      <c r="B1828">
        <f>HYPERLINK("C:\Users\lmonroy\Tema\PLANILLAS\2024\BoletasPDF-CCNN\Boleta_T0001474.pdf", "Link")</f>
        <v/>
      </c>
      <c r="C1828" t="n">
        <v>162548</v>
      </c>
      <c r="D1828" t="inlineStr">
        <is>
          <t>2024-02-03 06:57:20</t>
        </is>
      </c>
      <c r="E1828" t="inlineStr">
        <is>
          <t>2024-02-03 06:57:20</t>
        </is>
      </c>
      <c r="F1828" t="inlineStr">
        <is>
          <t>666</t>
        </is>
      </c>
    </row>
    <row r="1829">
      <c r="A1829" t="inlineStr">
        <is>
          <t>Boleta_T0001477.pdf</t>
        </is>
      </c>
      <c r="B1829">
        <f>HYPERLINK("C:\Users\lmonroy\Tema\PLANILLAS\2024\BoletasPDF-CCNN\Boleta_T0001477.pdf", "Link")</f>
        <v/>
      </c>
      <c r="C1829" t="n">
        <v>162558</v>
      </c>
      <c r="D1829" t="inlineStr">
        <is>
          <t>2024-02-03 06:55:51</t>
        </is>
      </c>
      <c r="E1829" t="inlineStr">
        <is>
          <t>2024-02-03 06:55:51</t>
        </is>
      </c>
      <c r="F1829" t="inlineStr">
        <is>
          <t>666</t>
        </is>
      </c>
    </row>
    <row r="1830">
      <c r="A1830" t="inlineStr">
        <is>
          <t>Boleta_T0001478.pdf</t>
        </is>
      </c>
      <c r="B1830">
        <f>HYPERLINK("C:\Users\lmonroy\Tema\PLANILLAS\2024\BoletasPDF-CCNN\Boleta_T0001478.pdf", "Link")</f>
        <v/>
      </c>
      <c r="C1830" t="n">
        <v>162532</v>
      </c>
      <c r="D1830" t="inlineStr">
        <is>
          <t>2024-02-03 06:56:34</t>
        </is>
      </c>
      <c r="E1830" t="inlineStr">
        <is>
          <t>2024-02-03 06:56:34</t>
        </is>
      </c>
      <c r="F1830" t="inlineStr">
        <is>
          <t>666</t>
        </is>
      </c>
    </row>
    <row r="1831">
      <c r="A1831" t="inlineStr">
        <is>
          <t>Boleta_T0001479.pdf</t>
        </is>
      </c>
      <c r="B1831">
        <f>HYPERLINK("C:\Users\lmonroy\Tema\PLANILLAS\2024\BoletasPDF-CCNN\Boleta_T0001479.pdf", "Link")</f>
        <v/>
      </c>
      <c r="C1831" t="n">
        <v>162445</v>
      </c>
      <c r="D1831" t="inlineStr">
        <is>
          <t>2024-02-03 06:55:07</t>
        </is>
      </c>
      <c r="E1831" t="inlineStr">
        <is>
          <t>2024-02-03 06:55:07</t>
        </is>
      </c>
      <c r="F1831" t="inlineStr">
        <is>
          <t>666</t>
        </is>
      </c>
    </row>
    <row r="1832">
      <c r="A1832" t="inlineStr">
        <is>
          <t>Boleta_T0001480.pdf</t>
        </is>
      </c>
      <c r="B1832">
        <f>HYPERLINK("C:\Users\lmonroy\Tema\PLANILLAS\2024\BoletasPDF-CCNN\Boleta_T0001480.pdf", "Link")</f>
        <v/>
      </c>
      <c r="C1832" t="n">
        <v>162431</v>
      </c>
      <c r="D1832" t="inlineStr">
        <is>
          <t>2024-02-03 06:58:26</t>
        </is>
      </c>
      <c r="E1832" t="inlineStr">
        <is>
          <t>2024-02-03 06:58:26</t>
        </is>
      </c>
      <c r="F1832" t="inlineStr">
        <is>
          <t>666</t>
        </is>
      </c>
    </row>
    <row r="1833">
      <c r="A1833" t="inlineStr">
        <is>
          <t>Boleta_T0001481.pdf</t>
        </is>
      </c>
      <c r="B1833">
        <f>HYPERLINK("C:\Users\lmonroy\Tema\PLANILLAS\2024\BoletasPDF-CCNN\Boleta_T0001481.pdf", "Link")</f>
        <v/>
      </c>
      <c r="C1833" t="n">
        <v>162520</v>
      </c>
      <c r="D1833" t="inlineStr">
        <is>
          <t>2024-02-03 06:54:20</t>
        </is>
      </c>
      <c r="E1833" t="inlineStr">
        <is>
          <t>2024-02-03 06:54:20</t>
        </is>
      </c>
      <c r="F1833" t="inlineStr">
        <is>
          <t>666</t>
        </is>
      </c>
    </row>
    <row r="1834">
      <c r="A1834" t="inlineStr">
        <is>
          <t>Boleta_T0001482.pdf</t>
        </is>
      </c>
      <c r="B1834">
        <f>HYPERLINK("C:\Users\lmonroy\Tema\PLANILLAS\2024\BoletasPDF-CCNN\Boleta_T0001482.pdf", "Link")</f>
        <v/>
      </c>
      <c r="C1834" t="n">
        <v>162438</v>
      </c>
      <c r="D1834" t="inlineStr">
        <is>
          <t>2024-02-03 06:56:51</t>
        </is>
      </c>
      <c r="E1834" t="inlineStr">
        <is>
          <t>2024-02-03 06:56:51</t>
        </is>
      </c>
      <c r="F1834" t="inlineStr">
        <is>
          <t>666</t>
        </is>
      </c>
    </row>
    <row r="1835">
      <c r="A1835" t="inlineStr">
        <is>
          <t>Boleta_T0001483.pdf</t>
        </is>
      </c>
      <c r="B1835">
        <f>HYPERLINK("C:\Users\lmonroy\Tema\PLANILLAS\2024\BoletasPDF-CCNN\Boleta_T0001483.pdf", "Link")</f>
        <v/>
      </c>
      <c r="C1835" t="n">
        <v>162438</v>
      </c>
      <c r="D1835" t="inlineStr">
        <is>
          <t>2024-02-03 06:57:49</t>
        </is>
      </c>
      <c r="E1835" t="inlineStr">
        <is>
          <t>2024-02-03 06:57:49</t>
        </is>
      </c>
      <c r="F1835" t="inlineStr">
        <is>
          <t>666</t>
        </is>
      </c>
    </row>
    <row r="1836">
      <c r="A1836" t="inlineStr">
        <is>
          <t>Boleta_T0001484.pdf</t>
        </is>
      </c>
      <c r="B1836">
        <f>HYPERLINK("C:\Users\lmonroy\Tema\PLANILLAS\2024\BoletasPDF-CCNN\Boleta_T0001484.pdf", "Link")</f>
        <v/>
      </c>
      <c r="C1836" t="n">
        <v>162440</v>
      </c>
      <c r="D1836" t="inlineStr">
        <is>
          <t>2024-02-03 06:54:57</t>
        </is>
      </c>
      <c r="E1836" t="inlineStr">
        <is>
          <t>2024-02-03 06:54:57</t>
        </is>
      </c>
      <c r="F1836" t="inlineStr">
        <is>
          <t>666</t>
        </is>
      </c>
    </row>
    <row r="1837">
      <c r="A1837" t="inlineStr">
        <is>
          <t>Boleta_T0001485.pdf</t>
        </is>
      </c>
      <c r="B1837">
        <f>HYPERLINK("C:\Users\lmonroy\Tema\PLANILLAS\2024\BoletasPDF-CCNN\Boleta_T0001485.pdf", "Link")</f>
        <v/>
      </c>
      <c r="C1837" t="n">
        <v>162520</v>
      </c>
      <c r="D1837" t="inlineStr">
        <is>
          <t>2024-02-03 06:54:18</t>
        </is>
      </c>
      <c r="E1837" t="inlineStr">
        <is>
          <t>2024-02-03 06:54:18</t>
        </is>
      </c>
      <c r="F1837" t="inlineStr">
        <is>
          <t>666</t>
        </is>
      </c>
    </row>
    <row r="1838">
      <c r="A1838" t="inlineStr">
        <is>
          <t>Boleta_T0001486.pdf</t>
        </is>
      </c>
      <c r="B1838">
        <f>HYPERLINK("C:\Users\lmonroy\Tema\PLANILLAS\2024\BoletasPDF-CCNN\Boleta_T0001486.pdf", "Link")</f>
        <v/>
      </c>
      <c r="C1838" t="n">
        <v>162438</v>
      </c>
      <c r="D1838" t="inlineStr">
        <is>
          <t>2024-02-03 06:55:31</t>
        </is>
      </c>
      <c r="E1838" t="inlineStr">
        <is>
          <t>2024-02-03 06:55:31</t>
        </is>
      </c>
      <c r="F1838" t="inlineStr">
        <is>
          <t>666</t>
        </is>
      </c>
    </row>
    <row r="1839">
      <c r="A1839" t="inlineStr">
        <is>
          <t>Boleta_T0001487.pdf</t>
        </is>
      </c>
      <c r="B1839">
        <f>HYPERLINK("C:\Users\lmonroy\Tema\PLANILLAS\2024\BoletasPDF-CCNN\Boleta_T0001487.pdf", "Link")</f>
        <v/>
      </c>
      <c r="C1839" t="n">
        <v>162528</v>
      </c>
      <c r="D1839" t="inlineStr">
        <is>
          <t>2024-02-03 06:57:00</t>
        </is>
      </c>
      <c r="E1839" t="inlineStr">
        <is>
          <t>2024-02-03 06:57:00</t>
        </is>
      </c>
      <c r="F1839" t="inlineStr">
        <is>
          <t>666</t>
        </is>
      </c>
    </row>
    <row r="1840">
      <c r="A1840" t="inlineStr">
        <is>
          <t>Boleta_T0001488.pdf</t>
        </is>
      </c>
      <c r="B1840">
        <f>HYPERLINK("C:\Users\lmonroy\Tema\PLANILLAS\2024\BoletasPDF-CCNN\Boleta_T0001488.pdf", "Link")</f>
        <v/>
      </c>
      <c r="C1840" t="n">
        <v>162550</v>
      </c>
      <c r="D1840" t="inlineStr">
        <is>
          <t>2024-02-03 06:57:26</t>
        </is>
      </c>
      <c r="E1840" t="inlineStr">
        <is>
          <t>2024-02-03 06:57:26</t>
        </is>
      </c>
      <c r="F1840" t="inlineStr">
        <is>
          <t>666</t>
        </is>
      </c>
    </row>
    <row r="1841">
      <c r="A1841" t="inlineStr">
        <is>
          <t>Boleta_T0001489.pdf</t>
        </is>
      </c>
      <c r="B1841">
        <f>HYPERLINK("C:\Users\lmonroy\Tema\PLANILLAS\2024\BoletasPDF-CCNN\Boleta_T0001489.pdf", "Link")</f>
        <v/>
      </c>
      <c r="C1841" t="n">
        <v>162440</v>
      </c>
      <c r="D1841" t="inlineStr">
        <is>
          <t>2024-02-03 06:54:24</t>
        </is>
      </c>
      <c r="E1841" t="inlineStr">
        <is>
          <t>2024-02-03 06:54:24</t>
        </is>
      </c>
      <c r="F1841" t="inlineStr">
        <is>
          <t>666</t>
        </is>
      </c>
    </row>
    <row r="1842">
      <c r="A1842" t="inlineStr">
        <is>
          <t>Boleta_T0001490.pdf</t>
        </is>
      </c>
      <c r="B1842">
        <f>HYPERLINK("C:\Users\lmonroy\Tema\PLANILLAS\2024\BoletasPDF-CCNN\Boleta_T0001490.pdf", "Link")</f>
        <v/>
      </c>
      <c r="C1842" t="n">
        <v>162571</v>
      </c>
      <c r="D1842" t="inlineStr">
        <is>
          <t>2024-02-03 06:57:26</t>
        </is>
      </c>
      <c r="E1842" t="inlineStr">
        <is>
          <t>2024-02-03 06:57:26</t>
        </is>
      </c>
      <c r="F1842" t="inlineStr">
        <is>
          <t>666</t>
        </is>
      </c>
    </row>
    <row r="1843">
      <c r="A1843" t="inlineStr">
        <is>
          <t>Boleta_T0001491.pdf</t>
        </is>
      </c>
      <c r="B1843">
        <f>HYPERLINK("C:\Users\lmonroy\Tema\PLANILLAS\2024\BoletasPDF-CCNN\Boleta_T0001491.pdf", "Link")</f>
        <v/>
      </c>
      <c r="C1843" t="n">
        <v>162626</v>
      </c>
      <c r="D1843" t="inlineStr">
        <is>
          <t>2024-02-03 06:57:51</t>
        </is>
      </c>
      <c r="E1843" t="inlineStr">
        <is>
          <t>2024-02-03 06:57:51</t>
        </is>
      </c>
      <c r="F1843" t="inlineStr">
        <is>
          <t>666</t>
        </is>
      </c>
    </row>
    <row r="1844">
      <c r="A1844" t="inlineStr">
        <is>
          <t>Boleta_T0001492.pdf</t>
        </is>
      </c>
      <c r="B1844">
        <f>HYPERLINK("C:\Users\lmonroy\Tema\PLANILLAS\2024\BoletasPDF-CCNN\Boleta_T0001492.pdf", "Link")</f>
        <v/>
      </c>
      <c r="C1844" t="n">
        <v>162430</v>
      </c>
      <c r="D1844" t="inlineStr">
        <is>
          <t>2024-02-03 06:54:11</t>
        </is>
      </c>
      <c r="E1844" t="inlineStr">
        <is>
          <t>2024-02-03 06:54:11</t>
        </is>
      </c>
      <c r="F1844" t="inlineStr">
        <is>
          <t>666</t>
        </is>
      </c>
    </row>
    <row r="1845">
      <c r="A1845" t="inlineStr">
        <is>
          <t>Boleta_T0001493.pdf</t>
        </is>
      </c>
      <c r="B1845">
        <f>HYPERLINK("C:\Users\lmonroy\Tema\PLANILLAS\2024\BoletasPDF-CCNN\Boleta_T0001493.pdf", "Link")</f>
        <v/>
      </c>
      <c r="C1845" t="n">
        <v>162525</v>
      </c>
      <c r="D1845" t="inlineStr">
        <is>
          <t>2024-02-03 06:54:13</t>
        </is>
      </c>
      <c r="E1845" t="inlineStr">
        <is>
          <t>2024-02-03 06:54:13</t>
        </is>
      </c>
      <c r="F1845" t="inlineStr">
        <is>
          <t>666</t>
        </is>
      </c>
    </row>
    <row r="1846">
      <c r="A1846" t="inlineStr">
        <is>
          <t>Boleta_T0001494.pdf</t>
        </is>
      </c>
      <c r="B1846">
        <f>HYPERLINK("C:\Users\lmonroy\Tema\PLANILLAS\2024\BoletasPDF-CCNN\Boleta_T0001494.pdf", "Link")</f>
        <v/>
      </c>
      <c r="C1846" t="n">
        <v>162425</v>
      </c>
      <c r="D1846" t="inlineStr">
        <is>
          <t>2024-02-03 06:54:18</t>
        </is>
      </c>
      <c r="E1846" t="inlineStr">
        <is>
          <t>2024-02-03 06:54:18</t>
        </is>
      </c>
      <c r="F1846" t="inlineStr">
        <is>
          <t>666</t>
        </is>
      </c>
    </row>
    <row r="1847">
      <c r="A1847" t="inlineStr">
        <is>
          <t>Boleta_T0001495.pdf</t>
        </is>
      </c>
      <c r="B1847">
        <f>HYPERLINK("C:\Users\lmonroy\Tema\PLANILLAS\2024\BoletasPDF-CCNN\Boleta_T0001495.pdf", "Link")</f>
        <v/>
      </c>
      <c r="C1847" t="n">
        <v>162431</v>
      </c>
      <c r="D1847" t="inlineStr">
        <is>
          <t>2024-02-03 06:54:19</t>
        </is>
      </c>
      <c r="E1847" t="inlineStr">
        <is>
          <t>2024-02-03 06:54:19</t>
        </is>
      </c>
      <c r="F1847" t="inlineStr">
        <is>
          <t>666</t>
        </is>
      </c>
    </row>
    <row r="1848">
      <c r="A1848" t="inlineStr">
        <is>
          <t>Boleta_T0001496.pdf</t>
        </is>
      </c>
      <c r="B1848">
        <f>HYPERLINK("C:\Users\lmonroy\Tema\PLANILLAS\2024\BoletasPDF-CCNN\Boleta_T0001496.pdf", "Link")</f>
        <v/>
      </c>
      <c r="C1848" t="n">
        <v>162442</v>
      </c>
      <c r="D1848" t="inlineStr">
        <is>
          <t>2024-02-03 06:54:40</t>
        </is>
      </c>
      <c r="E1848" t="inlineStr">
        <is>
          <t>2024-02-03 06:54:40</t>
        </is>
      </c>
      <c r="F1848" t="inlineStr">
        <is>
          <t>666</t>
        </is>
      </c>
    </row>
    <row r="1849">
      <c r="A1849" t="inlineStr">
        <is>
          <t>Boleta_T0001497.pdf</t>
        </is>
      </c>
      <c r="B1849">
        <f>HYPERLINK("C:\Users\lmonroy\Tema\PLANILLAS\2024\BoletasPDF-CCNN\Boleta_T0001497.pdf", "Link")</f>
        <v/>
      </c>
      <c r="C1849" t="n">
        <v>162426</v>
      </c>
      <c r="D1849" t="inlineStr">
        <is>
          <t>2024-02-03 06:54:50</t>
        </is>
      </c>
      <c r="E1849" t="inlineStr">
        <is>
          <t>2024-02-03 06:54:50</t>
        </is>
      </c>
      <c r="F1849" t="inlineStr">
        <is>
          <t>666</t>
        </is>
      </c>
    </row>
    <row r="1850">
      <c r="A1850" t="inlineStr">
        <is>
          <t>Boleta_T0001498.pdf</t>
        </is>
      </c>
      <c r="B1850">
        <f>HYPERLINK("C:\Users\lmonroy\Tema\PLANILLAS\2024\BoletasPDF-CCNN\Boleta_T0001498.pdf", "Link")</f>
        <v/>
      </c>
      <c r="C1850" t="n">
        <v>162421</v>
      </c>
      <c r="D1850" t="inlineStr">
        <is>
          <t>2024-02-03 06:54:51</t>
        </is>
      </c>
      <c r="E1850" t="inlineStr">
        <is>
          <t>2024-02-03 06:54:51</t>
        </is>
      </c>
      <c r="F1850" t="inlineStr">
        <is>
          <t>666</t>
        </is>
      </c>
    </row>
    <row r="1851">
      <c r="A1851" t="inlineStr">
        <is>
          <t>Boleta_T0001499.pdf</t>
        </is>
      </c>
      <c r="B1851">
        <f>HYPERLINK("C:\Users\lmonroy\Tema\PLANILLAS\2024\BoletasPDF-CCNN\Boleta_T0001499.pdf", "Link")</f>
        <v/>
      </c>
      <c r="C1851" t="n">
        <v>162427</v>
      </c>
      <c r="D1851" t="inlineStr">
        <is>
          <t>2024-02-03 06:55:14</t>
        </is>
      </c>
      <c r="E1851" t="inlineStr">
        <is>
          <t>2024-02-03 06:55:14</t>
        </is>
      </c>
      <c r="F1851" t="inlineStr">
        <is>
          <t>666</t>
        </is>
      </c>
    </row>
    <row r="1852">
      <c r="A1852" t="inlineStr">
        <is>
          <t>Boleta_T0001500.pdf</t>
        </is>
      </c>
      <c r="B1852">
        <f>HYPERLINK("C:\Users\lmonroy\Tema\PLANILLAS\2024\BoletasPDF-CCNN\Boleta_T0001500.pdf", "Link")</f>
        <v/>
      </c>
      <c r="C1852" t="n">
        <v>162446</v>
      </c>
      <c r="D1852" t="inlineStr">
        <is>
          <t>2024-02-03 06:55:14</t>
        </is>
      </c>
      <c r="E1852" t="inlineStr">
        <is>
          <t>2024-02-03 06:55:14</t>
        </is>
      </c>
      <c r="F1852" t="inlineStr">
        <is>
          <t>666</t>
        </is>
      </c>
    </row>
    <row r="1853">
      <c r="A1853" t="inlineStr">
        <is>
          <t>Boleta_T0001501.pdf</t>
        </is>
      </c>
      <c r="B1853">
        <f>HYPERLINK("C:\Users\lmonroy\Tema\PLANILLAS\2024\BoletasPDF-CCNN\Boleta_T0001501.pdf", "Link")</f>
        <v/>
      </c>
      <c r="C1853" t="n">
        <v>162528</v>
      </c>
      <c r="D1853" t="inlineStr">
        <is>
          <t>2024-02-03 06:55:15</t>
        </is>
      </c>
      <c r="E1853" t="inlineStr">
        <is>
          <t>2024-02-03 06:55:15</t>
        </is>
      </c>
      <c r="F1853" t="inlineStr">
        <is>
          <t>666</t>
        </is>
      </c>
    </row>
    <row r="1854">
      <c r="A1854" t="inlineStr">
        <is>
          <t>Boleta_T0001502.pdf</t>
        </is>
      </c>
      <c r="B1854">
        <f>HYPERLINK("C:\Users\lmonroy\Tema\PLANILLAS\2024\BoletasPDF-CCNN\Boleta_T0001502.pdf", "Link")</f>
        <v/>
      </c>
      <c r="C1854" t="n">
        <v>162543</v>
      </c>
      <c r="D1854" t="inlineStr">
        <is>
          <t>2024-02-03 06:55:16</t>
        </is>
      </c>
      <c r="E1854" t="inlineStr">
        <is>
          <t>2024-02-03 06:55:16</t>
        </is>
      </c>
      <c r="F1854" t="inlineStr">
        <is>
          <t>666</t>
        </is>
      </c>
    </row>
    <row r="1855">
      <c r="A1855" t="inlineStr">
        <is>
          <t>Boleta_T0001503.pdf</t>
        </is>
      </c>
      <c r="B1855">
        <f>HYPERLINK("C:\Users\lmonroy\Tema\PLANILLAS\2024\BoletasPDF-CCNN\Boleta_T0001503.pdf", "Link")</f>
        <v/>
      </c>
      <c r="C1855" t="n">
        <v>162444</v>
      </c>
      <c r="D1855" t="inlineStr">
        <is>
          <t>2024-02-03 06:55:16</t>
        </is>
      </c>
      <c r="E1855" t="inlineStr">
        <is>
          <t>2024-02-03 06:55:16</t>
        </is>
      </c>
      <c r="F1855" t="inlineStr">
        <is>
          <t>666</t>
        </is>
      </c>
    </row>
    <row r="1856">
      <c r="A1856" t="inlineStr">
        <is>
          <t>Boleta_T0001504.pdf</t>
        </is>
      </c>
      <c r="B1856">
        <f>HYPERLINK("C:\Users\lmonroy\Tema\PLANILLAS\2024\BoletasPDF-CCNN\Boleta_T0001504.pdf", "Link")</f>
        <v/>
      </c>
      <c r="C1856" t="n">
        <v>162441</v>
      </c>
      <c r="D1856" t="inlineStr">
        <is>
          <t>2024-02-03 06:55:19</t>
        </is>
      </c>
      <c r="E1856" t="inlineStr">
        <is>
          <t>2024-02-03 06:55:19</t>
        </is>
      </c>
      <c r="F1856" t="inlineStr">
        <is>
          <t>666</t>
        </is>
      </c>
    </row>
    <row r="1857">
      <c r="A1857" t="inlineStr">
        <is>
          <t>Boleta_T0001505.pdf</t>
        </is>
      </c>
      <c r="B1857">
        <f>HYPERLINK("C:\Users\lmonroy\Tema\PLANILLAS\2024\BoletasPDF-CCNN\Boleta_T0001505.pdf", "Link")</f>
        <v/>
      </c>
      <c r="C1857" t="n">
        <v>162442</v>
      </c>
      <c r="D1857" t="inlineStr">
        <is>
          <t>2024-02-03 06:55:24</t>
        </is>
      </c>
      <c r="E1857" t="inlineStr">
        <is>
          <t>2024-02-03 06:55:24</t>
        </is>
      </c>
      <c r="F1857" t="inlineStr">
        <is>
          <t>666</t>
        </is>
      </c>
    </row>
    <row r="1858">
      <c r="A1858" t="inlineStr">
        <is>
          <t>Boleta_T0001506.pdf</t>
        </is>
      </c>
      <c r="B1858">
        <f>HYPERLINK("C:\Users\lmonroy\Tema\PLANILLAS\2024\BoletasPDF-CCNN\Boleta_T0001506.pdf", "Link")</f>
        <v/>
      </c>
      <c r="C1858" t="n">
        <v>162421</v>
      </c>
      <c r="D1858" t="inlineStr">
        <is>
          <t>2024-02-03 06:55:53</t>
        </is>
      </c>
      <c r="E1858" t="inlineStr">
        <is>
          <t>2024-02-03 06:55:53</t>
        </is>
      </c>
      <c r="F1858" t="inlineStr">
        <is>
          <t>666</t>
        </is>
      </c>
    </row>
    <row r="1859">
      <c r="A1859" t="inlineStr">
        <is>
          <t>Boleta_T0001507.pdf</t>
        </is>
      </c>
      <c r="B1859">
        <f>HYPERLINK("C:\Users\lmonroy\Tema\PLANILLAS\2024\BoletasPDF-CCNN\Boleta_T0001507.pdf", "Link")</f>
        <v/>
      </c>
      <c r="C1859" t="n">
        <v>162431</v>
      </c>
      <c r="D1859" t="inlineStr">
        <is>
          <t>2024-02-03 06:56:02</t>
        </is>
      </c>
      <c r="E1859" t="inlineStr">
        <is>
          <t>2024-02-03 06:56:02</t>
        </is>
      </c>
      <c r="F1859" t="inlineStr">
        <is>
          <t>666</t>
        </is>
      </c>
    </row>
    <row r="1860">
      <c r="A1860" t="inlineStr">
        <is>
          <t>Boleta_T0001508.pdf</t>
        </is>
      </c>
      <c r="B1860">
        <f>HYPERLINK("C:\Users\lmonroy\Tema\PLANILLAS\2024\BoletasPDF-CCNN\Boleta_T0001508.pdf", "Link")</f>
        <v/>
      </c>
      <c r="C1860" t="n">
        <v>162437</v>
      </c>
      <c r="D1860" t="inlineStr">
        <is>
          <t>2024-02-03 06:56:04</t>
        </is>
      </c>
      <c r="E1860" t="inlineStr">
        <is>
          <t>2024-02-03 06:56:04</t>
        </is>
      </c>
      <c r="F1860" t="inlineStr">
        <is>
          <t>666</t>
        </is>
      </c>
    </row>
    <row r="1861">
      <c r="A1861" t="inlineStr">
        <is>
          <t>Boleta_T0001509.pdf</t>
        </is>
      </c>
      <c r="B1861">
        <f>HYPERLINK("C:\Users\lmonroy\Tema\PLANILLAS\2024\BoletasPDF-CCNN\Boleta_T0001509.pdf", "Link")</f>
        <v/>
      </c>
      <c r="C1861" t="n">
        <v>162523</v>
      </c>
      <c r="D1861" t="inlineStr">
        <is>
          <t>2024-02-03 06:56:09</t>
        </is>
      </c>
      <c r="E1861" t="inlineStr">
        <is>
          <t>2024-02-03 06:56:09</t>
        </is>
      </c>
      <c r="F1861" t="inlineStr">
        <is>
          <t>666</t>
        </is>
      </c>
    </row>
    <row r="1862">
      <c r="A1862" t="inlineStr">
        <is>
          <t>Boleta_T0001510.pdf</t>
        </is>
      </c>
      <c r="B1862">
        <f>HYPERLINK("C:\Users\lmonroy\Tema\PLANILLAS\2024\BoletasPDF-CCNN\Boleta_T0001510.pdf", "Link")</f>
        <v/>
      </c>
      <c r="C1862" t="n">
        <v>162541</v>
      </c>
      <c r="D1862" t="inlineStr">
        <is>
          <t>2024-02-03 06:56:32</t>
        </is>
      </c>
      <c r="E1862" t="inlineStr">
        <is>
          <t>2024-02-03 06:56:32</t>
        </is>
      </c>
      <c r="F1862" t="inlineStr">
        <is>
          <t>666</t>
        </is>
      </c>
    </row>
    <row r="1863">
      <c r="A1863" t="inlineStr">
        <is>
          <t>Boleta_T0001511.pdf</t>
        </is>
      </c>
      <c r="B1863">
        <f>HYPERLINK("C:\Users\lmonroy\Tema\PLANILLAS\2024\BoletasPDF-CCNN\Boleta_T0001511.pdf", "Link")</f>
        <v/>
      </c>
      <c r="C1863" t="n">
        <v>162595</v>
      </c>
      <c r="D1863" t="inlineStr">
        <is>
          <t>2024-02-03 06:56:33</t>
        </is>
      </c>
      <c r="E1863" t="inlineStr">
        <is>
          <t>2024-02-03 06:56:33</t>
        </is>
      </c>
      <c r="F1863" t="inlineStr">
        <is>
          <t>666</t>
        </is>
      </c>
    </row>
    <row r="1864">
      <c r="A1864" t="inlineStr">
        <is>
          <t>Boleta_T0001512.pdf</t>
        </is>
      </c>
      <c r="B1864">
        <f>HYPERLINK("C:\Users\lmonroy\Tema\PLANILLAS\2024\BoletasPDF-CCNN\Boleta_T0001512.pdf", "Link")</f>
        <v/>
      </c>
      <c r="C1864" t="n">
        <v>162588</v>
      </c>
      <c r="D1864" t="inlineStr">
        <is>
          <t>2024-02-03 06:56:34</t>
        </is>
      </c>
      <c r="E1864" t="inlineStr">
        <is>
          <t>2024-02-03 06:56:34</t>
        </is>
      </c>
      <c r="F1864" t="inlineStr">
        <is>
          <t>666</t>
        </is>
      </c>
    </row>
    <row r="1865">
      <c r="A1865" t="inlineStr">
        <is>
          <t>Boleta_T0001513.pdf</t>
        </is>
      </c>
      <c r="B1865">
        <f>HYPERLINK("C:\Users\lmonroy\Tema\PLANILLAS\2024\BoletasPDF-CCNN\Boleta_T0001513.pdf", "Link")</f>
        <v/>
      </c>
      <c r="C1865" t="n">
        <v>162529</v>
      </c>
      <c r="D1865" t="inlineStr">
        <is>
          <t>2024-02-03 06:56:37</t>
        </is>
      </c>
      <c r="E1865" t="inlineStr">
        <is>
          <t>2024-02-03 06:56:37</t>
        </is>
      </c>
      <c r="F1865" t="inlineStr">
        <is>
          <t>666</t>
        </is>
      </c>
    </row>
    <row r="1866">
      <c r="A1866" t="inlineStr">
        <is>
          <t>Boleta_T0001514.pdf</t>
        </is>
      </c>
      <c r="B1866">
        <f>HYPERLINK("C:\Users\lmonroy\Tema\PLANILLAS\2024\BoletasPDF-CCNN\Boleta_T0001514.pdf", "Link")</f>
        <v/>
      </c>
      <c r="C1866" t="n">
        <v>162441</v>
      </c>
      <c r="D1866" t="inlineStr">
        <is>
          <t>2024-02-03 06:56:41</t>
        </is>
      </c>
      <c r="E1866" t="inlineStr">
        <is>
          <t>2024-02-03 06:56:41</t>
        </is>
      </c>
      <c r="F1866" t="inlineStr">
        <is>
          <t>666</t>
        </is>
      </c>
    </row>
    <row r="1867">
      <c r="A1867" t="inlineStr">
        <is>
          <t>Boleta_T0001515.pdf</t>
        </is>
      </c>
      <c r="B1867">
        <f>HYPERLINK("C:\Users\lmonroy\Tema\PLANILLAS\2024\BoletasPDF-CCNN\Boleta_T0001515.pdf", "Link")</f>
        <v/>
      </c>
      <c r="C1867" t="n">
        <v>162526</v>
      </c>
      <c r="D1867" t="inlineStr">
        <is>
          <t>2024-02-03 06:56:42</t>
        </is>
      </c>
      <c r="E1867" t="inlineStr">
        <is>
          <t>2024-02-03 06:56:42</t>
        </is>
      </c>
      <c r="F1867" t="inlineStr">
        <is>
          <t>666</t>
        </is>
      </c>
    </row>
    <row r="1868">
      <c r="A1868" t="inlineStr">
        <is>
          <t>Boleta_T0001516.pdf</t>
        </is>
      </c>
      <c r="B1868">
        <f>HYPERLINK("C:\Users\lmonroy\Tema\PLANILLAS\2024\BoletasPDF-CCNN\Boleta_T0001516.pdf", "Link")</f>
        <v/>
      </c>
      <c r="C1868" t="n">
        <v>162428</v>
      </c>
      <c r="D1868" t="inlineStr">
        <is>
          <t>2024-02-03 06:57:03</t>
        </is>
      </c>
      <c r="E1868" t="inlineStr">
        <is>
          <t>2024-02-03 06:57:03</t>
        </is>
      </c>
      <c r="F1868" t="inlineStr">
        <is>
          <t>666</t>
        </is>
      </c>
    </row>
    <row r="1869">
      <c r="A1869" t="inlineStr">
        <is>
          <t>Boleta_T0001517.pdf</t>
        </is>
      </c>
      <c r="B1869">
        <f>HYPERLINK("C:\Users\lmonroy\Tema\PLANILLAS\2024\BoletasPDF-CCNN\Boleta_T0001517.pdf", "Link")</f>
        <v/>
      </c>
      <c r="C1869" t="n">
        <v>162426</v>
      </c>
      <c r="D1869" t="inlineStr">
        <is>
          <t>2024-02-03 06:57:09</t>
        </is>
      </c>
      <c r="E1869" t="inlineStr">
        <is>
          <t>2024-02-03 06:57:09</t>
        </is>
      </c>
      <c r="F1869" t="inlineStr">
        <is>
          <t>666</t>
        </is>
      </c>
    </row>
    <row r="1870">
      <c r="A1870" t="inlineStr">
        <is>
          <t>Boleta_T0001518.pdf</t>
        </is>
      </c>
      <c r="B1870">
        <f>HYPERLINK("C:\Users\lmonroy\Tema\PLANILLAS\2024\BoletasPDF-CCNN\Boleta_T0001518.pdf", "Link")</f>
        <v/>
      </c>
      <c r="C1870" t="n">
        <v>162421</v>
      </c>
      <c r="D1870" t="inlineStr">
        <is>
          <t>2024-02-03 06:57:09</t>
        </is>
      </c>
      <c r="E1870" t="inlineStr">
        <is>
          <t>2024-02-03 06:57:09</t>
        </is>
      </c>
      <c r="F1870" t="inlineStr">
        <is>
          <t>666</t>
        </is>
      </c>
    </row>
    <row r="1871">
      <c r="A1871" t="inlineStr">
        <is>
          <t>Boleta_T0001519.pdf</t>
        </is>
      </c>
      <c r="B1871">
        <f>HYPERLINK("C:\Users\lmonroy\Tema\PLANILLAS\2024\BoletasPDF-CCNN\Boleta_T0001519.pdf", "Link")</f>
        <v/>
      </c>
      <c r="C1871" t="n">
        <v>162427</v>
      </c>
      <c r="D1871" t="inlineStr">
        <is>
          <t>2024-02-03 06:57:58</t>
        </is>
      </c>
      <c r="E1871" t="inlineStr">
        <is>
          <t>2024-02-03 06:57:58</t>
        </is>
      </c>
      <c r="F1871" t="inlineStr">
        <is>
          <t>666</t>
        </is>
      </c>
    </row>
    <row r="1872">
      <c r="A1872" t="inlineStr">
        <is>
          <t>Boleta_T0001525.pdf</t>
        </is>
      </c>
      <c r="B1872">
        <f>HYPERLINK("C:\Users\lmonroy\Tema\PLANILLAS\2024\BoletasPDF-CCNN\Boleta_T0001525.pdf", "Link")</f>
        <v/>
      </c>
      <c r="C1872" t="n">
        <v>162426</v>
      </c>
      <c r="D1872" t="inlineStr">
        <is>
          <t>2024-02-03 06:58:05</t>
        </is>
      </c>
      <c r="E1872" t="inlineStr">
        <is>
          <t>2024-02-03 06:58:05</t>
        </is>
      </c>
      <c r="F1872" t="inlineStr">
        <is>
          <t>666</t>
        </is>
      </c>
    </row>
    <row r="1873">
      <c r="A1873" t="inlineStr">
        <is>
          <t>Boleta_T0001526.pdf</t>
        </is>
      </c>
      <c r="B1873">
        <f>HYPERLINK("C:\Users\lmonroy\Tema\PLANILLAS\2024\BoletasPDF-CCNN\Boleta_T0001526.pdf", "Link")</f>
        <v/>
      </c>
      <c r="C1873" t="n">
        <v>162538</v>
      </c>
      <c r="D1873" t="inlineStr">
        <is>
          <t>2024-02-03 06:56:37</t>
        </is>
      </c>
      <c r="E1873" t="inlineStr">
        <is>
          <t>2024-02-03 06:56:37</t>
        </is>
      </c>
      <c r="F1873" t="inlineStr">
        <is>
          <t>666</t>
        </is>
      </c>
    </row>
    <row r="1874">
      <c r="A1874" t="inlineStr">
        <is>
          <t>Boleta_T0001528.pdf</t>
        </is>
      </c>
      <c r="B1874">
        <f>HYPERLINK("C:\Users\lmonroy\Tema\PLANILLAS\2024\BoletasPDF-CCNN\Boleta_T0001528.pdf", "Link")</f>
        <v/>
      </c>
      <c r="C1874" t="n">
        <v>162414</v>
      </c>
      <c r="D1874" t="inlineStr">
        <is>
          <t>2024-02-03 06:56:15</t>
        </is>
      </c>
      <c r="E1874" t="inlineStr">
        <is>
          <t>2024-02-03 06:56:15</t>
        </is>
      </c>
      <c r="F1874" t="inlineStr">
        <is>
          <t>666</t>
        </is>
      </c>
    </row>
    <row r="1875">
      <c r="A1875" t="inlineStr">
        <is>
          <t>Boleta_T0001551.pdf</t>
        </is>
      </c>
      <c r="B1875">
        <f>HYPERLINK("C:\Users\lmonroy\Tema\PLANILLAS\2024\BoletasPDF-CCNN\Boleta_T0001551.pdf", "Link")</f>
        <v/>
      </c>
      <c r="C1875" t="n">
        <v>162438</v>
      </c>
      <c r="D1875" t="inlineStr">
        <is>
          <t>2024-02-03 06:54:22</t>
        </is>
      </c>
      <c r="E1875" t="inlineStr">
        <is>
          <t>2024-02-03 06:54:22</t>
        </is>
      </c>
      <c r="F1875" t="inlineStr">
        <is>
          <t>666</t>
        </is>
      </c>
    </row>
    <row r="1876">
      <c r="A1876" t="inlineStr">
        <is>
          <t>Boleta_T0001552.pdf</t>
        </is>
      </c>
      <c r="B1876">
        <f>HYPERLINK("C:\Users\lmonroy\Tema\PLANILLAS\2024\BoletasPDF-CCNN\Boleta_T0001552.pdf", "Link")</f>
        <v/>
      </c>
      <c r="C1876" t="n">
        <v>162435</v>
      </c>
      <c r="D1876" t="inlineStr">
        <is>
          <t>2024-02-03 06:54:22</t>
        </is>
      </c>
      <c r="E1876" t="inlineStr">
        <is>
          <t>2024-02-03 06:54:22</t>
        </is>
      </c>
      <c r="F1876" t="inlineStr">
        <is>
          <t>666</t>
        </is>
      </c>
    </row>
    <row r="1877">
      <c r="A1877" t="inlineStr">
        <is>
          <t>Boleta_T0001553.pdf</t>
        </is>
      </c>
      <c r="B1877">
        <f>HYPERLINK("C:\Users\lmonroy\Tema\PLANILLAS\2024\BoletasPDF-CCNN\Boleta_T0001553.pdf", "Link")</f>
        <v/>
      </c>
      <c r="C1877" t="n">
        <v>162432</v>
      </c>
      <c r="D1877" t="inlineStr">
        <is>
          <t>2024-02-03 06:54:23</t>
        </is>
      </c>
      <c r="E1877" t="inlineStr">
        <is>
          <t>2024-02-03 06:54:23</t>
        </is>
      </c>
      <c r="F1877" t="inlineStr">
        <is>
          <t>666</t>
        </is>
      </c>
    </row>
    <row r="1878">
      <c r="A1878" t="inlineStr">
        <is>
          <t>Boleta_T0001554.pdf</t>
        </is>
      </c>
      <c r="B1878">
        <f>HYPERLINK("C:\Users\lmonroy\Tema\PLANILLAS\2024\BoletasPDF-CCNN\Boleta_T0001554.pdf", "Link")</f>
        <v/>
      </c>
      <c r="C1878" t="n">
        <v>162441</v>
      </c>
      <c r="D1878" t="inlineStr">
        <is>
          <t>2024-02-03 06:54:24</t>
        </is>
      </c>
      <c r="E1878" t="inlineStr">
        <is>
          <t>2024-02-03 06:54:24</t>
        </is>
      </c>
      <c r="F1878" t="inlineStr">
        <is>
          <t>666</t>
        </is>
      </c>
    </row>
    <row r="1879">
      <c r="A1879" t="inlineStr">
        <is>
          <t>Boleta_T0001555.pdf</t>
        </is>
      </c>
      <c r="B1879">
        <f>HYPERLINK("C:\Users\lmonroy\Tema\PLANILLAS\2024\BoletasPDF-CCNN\Boleta_T0001555.pdf", "Link")</f>
        <v/>
      </c>
      <c r="C1879" t="n">
        <v>162440</v>
      </c>
      <c r="D1879" t="inlineStr">
        <is>
          <t>2024-02-03 06:54:40</t>
        </is>
      </c>
      <c r="E1879" t="inlineStr">
        <is>
          <t>2024-02-03 06:54:40</t>
        </is>
      </c>
      <c r="F1879" t="inlineStr">
        <is>
          <t>666</t>
        </is>
      </c>
    </row>
    <row r="1880">
      <c r="A1880" t="inlineStr">
        <is>
          <t>Boleta_T0001556.pdf</t>
        </is>
      </c>
      <c r="B1880">
        <f>HYPERLINK("C:\Users\lmonroy\Tema\PLANILLAS\2024\BoletasPDF-CCNN\Boleta_T0001556.pdf", "Link")</f>
        <v/>
      </c>
      <c r="C1880" t="n">
        <v>162531</v>
      </c>
      <c r="D1880" t="inlineStr">
        <is>
          <t>2024-02-03 06:54:44</t>
        </is>
      </c>
      <c r="E1880" t="inlineStr">
        <is>
          <t>2024-02-03 06:54:44</t>
        </is>
      </c>
      <c r="F1880" t="inlineStr">
        <is>
          <t>666</t>
        </is>
      </c>
    </row>
    <row r="1881">
      <c r="A1881" t="inlineStr">
        <is>
          <t>Boleta_T0001557.pdf</t>
        </is>
      </c>
      <c r="B1881">
        <f>HYPERLINK("C:\Users\lmonroy\Tema\PLANILLAS\2024\BoletasPDF-CCNN\Boleta_T0001557.pdf", "Link")</f>
        <v/>
      </c>
      <c r="C1881" t="n">
        <v>162420</v>
      </c>
      <c r="D1881" t="inlineStr">
        <is>
          <t>2024-02-03 06:54:49</t>
        </is>
      </c>
      <c r="E1881" t="inlineStr">
        <is>
          <t>2024-02-03 06:54:49</t>
        </is>
      </c>
      <c r="F1881" t="inlineStr">
        <is>
          <t>666</t>
        </is>
      </c>
    </row>
    <row r="1882">
      <c r="A1882" t="inlineStr">
        <is>
          <t>Boleta_T0001558.pdf</t>
        </is>
      </c>
      <c r="B1882">
        <f>HYPERLINK("C:\Users\lmonroy\Tema\PLANILLAS\2024\BoletasPDF-CCNN\Boleta_T0001558.pdf", "Link")</f>
        <v/>
      </c>
      <c r="C1882" t="n">
        <v>162605</v>
      </c>
      <c r="D1882" t="inlineStr">
        <is>
          <t>2024-02-03 06:54:55</t>
        </is>
      </c>
      <c r="E1882" t="inlineStr">
        <is>
          <t>2024-02-03 06:54:55</t>
        </is>
      </c>
      <c r="F1882" t="inlineStr">
        <is>
          <t>666</t>
        </is>
      </c>
    </row>
    <row r="1883">
      <c r="A1883" t="inlineStr">
        <is>
          <t>Boleta_T0001559.pdf</t>
        </is>
      </c>
      <c r="B1883">
        <f>HYPERLINK("C:\Users\lmonroy\Tema\PLANILLAS\2024\BoletasPDF-CCNN\Boleta_T0001559.pdf", "Link")</f>
        <v/>
      </c>
      <c r="C1883" t="n">
        <v>162437</v>
      </c>
      <c r="D1883" t="inlineStr">
        <is>
          <t>2024-02-03 06:54:57</t>
        </is>
      </c>
      <c r="E1883" t="inlineStr">
        <is>
          <t>2024-02-03 06:54:57</t>
        </is>
      </c>
      <c r="F1883" t="inlineStr">
        <is>
          <t>666</t>
        </is>
      </c>
    </row>
    <row r="1884">
      <c r="A1884" t="inlineStr">
        <is>
          <t>Boleta_T0001560.pdf</t>
        </is>
      </c>
      <c r="B1884">
        <f>HYPERLINK("C:\Users\lmonroy\Tema\PLANILLAS\2024\BoletasPDF-CCNN\Boleta_T0001560.pdf", "Link")</f>
        <v/>
      </c>
      <c r="C1884" t="n">
        <v>162428</v>
      </c>
      <c r="D1884" t="inlineStr">
        <is>
          <t>2024-02-03 06:55:02</t>
        </is>
      </c>
      <c r="E1884" t="inlineStr">
        <is>
          <t>2024-02-03 06:55:02</t>
        </is>
      </c>
      <c r="F1884" t="inlineStr">
        <is>
          <t>666</t>
        </is>
      </c>
    </row>
    <row r="1885">
      <c r="A1885" t="inlineStr">
        <is>
          <t>Boleta_T0001561.pdf</t>
        </is>
      </c>
      <c r="B1885">
        <f>HYPERLINK("C:\Users\lmonroy\Tema\PLANILLAS\2024\BoletasPDF-CCNN\Boleta_T0001561.pdf", "Link")</f>
        <v/>
      </c>
      <c r="C1885" t="n">
        <v>162431</v>
      </c>
      <c r="D1885" t="inlineStr">
        <is>
          <t>2024-02-03 06:55:45</t>
        </is>
      </c>
      <c r="E1885" t="inlineStr">
        <is>
          <t>2024-02-03 06:55:45</t>
        </is>
      </c>
      <c r="F1885" t="inlineStr">
        <is>
          <t>666</t>
        </is>
      </c>
    </row>
    <row r="1886">
      <c r="A1886" t="inlineStr">
        <is>
          <t>Boleta_T0001562.pdf</t>
        </is>
      </c>
      <c r="B1886">
        <f>HYPERLINK("C:\Users\lmonroy\Tema\PLANILLAS\2024\BoletasPDF-CCNN\Boleta_T0001562.pdf", "Link")</f>
        <v/>
      </c>
      <c r="C1886" t="n">
        <v>162438</v>
      </c>
      <c r="D1886" t="inlineStr">
        <is>
          <t>2024-02-03 06:55:09</t>
        </is>
      </c>
      <c r="E1886" t="inlineStr">
        <is>
          <t>2024-02-03 06:55:09</t>
        </is>
      </c>
      <c r="F1886" t="inlineStr">
        <is>
          <t>666</t>
        </is>
      </c>
    </row>
    <row r="1887">
      <c r="A1887" t="inlineStr">
        <is>
          <t>Boleta_T0001563.pdf</t>
        </is>
      </c>
      <c r="B1887">
        <f>HYPERLINK("C:\Users\lmonroy\Tema\PLANILLAS\2024\BoletasPDF-CCNN\Boleta_T0001563.pdf", "Link")</f>
        <v/>
      </c>
      <c r="C1887" t="n">
        <v>162432</v>
      </c>
      <c r="D1887" t="inlineStr">
        <is>
          <t>2024-02-03 06:55:13</t>
        </is>
      </c>
      <c r="E1887" t="inlineStr">
        <is>
          <t>2024-02-03 06:55:13</t>
        </is>
      </c>
      <c r="F1887" t="inlineStr">
        <is>
          <t>666</t>
        </is>
      </c>
    </row>
    <row r="1888">
      <c r="A1888" t="inlineStr">
        <is>
          <t>Boleta_T0001564.pdf</t>
        </is>
      </c>
      <c r="B1888">
        <f>HYPERLINK("C:\Users\lmonroy\Tema\PLANILLAS\2024\BoletasPDF-CCNN\Boleta_T0001564.pdf", "Link")</f>
        <v/>
      </c>
      <c r="C1888" t="n">
        <v>162546</v>
      </c>
      <c r="D1888" t="inlineStr">
        <is>
          <t>2024-02-03 06:56:22</t>
        </is>
      </c>
      <c r="E1888" t="inlineStr">
        <is>
          <t>2024-02-03 06:56:22</t>
        </is>
      </c>
      <c r="F1888" t="inlineStr">
        <is>
          <t>666</t>
        </is>
      </c>
    </row>
    <row r="1889">
      <c r="A1889" t="inlineStr">
        <is>
          <t>Boleta_T0001565.pdf</t>
        </is>
      </c>
      <c r="B1889">
        <f>HYPERLINK("C:\Users\lmonroy\Tema\PLANILLAS\2024\BoletasPDF-CCNN\Boleta_T0001565.pdf", "Link")</f>
        <v/>
      </c>
      <c r="C1889" t="n">
        <v>162438</v>
      </c>
      <c r="D1889" t="inlineStr">
        <is>
          <t>2024-02-03 06:56:32</t>
        </is>
      </c>
      <c r="E1889" t="inlineStr">
        <is>
          <t>2024-02-03 06:56:32</t>
        </is>
      </c>
      <c r="F1889" t="inlineStr">
        <is>
          <t>666</t>
        </is>
      </c>
    </row>
    <row r="1890">
      <c r="A1890" t="inlineStr">
        <is>
          <t>Boleta_T0001566.pdf</t>
        </is>
      </c>
      <c r="B1890">
        <f>HYPERLINK("C:\Users\lmonroy\Tema\PLANILLAS\2024\BoletasPDF-CCNN\Boleta_T0001566.pdf", "Link")</f>
        <v/>
      </c>
      <c r="C1890" t="n">
        <v>162421</v>
      </c>
      <c r="D1890" t="inlineStr">
        <is>
          <t>2024-02-03 06:56:51</t>
        </is>
      </c>
      <c r="E1890" t="inlineStr">
        <is>
          <t>2024-02-03 06:56:51</t>
        </is>
      </c>
      <c r="F1890" t="inlineStr">
        <is>
          <t>666</t>
        </is>
      </c>
    </row>
    <row r="1891">
      <c r="A1891" t="inlineStr">
        <is>
          <t>Boleta_T0001567.pdf</t>
        </is>
      </c>
      <c r="B1891">
        <f>HYPERLINK("C:\Users\lmonroy\Tema\PLANILLAS\2024\BoletasPDF-CCNN\Boleta_T0001567.pdf", "Link")</f>
        <v/>
      </c>
      <c r="C1891" t="n">
        <v>162531</v>
      </c>
      <c r="D1891" t="inlineStr">
        <is>
          <t>2024-02-03 06:57:23</t>
        </is>
      </c>
      <c r="E1891" t="inlineStr">
        <is>
          <t>2024-02-03 06:57:23</t>
        </is>
      </c>
      <c r="F1891" t="inlineStr">
        <is>
          <t>666</t>
        </is>
      </c>
    </row>
    <row r="1892">
      <c r="A1892" t="inlineStr">
        <is>
          <t>Boleta_T0001568.pdf</t>
        </is>
      </c>
      <c r="B1892">
        <f>HYPERLINK("C:\Users\lmonroy\Tema\PLANILLAS\2024\BoletasPDF-CCNN\Boleta_T0001568.pdf", "Link")</f>
        <v/>
      </c>
      <c r="C1892" t="n">
        <v>162431</v>
      </c>
      <c r="D1892" t="inlineStr">
        <is>
          <t>2024-02-03 06:57:37</t>
        </is>
      </c>
      <c r="E1892" t="inlineStr">
        <is>
          <t>2024-02-03 06:57:37</t>
        </is>
      </c>
      <c r="F1892" t="inlineStr">
        <is>
          <t>666</t>
        </is>
      </c>
    </row>
    <row r="1893">
      <c r="A1893" t="inlineStr">
        <is>
          <t>Boleta_T0001569.pdf</t>
        </is>
      </c>
      <c r="B1893">
        <f>HYPERLINK("C:\Users\lmonroy\Tema\PLANILLAS\2024\BoletasPDF-CCNN\Boleta_T0001569.pdf", "Link")</f>
        <v/>
      </c>
      <c r="C1893" t="n">
        <v>162529</v>
      </c>
      <c r="D1893" t="inlineStr">
        <is>
          <t>2024-02-03 06:57:51</t>
        </is>
      </c>
      <c r="E1893" t="inlineStr">
        <is>
          <t>2024-02-03 06:57:51</t>
        </is>
      </c>
      <c r="F1893" t="inlineStr">
        <is>
          <t>666</t>
        </is>
      </c>
    </row>
    <row r="1894">
      <c r="A1894" t="inlineStr">
        <is>
          <t>Boleta_T0001570.pdf</t>
        </is>
      </c>
      <c r="B1894">
        <f>HYPERLINK("C:\Users\lmonroy\Tema\PLANILLAS\2024\BoletasPDF-CCNN\Boleta_T0001570.pdf", "Link")</f>
        <v/>
      </c>
      <c r="C1894" t="n">
        <v>162434</v>
      </c>
      <c r="D1894" t="inlineStr">
        <is>
          <t>2024-02-03 06:57:52</t>
        </is>
      </c>
      <c r="E1894" t="inlineStr">
        <is>
          <t>2024-02-03 06:57:52</t>
        </is>
      </c>
      <c r="F1894" t="inlineStr">
        <is>
          <t>666</t>
        </is>
      </c>
    </row>
    <row r="1895">
      <c r="A1895" t="inlineStr">
        <is>
          <t>Boleta_T0001571.pdf</t>
        </is>
      </c>
      <c r="B1895">
        <f>HYPERLINK("C:\Users\lmonroy\Tema\PLANILLAS\2024\BoletasPDF-CCNN\Boleta_T0001571.pdf", "Link")</f>
        <v/>
      </c>
      <c r="C1895" t="n">
        <v>162536</v>
      </c>
      <c r="D1895" t="inlineStr">
        <is>
          <t>2024-02-03 06:58:27</t>
        </is>
      </c>
      <c r="E1895" t="inlineStr">
        <is>
          <t>2024-02-03 06:58:27</t>
        </is>
      </c>
      <c r="F1895" t="inlineStr">
        <is>
          <t>666</t>
        </is>
      </c>
    </row>
    <row r="1896">
      <c r="A1896" t="inlineStr">
        <is>
          <t>Boleta_T0001572.pdf</t>
        </is>
      </c>
      <c r="B1896">
        <f>HYPERLINK("C:\Users\lmonroy\Tema\PLANILLAS\2024\BoletasPDF-CCNN\Boleta_T0001572.pdf", "Link")</f>
        <v/>
      </c>
      <c r="C1896" t="n">
        <v>162521</v>
      </c>
      <c r="D1896" t="inlineStr">
        <is>
          <t>2024-02-03 06:58:27</t>
        </is>
      </c>
      <c r="E1896" t="inlineStr">
        <is>
          <t>2024-02-03 06:58:27</t>
        </is>
      </c>
      <c r="F1896" t="inlineStr">
        <is>
          <t>666</t>
        </is>
      </c>
    </row>
    <row r="1897">
      <c r="A1897" t="inlineStr">
        <is>
          <t>Boleta_T0001573.pdf</t>
        </is>
      </c>
      <c r="B1897">
        <f>HYPERLINK("C:\Users\lmonroy\Tema\PLANILLAS\2024\BoletasPDF-CCNN\Boleta_T0001573.pdf", "Link")</f>
        <v/>
      </c>
      <c r="C1897" t="n">
        <v>162476</v>
      </c>
      <c r="D1897" t="inlineStr">
        <is>
          <t>2024-02-03 06:58:28</t>
        </is>
      </c>
      <c r="E1897" t="inlineStr">
        <is>
          <t>2024-02-03 06:58:28</t>
        </is>
      </c>
      <c r="F1897" t="inlineStr">
        <is>
          <t>666</t>
        </is>
      </c>
    </row>
    <row r="1898">
      <c r="A1898" t="inlineStr">
        <is>
          <t>Boleta_T0001574.pdf</t>
        </is>
      </c>
      <c r="B1898">
        <f>HYPERLINK("C:\Users\lmonroy\Tema\PLANILLAS\2024\BoletasPDF-CCNN\Boleta_T0001574.pdf", "Link")</f>
        <v/>
      </c>
      <c r="C1898" t="n">
        <v>162482</v>
      </c>
      <c r="D1898" t="inlineStr">
        <is>
          <t>2024-02-03 06:58:29</t>
        </is>
      </c>
      <c r="E1898" t="inlineStr">
        <is>
          <t>2024-02-03 06:58:29</t>
        </is>
      </c>
      <c r="F1898" t="inlineStr">
        <is>
          <t>666</t>
        </is>
      </c>
    </row>
    <row r="1899">
      <c r="A1899" t="inlineStr">
        <is>
          <t>Boleta_T0001575.pdf</t>
        </is>
      </c>
      <c r="B1899">
        <f>HYPERLINK("C:\Users\lmonroy\Tema\PLANILLAS\2024\BoletasPDF-CCNN\Boleta_T0001575.pdf", "Link")</f>
        <v/>
      </c>
      <c r="C1899" t="n">
        <v>162526</v>
      </c>
      <c r="D1899" t="inlineStr">
        <is>
          <t>2024-02-03 06:58:29</t>
        </is>
      </c>
      <c r="E1899" t="inlineStr">
        <is>
          <t>2024-02-03 06:58:29</t>
        </is>
      </c>
      <c r="F1899" t="inlineStr">
        <is>
          <t>666</t>
        </is>
      </c>
    </row>
    <row r="1900">
      <c r="A1900" t="inlineStr">
        <is>
          <t>Boleta_T0001576.pdf</t>
        </is>
      </c>
      <c r="B1900">
        <f>HYPERLINK("C:\Users\lmonroy\Tema\PLANILLAS\2024\BoletasPDF-CCNN\Boleta_T0001576.pdf", "Link")</f>
        <v/>
      </c>
      <c r="C1900" t="n">
        <v>162533</v>
      </c>
      <c r="D1900" t="inlineStr">
        <is>
          <t>2024-02-03 06:58:30</t>
        </is>
      </c>
      <c r="E1900" t="inlineStr">
        <is>
          <t>2024-02-03 06:58:30</t>
        </is>
      </c>
      <c r="F1900" t="inlineStr">
        <is>
          <t>666</t>
        </is>
      </c>
    </row>
    <row r="1901">
      <c r="A1901" t="inlineStr">
        <is>
          <t>Boleta_T0001697.pdf</t>
        </is>
      </c>
      <c r="B1901">
        <f>HYPERLINK("C:\Users\lmonroy\Tema\PLANILLAS\2024\BoletasPDF-CCNN\Boleta_T0001697.pdf", "Link")</f>
        <v/>
      </c>
      <c r="C1901" t="n">
        <v>162471</v>
      </c>
      <c r="D1901" t="inlineStr">
        <is>
          <t>2024-02-03 06:58:30</t>
        </is>
      </c>
      <c r="E1901" t="inlineStr">
        <is>
          <t>2024-02-03 06:58:30</t>
        </is>
      </c>
      <c r="F1901" t="inlineStr">
        <is>
          <t>666</t>
        </is>
      </c>
    </row>
    <row r="1902">
      <c r="A1902" t="inlineStr">
        <is>
          <t>Boleta_T0001698.pdf</t>
        </is>
      </c>
      <c r="B1902">
        <f>HYPERLINK("C:\Users\lmonroy\Tema\PLANILLAS\2024\BoletasPDF-CCNN\Boleta_T0001698.pdf", "Link")</f>
        <v/>
      </c>
      <c r="C1902" t="n">
        <v>162521</v>
      </c>
      <c r="D1902" t="inlineStr">
        <is>
          <t>2024-02-03 06:58:31</t>
        </is>
      </c>
      <c r="E1902" t="inlineStr">
        <is>
          <t>2024-02-03 06:58:31</t>
        </is>
      </c>
      <c r="F1902" t="inlineStr">
        <is>
          <t>666</t>
        </is>
      </c>
    </row>
    <row r="1903">
      <c r="A1903" t="inlineStr">
        <is>
          <t>T0000114.pdf</t>
        </is>
      </c>
      <c r="B1903">
        <f>HYPERLINK("C:\Users\lmonroy\Tema\PLANILLAS\2024\BoletasPDF-STAFF\T0000114.pdf", "Link")</f>
        <v/>
      </c>
      <c r="C1903" t="n">
        <v>135592</v>
      </c>
      <c r="D1903" t="inlineStr">
        <is>
          <t>2024-02-01 08:51:28</t>
        </is>
      </c>
      <c r="E1903" t="inlineStr">
        <is>
          <t>2024-01-31 13:24:25</t>
        </is>
      </c>
      <c r="F1903" t="inlineStr">
        <is>
          <t>666</t>
        </is>
      </c>
    </row>
    <row r="1904">
      <c r="A1904" t="inlineStr">
        <is>
          <t>T0000373.pdf</t>
        </is>
      </c>
      <c r="B1904">
        <f>HYPERLINK("C:\Users\lmonroy\Tema\PLANILLAS\2024\BoletasPDF-STAFF\T0000373.pdf", "Link")</f>
        <v/>
      </c>
      <c r="C1904" t="n">
        <v>135584</v>
      </c>
      <c r="D1904" t="inlineStr">
        <is>
          <t>2024-02-01 08:51:07</t>
        </is>
      </c>
      <c r="E1904" t="inlineStr">
        <is>
          <t>2024-01-31 13:24:05</t>
        </is>
      </c>
      <c r="F1904" t="inlineStr">
        <is>
          <t>666</t>
        </is>
      </c>
    </row>
    <row r="1905">
      <c r="A1905" t="inlineStr">
        <is>
          <t>T0000977.pdf</t>
        </is>
      </c>
      <c r="B1905">
        <f>HYPERLINK("C:\Users\lmonroy\Tema\PLANILLAS\2024\BoletasPDF-STAFF\T0000977.pdf", "Link")</f>
        <v/>
      </c>
      <c r="C1905" t="n">
        <v>135580</v>
      </c>
      <c r="D1905" t="inlineStr">
        <is>
          <t>2024-02-01 08:51:22</t>
        </is>
      </c>
      <c r="E1905" t="inlineStr">
        <is>
          <t>2024-01-31 13:24:19</t>
        </is>
      </c>
      <c r="F1905" t="inlineStr">
        <is>
          <t>666</t>
        </is>
      </c>
    </row>
    <row r="1906">
      <c r="A1906" t="inlineStr">
        <is>
          <t>T0000990.pdf</t>
        </is>
      </c>
      <c r="B1906">
        <f>HYPERLINK("C:\Users\lmonroy\Tema\PLANILLAS\2024\BoletasPDF-STAFF\T0000990.pdf", "Link")</f>
        <v/>
      </c>
      <c r="C1906" t="n">
        <v>135582</v>
      </c>
      <c r="D1906" t="inlineStr">
        <is>
          <t>2024-02-01 08:51:38</t>
        </is>
      </c>
      <c r="E1906" t="inlineStr">
        <is>
          <t>2024-01-31 13:24:35</t>
        </is>
      </c>
      <c r="F1906" t="inlineStr">
        <is>
          <t>666</t>
        </is>
      </c>
    </row>
    <row r="1907">
      <c r="A1907" t="inlineStr">
        <is>
          <t>T0000991.pdf</t>
        </is>
      </c>
      <c r="B1907">
        <f>HYPERLINK("C:\Users\lmonroy\Tema\PLANILLAS\2024\BoletasPDF-STAFF\T0000991.pdf", "Link")</f>
        <v/>
      </c>
      <c r="C1907" t="n">
        <v>135459</v>
      </c>
      <c r="D1907" t="inlineStr">
        <is>
          <t>2024-02-01 08:51:04</t>
        </is>
      </c>
      <c r="E1907" t="inlineStr">
        <is>
          <t>2024-01-31 13:24:02</t>
        </is>
      </c>
      <c r="F1907" t="inlineStr">
        <is>
          <t>666</t>
        </is>
      </c>
    </row>
    <row r="1908">
      <c r="A1908" t="inlineStr">
        <is>
          <t>T0000992.pdf</t>
        </is>
      </c>
      <c r="B1908">
        <f>HYPERLINK("C:\Users\lmonroy\Tema\PLANILLAS\2024\BoletasPDF-STAFF\T0000992.pdf", "Link")</f>
        <v/>
      </c>
      <c r="C1908" t="n">
        <v>135581</v>
      </c>
      <c r="D1908" t="inlineStr">
        <is>
          <t>2024-02-01 08:51:31</t>
        </is>
      </c>
      <c r="E1908" t="inlineStr">
        <is>
          <t>2024-01-31 13:24:28</t>
        </is>
      </c>
      <c r="F1908" t="inlineStr">
        <is>
          <t>666</t>
        </is>
      </c>
    </row>
    <row r="1909">
      <c r="A1909" t="inlineStr">
        <is>
          <t>T0000993.pdf</t>
        </is>
      </c>
      <c r="B1909">
        <f>HYPERLINK("C:\Users\lmonroy\Tema\PLANILLAS\2024\BoletasPDF-STAFF\T0000993.pdf", "Link")</f>
        <v/>
      </c>
      <c r="C1909" t="n">
        <v>135584</v>
      </c>
      <c r="D1909" t="inlineStr">
        <is>
          <t>2024-02-01 08:51:05</t>
        </is>
      </c>
      <c r="E1909" t="inlineStr">
        <is>
          <t>2024-01-31 13:24:03</t>
        </is>
      </c>
      <c r="F1909" t="inlineStr">
        <is>
          <t>666</t>
        </is>
      </c>
    </row>
    <row r="1910">
      <c r="A1910" t="inlineStr">
        <is>
          <t>T0000994.pdf</t>
        </is>
      </c>
      <c r="B1910">
        <f>HYPERLINK("C:\Users\lmonroy\Tema\PLANILLAS\2024\BoletasPDF-STAFF\T0000994.pdf", "Link")</f>
        <v/>
      </c>
      <c r="C1910" t="n">
        <v>135549</v>
      </c>
      <c r="D1910" t="inlineStr">
        <is>
          <t>2024-02-01 08:51:36</t>
        </is>
      </c>
      <c r="E1910" t="inlineStr">
        <is>
          <t>2024-01-31 13:24:33</t>
        </is>
      </c>
      <c r="F1910" t="inlineStr">
        <is>
          <t>666</t>
        </is>
      </c>
    </row>
    <row r="1911">
      <c r="A1911" t="inlineStr">
        <is>
          <t>T0000995.pdf</t>
        </is>
      </c>
      <c r="B1911">
        <f>HYPERLINK("C:\Users\lmonroy\Tema\PLANILLAS\2024\BoletasPDF-STAFF\T0000995.pdf", "Link")</f>
        <v/>
      </c>
      <c r="C1911" t="n">
        <v>135512</v>
      </c>
      <c r="D1911" t="inlineStr">
        <is>
          <t>2024-02-01 08:51:31</t>
        </is>
      </c>
      <c r="E1911" t="inlineStr">
        <is>
          <t>2024-01-31 13:24:28</t>
        </is>
      </c>
      <c r="F1911" t="inlineStr">
        <is>
          <t>666</t>
        </is>
      </c>
    </row>
    <row r="1912">
      <c r="A1912" t="inlineStr">
        <is>
          <t>T0000996.pdf</t>
        </is>
      </c>
      <c r="B1912">
        <f>HYPERLINK("C:\Users\lmonroy\Tema\PLANILLAS\2024\BoletasPDF-STAFF\T0000996.pdf", "Link")</f>
        <v/>
      </c>
      <c r="C1912" t="n">
        <v>135588</v>
      </c>
      <c r="D1912" t="inlineStr">
        <is>
          <t>2024-02-01 08:51:08</t>
        </is>
      </c>
      <c r="E1912" t="inlineStr">
        <is>
          <t>2024-01-31 13:24:06</t>
        </is>
      </c>
      <c r="F1912" t="inlineStr">
        <is>
          <t>666</t>
        </is>
      </c>
    </row>
    <row r="1913">
      <c r="A1913" t="inlineStr">
        <is>
          <t>T0000997.pdf</t>
        </is>
      </c>
      <c r="B1913">
        <f>HYPERLINK("C:\Users\lmonroy\Tema\PLANILLAS\2024\BoletasPDF-STAFF\T0000997.pdf", "Link")</f>
        <v/>
      </c>
      <c r="C1913" t="n">
        <v>135585</v>
      </c>
      <c r="D1913" t="inlineStr">
        <is>
          <t>2024-02-01 08:51:08</t>
        </is>
      </c>
      <c r="E1913" t="inlineStr">
        <is>
          <t>2024-01-31 13:24:06</t>
        </is>
      </c>
      <c r="F1913" t="inlineStr">
        <is>
          <t>666</t>
        </is>
      </c>
    </row>
    <row r="1914">
      <c r="A1914" t="inlineStr">
        <is>
          <t>T0001001.pdf</t>
        </is>
      </c>
      <c r="B1914">
        <f>HYPERLINK("C:\Users\lmonroy\Tema\PLANILLAS\2024\BoletasPDF-STAFF\T0001001.pdf", "Link")</f>
        <v/>
      </c>
      <c r="C1914" t="n">
        <v>135508</v>
      </c>
      <c r="D1914" t="inlineStr">
        <is>
          <t>2024-02-01 08:51:37</t>
        </is>
      </c>
      <c r="E1914" t="inlineStr">
        <is>
          <t>2024-01-31 13:24:34</t>
        </is>
      </c>
      <c r="F1914" t="inlineStr">
        <is>
          <t>666</t>
        </is>
      </c>
    </row>
    <row r="1915">
      <c r="A1915" t="inlineStr">
        <is>
          <t>T0001002.pdf</t>
        </is>
      </c>
      <c r="B1915">
        <f>HYPERLINK("C:\Users\lmonroy\Tema\PLANILLAS\2024\BoletasPDF-STAFF\T0001002.pdf", "Link")</f>
        <v/>
      </c>
      <c r="C1915" t="n">
        <v>135541</v>
      </c>
      <c r="D1915" t="inlineStr">
        <is>
          <t>2024-02-01 08:51:12</t>
        </is>
      </c>
      <c r="E1915" t="inlineStr">
        <is>
          <t>2024-01-31 13:24:08</t>
        </is>
      </c>
      <c r="F1915" t="inlineStr">
        <is>
          <t>666</t>
        </is>
      </c>
    </row>
    <row r="1916">
      <c r="A1916" t="inlineStr">
        <is>
          <t>T0001008.pdf</t>
        </is>
      </c>
      <c r="B1916">
        <f>HYPERLINK("C:\Users\lmonroy\Tema\PLANILLAS\2024\BoletasPDF-STAFF\T0001008.pdf", "Link")</f>
        <v/>
      </c>
      <c r="C1916" t="n">
        <v>135593</v>
      </c>
      <c r="D1916" t="inlineStr">
        <is>
          <t>2024-02-01 08:51:30</t>
        </is>
      </c>
      <c r="E1916" t="inlineStr">
        <is>
          <t>2024-01-31 13:24:27</t>
        </is>
      </c>
      <c r="F1916" t="inlineStr">
        <is>
          <t>666</t>
        </is>
      </c>
    </row>
    <row r="1917">
      <c r="A1917" t="inlineStr">
        <is>
          <t>T0001077.pdf</t>
        </is>
      </c>
      <c r="B1917">
        <f>HYPERLINK("C:\Users\lmonroy\Tema\PLANILLAS\2024\BoletasPDF-STAFF\T0001077.pdf", "Link")</f>
        <v/>
      </c>
      <c r="C1917" t="n">
        <v>135566</v>
      </c>
      <c r="D1917" t="inlineStr">
        <is>
          <t>2024-02-01 08:51:18</t>
        </is>
      </c>
      <c r="E1917" t="inlineStr">
        <is>
          <t>2024-01-31 13:24:14</t>
        </is>
      </c>
      <c r="F1917" t="inlineStr">
        <is>
          <t>666</t>
        </is>
      </c>
    </row>
    <row r="1918">
      <c r="A1918" t="inlineStr">
        <is>
          <t>T0001141.pdf</t>
        </is>
      </c>
      <c r="B1918">
        <f>HYPERLINK("C:\Users\lmonroy\Tema\PLANILLAS\2024\BoletasPDF-STAFF\T0001141.pdf", "Link")</f>
        <v/>
      </c>
      <c r="C1918" t="n">
        <v>135565</v>
      </c>
      <c r="D1918" t="inlineStr">
        <is>
          <t>2024-02-01 08:51:21</t>
        </is>
      </c>
      <c r="E1918" t="inlineStr">
        <is>
          <t>2024-01-31 13:24:18</t>
        </is>
      </c>
      <c r="F1918" t="inlineStr">
        <is>
          <t>666</t>
        </is>
      </c>
    </row>
    <row r="1919">
      <c r="A1919" t="inlineStr">
        <is>
          <t>T0001302.pdf</t>
        </is>
      </c>
      <c r="B1919">
        <f>HYPERLINK("C:\Users\lmonroy\Tema\PLANILLAS\2024\BoletasPDF-STAFF\T0001302.pdf", "Link")</f>
        <v/>
      </c>
      <c r="C1919" t="n">
        <v>135571</v>
      </c>
      <c r="D1919" t="inlineStr">
        <is>
          <t>2024-02-01 08:51:32</t>
        </is>
      </c>
      <c r="E1919" t="inlineStr">
        <is>
          <t>2024-01-31 13:24:29</t>
        </is>
      </c>
      <c r="F1919" t="inlineStr">
        <is>
          <t>666</t>
        </is>
      </c>
    </row>
    <row r="1920">
      <c r="A1920" t="inlineStr">
        <is>
          <t>T0001393.pdf</t>
        </is>
      </c>
      <c r="B1920">
        <f>HYPERLINK("C:\Users\lmonroy\Tema\PLANILLAS\2024\BoletasPDF-STAFF\T0001393.pdf", "Link")</f>
        <v/>
      </c>
      <c r="C1920" t="n">
        <v>135577</v>
      </c>
      <c r="D1920" t="inlineStr">
        <is>
          <t>2024-02-01 08:51:06</t>
        </is>
      </c>
      <c r="E1920" t="inlineStr">
        <is>
          <t>2024-01-31 13:24:04</t>
        </is>
      </c>
      <c r="F1920" t="inlineStr">
        <is>
          <t>666</t>
        </is>
      </c>
    </row>
    <row r="1921">
      <c r="A1921" t="inlineStr">
        <is>
          <t>T0001394.pdf</t>
        </is>
      </c>
      <c r="B1921">
        <f>HYPERLINK("C:\Users\lmonroy\Tema\PLANILLAS\2024\BoletasPDF-STAFF\T0001394.pdf", "Link")</f>
        <v/>
      </c>
      <c r="C1921" t="n">
        <v>135428</v>
      </c>
      <c r="D1921" t="inlineStr">
        <is>
          <t>2024-02-01 08:51:11</t>
        </is>
      </c>
      <c r="E1921" t="inlineStr">
        <is>
          <t>2024-01-31 13:24:07</t>
        </is>
      </c>
      <c r="F1921" t="inlineStr">
        <is>
          <t>666</t>
        </is>
      </c>
    </row>
    <row r="1922">
      <c r="A1922" t="inlineStr">
        <is>
          <t>T0001395.pdf</t>
        </is>
      </c>
      <c r="B1922">
        <f>HYPERLINK("C:\Users\lmonroy\Tema\PLANILLAS\2024\BoletasPDF-STAFF\T0001395.pdf", "Link")</f>
        <v/>
      </c>
      <c r="C1922" t="n">
        <v>135585</v>
      </c>
      <c r="D1922" t="inlineStr">
        <is>
          <t>2024-02-01 08:51:12</t>
        </is>
      </c>
      <c r="E1922" t="inlineStr">
        <is>
          <t>2024-01-31 13:24:07</t>
        </is>
      </c>
      <c r="F1922" t="inlineStr">
        <is>
          <t>666</t>
        </is>
      </c>
    </row>
    <row r="1923">
      <c r="A1923" t="inlineStr">
        <is>
          <t>T0001396.pdf</t>
        </is>
      </c>
      <c r="B1923">
        <f>HYPERLINK("C:\Users\lmonroy\Tema\PLANILLAS\2024\BoletasPDF-STAFF\T0001396.pdf", "Link")</f>
        <v/>
      </c>
      <c r="C1923" t="n">
        <v>135547</v>
      </c>
      <c r="D1923" t="inlineStr">
        <is>
          <t>2024-02-01 08:51:13</t>
        </is>
      </c>
      <c r="E1923" t="inlineStr">
        <is>
          <t>2024-01-31 13:24:08</t>
        </is>
      </c>
      <c r="F1923" t="inlineStr">
        <is>
          <t>666</t>
        </is>
      </c>
    </row>
    <row r="1924">
      <c r="A1924" t="inlineStr">
        <is>
          <t>T0001397.pdf</t>
        </is>
      </c>
      <c r="B1924">
        <f>HYPERLINK("C:\Users\lmonroy\Tema\PLANILLAS\2024\BoletasPDF-STAFF\T0001397.pdf", "Link")</f>
        <v/>
      </c>
      <c r="C1924" t="n">
        <v>135556</v>
      </c>
      <c r="D1924" t="inlineStr">
        <is>
          <t>2024-02-01 08:51:13</t>
        </is>
      </c>
      <c r="E1924" t="inlineStr">
        <is>
          <t>2024-01-31 13:24:09</t>
        </is>
      </c>
      <c r="F1924" t="inlineStr">
        <is>
          <t>666</t>
        </is>
      </c>
    </row>
    <row r="1925">
      <c r="A1925" t="inlineStr">
        <is>
          <t>T0001398.pdf</t>
        </is>
      </c>
      <c r="B1925">
        <f>HYPERLINK("C:\Users\lmonroy\Tema\PLANILLAS\2024\BoletasPDF-STAFF\T0001398.pdf", "Link")</f>
        <v/>
      </c>
      <c r="C1925" t="n">
        <v>135578</v>
      </c>
      <c r="D1925" t="inlineStr">
        <is>
          <t>2024-02-01 08:51:15</t>
        </is>
      </c>
      <c r="E1925" t="inlineStr">
        <is>
          <t>2024-01-31 13:24:10</t>
        </is>
      </c>
      <c r="F1925" t="inlineStr">
        <is>
          <t>666</t>
        </is>
      </c>
    </row>
    <row r="1926">
      <c r="A1926" t="inlineStr">
        <is>
          <t>T0001399.pdf</t>
        </is>
      </c>
      <c r="B1926">
        <f>HYPERLINK("C:\Users\lmonroy\Tema\PLANILLAS\2024\BoletasPDF-STAFF\T0001399.pdf", "Link")</f>
        <v/>
      </c>
      <c r="C1926" t="n">
        <v>135556</v>
      </c>
      <c r="D1926" t="inlineStr">
        <is>
          <t>2024-02-01 08:51:17</t>
        </is>
      </c>
      <c r="E1926" t="inlineStr">
        <is>
          <t>2024-01-31 13:24:12</t>
        </is>
      </c>
      <c r="F1926" t="inlineStr">
        <is>
          <t>666</t>
        </is>
      </c>
    </row>
    <row r="1927">
      <c r="A1927" t="inlineStr">
        <is>
          <t>T0001400.pdf</t>
        </is>
      </c>
      <c r="B1927">
        <f>HYPERLINK("C:\Users\lmonroy\Tema\PLANILLAS\2024\BoletasPDF-STAFF\T0001400.pdf", "Link")</f>
        <v/>
      </c>
      <c r="C1927" t="n">
        <v>135541</v>
      </c>
      <c r="D1927" t="inlineStr">
        <is>
          <t>2024-02-01 08:51:18</t>
        </is>
      </c>
      <c r="E1927" t="inlineStr">
        <is>
          <t>2024-01-31 13:24:13</t>
        </is>
      </c>
      <c r="F1927" t="inlineStr">
        <is>
          <t>666</t>
        </is>
      </c>
    </row>
    <row r="1928">
      <c r="A1928" t="inlineStr">
        <is>
          <t>T0001401.pdf</t>
        </is>
      </c>
      <c r="B1928">
        <f>HYPERLINK("C:\Users\lmonroy\Tema\PLANILLAS\2024\BoletasPDF-STAFF\T0001401.pdf", "Link")</f>
        <v/>
      </c>
      <c r="C1928" t="n">
        <v>135546</v>
      </c>
      <c r="D1928" t="inlineStr">
        <is>
          <t>2024-02-01 08:51:19</t>
        </is>
      </c>
      <c r="E1928" t="inlineStr">
        <is>
          <t>2024-01-31 13:24:14</t>
        </is>
      </c>
      <c r="F1928" t="inlineStr">
        <is>
          <t>666</t>
        </is>
      </c>
    </row>
    <row r="1929">
      <c r="A1929" t="inlineStr">
        <is>
          <t>T0001402.pdf</t>
        </is>
      </c>
      <c r="B1929">
        <f>HYPERLINK("C:\Users\lmonroy\Tema\PLANILLAS\2024\BoletasPDF-STAFF\T0001402.pdf", "Link")</f>
        <v/>
      </c>
      <c r="C1929" t="n">
        <v>135571</v>
      </c>
      <c r="D1929" t="inlineStr">
        <is>
          <t>2024-02-01 08:51:19</t>
        </is>
      </c>
      <c r="E1929" t="inlineStr">
        <is>
          <t>2024-01-31 13:24:15</t>
        </is>
      </c>
      <c r="F1929" t="inlineStr">
        <is>
          <t>666</t>
        </is>
      </c>
    </row>
    <row r="1930">
      <c r="A1930" t="inlineStr">
        <is>
          <t>T0001403.pdf</t>
        </is>
      </c>
      <c r="B1930">
        <f>HYPERLINK("C:\Users\lmonroy\Tema\PLANILLAS\2024\BoletasPDF-STAFF\T0001403.pdf", "Link")</f>
        <v/>
      </c>
      <c r="C1930" t="n">
        <v>135589</v>
      </c>
      <c r="D1930" t="inlineStr">
        <is>
          <t>2024-02-01 08:51:20</t>
        </is>
      </c>
      <c r="E1930" t="inlineStr">
        <is>
          <t>2024-01-31 13:24:16</t>
        </is>
      </c>
      <c r="F1930" t="inlineStr">
        <is>
          <t>666</t>
        </is>
      </c>
    </row>
    <row r="1931">
      <c r="A1931" t="inlineStr">
        <is>
          <t>T0001404.pdf</t>
        </is>
      </c>
      <c r="B1931">
        <f>HYPERLINK("C:\Users\lmonroy\Tema\PLANILLAS\2024\BoletasPDF-STAFF\T0001404.pdf", "Link")</f>
        <v/>
      </c>
      <c r="C1931" t="n">
        <v>135583</v>
      </c>
      <c r="D1931" t="inlineStr">
        <is>
          <t>2024-02-01 08:51:20</t>
        </is>
      </c>
      <c r="E1931" t="inlineStr">
        <is>
          <t>2024-01-31 13:24:16</t>
        </is>
      </c>
      <c r="F1931" t="inlineStr">
        <is>
          <t>666</t>
        </is>
      </c>
    </row>
    <row r="1932">
      <c r="A1932" t="inlineStr">
        <is>
          <t>T0001405.pdf</t>
        </is>
      </c>
      <c r="B1932">
        <f>HYPERLINK("C:\Users\lmonroy\Tema\PLANILLAS\2024\BoletasPDF-STAFF\T0001405.pdf", "Link")</f>
        <v/>
      </c>
      <c r="C1932" t="n">
        <v>135523</v>
      </c>
      <c r="D1932" t="inlineStr">
        <is>
          <t>2024-02-01 08:51:22</t>
        </is>
      </c>
      <c r="E1932" t="inlineStr">
        <is>
          <t>2024-01-31 13:24:18</t>
        </is>
      </c>
      <c r="F1932" t="inlineStr">
        <is>
          <t>666</t>
        </is>
      </c>
    </row>
    <row r="1933">
      <c r="A1933" t="inlineStr">
        <is>
          <t>T0001406.pdf</t>
        </is>
      </c>
      <c r="B1933">
        <f>HYPERLINK("C:\Users\lmonroy\Tema\PLANILLAS\2024\BoletasPDF-STAFF\T0001406.pdf", "Link")</f>
        <v/>
      </c>
      <c r="C1933" t="n">
        <v>135538</v>
      </c>
      <c r="D1933" t="inlineStr">
        <is>
          <t>2024-02-01 08:51:23</t>
        </is>
      </c>
      <c r="E1933" t="inlineStr">
        <is>
          <t>2024-01-31 13:24:19</t>
        </is>
      </c>
      <c r="F1933" t="inlineStr">
        <is>
          <t>666</t>
        </is>
      </c>
    </row>
    <row r="1934">
      <c r="A1934" t="inlineStr">
        <is>
          <t>T0001407.pdf</t>
        </is>
      </c>
      <c r="B1934">
        <f>HYPERLINK("C:\Users\lmonroy\Tema\PLANILLAS\2024\BoletasPDF-STAFF\T0001407.pdf", "Link")</f>
        <v/>
      </c>
      <c r="C1934" t="n">
        <v>135563</v>
      </c>
      <c r="D1934" t="inlineStr">
        <is>
          <t>2024-02-01 08:51:23</t>
        </is>
      </c>
      <c r="E1934" t="inlineStr">
        <is>
          <t>2024-01-31 13:24:20</t>
        </is>
      </c>
      <c r="F1934" t="inlineStr">
        <is>
          <t>666</t>
        </is>
      </c>
    </row>
    <row r="1935">
      <c r="A1935" t="inlineStr">
        <is>
          <t>T0001408.pdf</t>
        </is>
      </c>
      <c r="B1935">
        <f>HYPERLINK("C:\Users\lmonroy\Tema\PLANILLAS\2024\BoletasPDF-STAFF\T0001408.pdf", "Link")</f>
        <v/>
      </c>
      <c r="C1935" t="n">
        <v>135435</v>
      </c>
      <c r="D1935" t="inlineStr">
        <is>
          <t>2024-02-01 08:51:24</t>
        </is>
      </c>
      <c r="E1935" t="inlineStr">
        <is>
          <t>2024-01-31 13:24:20</t>
        </is>
      </c>
      <c r="F1935" t="inlineStr">
        <is>
          <t>666</t>
        </is>
      </c>
    </row>
    <row r="1936">
      <c r="A1936" t="inlineStr">
        <is>
          <t>T0001409.pdf</t>
        </is>
      </c>
      <c r="B1936">
        <f>HYPERLINK("C:\Users\lmonroy\Tema\PLANILLAS\2024\BoletasPDF-STAFF\T0001409.pdf", "Link")</f>
        <v/>
      </c>
      <c r="C1936" t="n">
        <v>135417</v>
      </c>
      <c r="D1936" t="inlineStr">
        <is>
          <t>2024-02-01 08:51:26</t>
        </is>
      </c>
      <c r="E1936" t="inlineStr">
        <is>
          <t>2024-01-31 13:24:23</t>
        </is>
      </c>
      <c r="F1936" t="inlineStr">
        <is>
          <t>666</t>
        </is>
      </c>
    </row>
    <row r="1937">
      <c r="A1937" t="inlineStr">
        <is>
          <t>T0001411.pdf</t>
        </is>
      </c>
      <c r="B1937">
        <f>HYPERLINK("C:\Users\lmonroy\Tema\PLANILLAS\2024\BoletasPDF-STAFF\T0001411.pdf", "Link")</f>
        <v/>
      </c>
      <c r="C1937" t="n">
        <v>135571</v>
      </c>
      <c r="D1937" t="inlineStr">
        <is>
          <t>2024-02-01 08:51:27</t>
        </is>
      </c>
      <c r="E1937" t="inlineStr">
        <is>
          <t>2024-01-31 13:24:23</t>
        </is>
      </c>
      <c r="F1937" t="inlineStr">
        <is>
          <t>666</t>
        </is>
      </c>
    </row>
    <row r="1938">
      <c r="A1938" t="inlineStr">
        <is>
          <t>T0001412.pdf</t>
        </is>
      </c>
      <c r="B1938">
        <f>HYPERLINK("C:\Users\lmonroy\Tema\PLANILLAS\2024\BoletasPDF-STAFF\T0001412.pdf", "Link")</f>
        <v/>
      </c>
      <c r="C1938" t="n">
        <v>135422</v>
      </c>
      <c r="D1938" t="inlineStr">
        <is>
          <t>2024-02-01 08:51:27</t>
        </is>
      </c>
      <c r="E1938" t="inlineStr">
        <is>
          <t>2024-01-31 13:24:24</t>
        </is>
      </c>
      <c r="F1938" t="inlineStr">
        <is>
          <t>666</t>
        </is>
      </c>
    </row>
    <row r="1939">
      <c r="A1939" t="inlineStr">
        <is>
          <t>T0001413.pdf</t>
        </is>
      </c>
      <c r="B1939">
        <f>HYPERLINK("C:\Users\lmonroy\Tema\PLANILLAS\2024\BoletasPDF-STAFF\T0001413.pdf", "Link")</f>
        <v/>
      </c>
      <c r="C1939" t="n">
        <v>135562</v>
      </c>
      <c r="D1939" t="inlineStr">
        <is>
          <t>2024-02-01 08:51:28</t>
        </is>
      </c>
      <c r="E1939" t="inlineStr">
        <is>
          <t>2024-01-31 13:24:24</t>
        </is>
      </c>
      <c r="F1939" t="inlineStr">
        <is>
          <t>666</t>
        </is>
      </c>
    </row>
    <row r="1940">
      <c r="A1940" t="inlineStr">
        <is>
          <t>T0001414.pdf</t>
        </is>
      </c>
      <c r="B1940">
        <f>HYPERLINK("C:\Users\lmonroy\Tema\PLANILLAS\2024\BoletasPDF-STAFF\T0001414.pdf", "Link")</f>
        <v/>
      </c>
      <c r="C1940" t="n">
        <v>135554</v>
      </c>
      <c r="D1940" t="inlineStr">
        <is>
          <t>2024-02-01 08:51:28</t>
        </is>
      </c>
      <c r="E1940" t="inlineStr">
        <is>
          <t>2024-01-31 13:24:25</t>
        </is>
      </c>
      <c r="F1940" t="inlineStr">
        <is>
          <t>666</t>
        </is>
      </c>
    </row>
    <row r="1941">
      <c r="A1941" t="inlineStr">
        <is>
          <t>T0001415.pdf</t>
        </is>
      </c>
      <c r="B1941">
        <f>HYPERLINK("C:\Users\lmonroy\Tema\PLANILLAS\2024\BoletasPDF-STAFF\T0001415.pdf", "Link")</f>
        <v/>
      </c>
      <c r="C1941" t="n">
        <v>135549</v>
      </c>
      <c r="D1941" t="inlineStr">
        <is>
          <t>2024-02-01 08:51:30</t>
        </is>
      </c>
      <c r="E1941" t="inlineStr">
        <is>
          <t>2024-01-31 13:24:26</t>
        </is>
      </c>
      <c r="F1941" t="inlineStr">
        <is>
          <t>666</t>
        </is>
      </c>
    </row>
    <row r="1942">
      <c r="A1942" t="inlineStr">
        <is>
          <t>T0001416.pdf</t>
        </is>
      </c>
      <c r="B1942">
        <f>HYPERLINK("C:\Users\lmonroy\Tema\PLANILLAS\2024\BoletasPDF-STAFF\T0001416.pdf", "Link")</f>
        <v/>
      </c>
      <c r="C1942" t="n">
        <v>135568</v>
      </c>
      <c r="D1942" t="inlineStr">
        <is>
          <t>2024-02-01 08:51:31</t>
        </is>
      </c>
      <c r="E1942" t="inlineStr">
        <is>
          <t>2024-01-31 13:24:28</t>
        </is>
      </c>
      <c r="F1942" t="inlineStr">
        <is>
          <t>666</t>
        </is>
      </c>
    </row>
    <row r="1943">
      <c r="A1943" t="inlineStr">
        <is>
          <t>T0001417.pdf</t>
        </is>
      </c>
      <c r="B1943">
        <f>HYPERLINK("C:\Users\lmonroy\Tema\PLANILLAS\2024\BoletasPDF-STAFF\T0001417.pdf", "Link")</f>
        <v/>
      </c>
      <c r="C1943" t="n">
        <v>135563</v>
      </c>
      <c r="D1943" t="inlineStr">
        <is>
          <t>2024-02-01 08:51:32</t>
        </is>
      </c>
      <c r="E1943" t="inlineStr">
        <is>
          <t>2024-01-31 13:24:29</t>
        </is>
      </c>
      <c r="F1943" t="inlineStr">
        <is>
          <t>666</t>
        </is>
      </c>
    </row>
    <row r="1944">
      <c r="A1944" t="inlineStr">
        <is>
          <t>T0001418.pdf</t>
        </is>
      </c>
      <c r="B1944">
        <f>HYPERLINK("C:\Users\lmonroy\Tema\PLANILLAS\2024\BoletasPDF-STAFF\T0001418.pdf", "Link")</f>
        <v/>
      </c>
      <c r="C1944" t="n">
        <v>135548</v>
      </c>
      <c r="D1944" t="inlineStr">
        <is>
          <t>2024-02-01 08:51:33</t>
        </is>
      </c>
      <c r="E1944" t="inlineStr">
        <is>
          <t>2024-01-31 13:24:30</t>
        </is>
      </c>
      <c r="F1944" t="inlineStr">
        <is>
          <t>666</t>
        </is>
      </c>
    </row>
    <row r="1945">
      <c r="A1945" t="inlineStr">
        <is>
          <t>T0001419.pdf</t>
        </is>
      </c>
      <c r="B1945">
        <f>HYPERLINK("C:\Users\lmonroy\Tema\PLANILLAS\2024\BoletasPDF-STAFF\T0001419.pdf", "Link")</f>
        <v/>
      </c>
      <c r="C1945" t="n">
        <v>135507</v>
      </c>
      <c r="D1945" t="inlineStr">
        <is>
          <t>2024-02-01 08:51:33</t>
        </is>
      </c>
      <c r="E1945" t="inlineStr">
        <is>
          <t>2024-01-31 13:24:30</t>
        </is>
      </c>
      <c r="F1945" t="inlineStr">
        <is>
          <t>666</t>
        </is>
      </c>
    </row>
    <row r="1946">
      <c r="A1946" t="inlineStr">
        <is>
          <t>T0001420.pdf</t>
        </is>
      </c>
      <c r="B1946">
        <f>HYPERLINK("C:\Users\lmonroy\Tema\PLANILLAS\2024\BoletasPDF-STAFF\T0001420.pdf", "Link")</f>
        <v/>
      </c>
      <c r="C1946" t="n">
        <v>135566</v>
      </c>
      <c r="D1946" t="inlineStr">
        <is>
          <t>2024-02-01 08:51:34</t>
        </is>
      </c>
      <c r="E1946" t="inlineStr">
        <is>
          <t>2024-01-31 13:24:31</t>
        </is>
      </c>
      <c r="F1946" t="inlineStr">
        <is>
          <t>666</t>
        </is>
      </c>
    </row>
    <row r="1947">
      <c r="A1947" t="inlineStr">
        <is>
          <t>T0001421.pdf</t>
        </is>
      </c>
      <c r="B1947">
        <f>HYPERLINK("C:\Users\lmonroy\Tema\PLANILLAS\2024\BoletasPDF-STAFF\T0001421.pdf", "Link")</f>
        <v/>
      </c>
      <c r="C1947" t="n">
        <v>135551</v>
      </c>
      <c r="D1947" t="inlineStr">
        <is>
          <t>2024-02-01 08:51:34</t>
        </is>
      </c>
      <c r="E1947" t="inlineStr">
        <is>
          <t>2024-01-31 13:24:31</t>
        </is>
      </c>
      <c r="F1947" t="inlineStr">
        <is>
          <t>666</t>
        </is>
      </c>
    </row>
    <row r="1948">
      <c r="A1948" t="inlineStr">
        <is>
          <t>T0001422.pdf</t>
        </is>
      </c>
      <c r="B1948">
        <f>HYPERLINK("C:\Users\lmonroy\Tema\PLANILLAS\2024\BoletasPDF-STAFF\T0001422.pdf", "Link")</f>
        <v/>
      </c>
      <c r="C1948" t="n">
        <v>135536</v>
      </c>
      <c r="D1948" t="inlineStr">
        <is>
          <t>2024-02-01 08:51:35</t>
        </is>
      </c>
      <c r="E1948" t="inlineStr">
        <is>
          <t>2024-01-31 13:24:32</t>
        </is>
      </c>
      <c r="F1948" t="inlineStr">
        <is>
          <t>666</t>
        </is>
      </c>
    </row>
    <row r="1949">
      <c r="A1949" t="inlineStr">
        <is>
          <t>T0001423.pdf</t>
        </is>
      </c>
      <c r="B1949">
        <f>HYPERLINK("C:\Users\lmonroy\Tema\PLANILLAS\2024\BoletasPDF-STAFF\T0001423.pdf", "Link")</f>
        <v/>
      </c>
      <c r="C1949" t="n">
        <v>135550</v>
      </c>
      <c r="D1949" t="inlineStr">
        <is>
          <t>2024-02-01 08:51:35</t>
        </is>
      </c>
      <c r="E1949" t="inlineStr">
        <is>
          <t>2024-01-31 13:24:32</t>
        </is>
      </c>
      <c r="F1949" t="inlineStr">
        <is>
          <t>666</t>
        </is>
      </c>
    </row>
    <row r="1950">
      <c r="A1950" t="inlineStr">
        <is>
          <t>T0001424.pdf</t>
        </is>
      </c>
      <c r="B1950">
        <f>HYPERLINK("C:\Users\lmonroy\Tema\PLANILLAS\2024\BoletasPDF-STAFF\T0001424.pdf", "Link")</f>
        <v/>
      </c>
      <c r="C1950" t="n">
        <v>135518</v>
      </c>
      <c r="D1950" t="inlineStr">
        <is>
          <t>2024-02-01 08:51:36</t>
        </is>
      </c>
      <c r="E1950" t="inlineStr">
        <is>
          <t>2024-01-31 13:24:34</t>
        </is>
      </c>
      <c r="F1950" t="inlineStr">
        <is>
          <t>666</t>
        </is>
      </c>
    </row>
    <row r="1951">
      <c r="A1951" t="inlineStr">
        <is>
          <t>T0001425.pdf</t>
        </is>
      </c>
      <c r="B1951">
        <f>HYPERLINK("C:\Users\lmonroy\Tema\PLANILLAS\2024\BoletasPDF-STAFF\T0001425.pdf", "Link")</f>
        <v/>
      </c>
      <c r="C1951" t="n">
        <v>135578</v>
      </c>
      <c r="D1951" t="inlineStr">
        <is>
          <t>2024-02-01 08:51:21</t>
        </is>
      </c>
      <c r="E1951" t="inlineStr">
        <is>
          <t>2024-01-31 13:24:17</t>
        </is>
      </c>
      <c r="F1951" t="inlineStr">
        <is>
          <t>666</t>
        </is>
      </c>
    </row>
    <row r="1952">
      <c r="A1952" t="inlineStr">
        <is>
          <t>T0001426.pdf</t>
        </is>
      </c>
      <c r="B1952">
        <f>HYPERLINK("C:\Users\lmonroy\Tema\PLANILLAS\2024\BoletasPDF-STAFF\T0001426.pdf", "Link")</f>
        <v/>
      </c>
      <c r="C1952" t="n">
        <v>135565</v>
      </c>
      <c r="D1952" t="inlineStr">
        <is>
          <t>2024-02-01 08:51:17</t>
        </is>
      </c>
      <c r="E1952" t="inlineStr">
        <is>
          <t>2024-01-31 13:24:13</t>
        </is>
      </c>
      <c r="F1952" t="inlineStr">
        <is>
          <t>666</t>
        </is>
      </c>
    </row>
    <row r="1953">
      <c r="A1953" t="inlineStr">
        <is>
          <t>T0001427.pdf</t>
        </is>
      </c>
      <c r="B1953">
        <f>HYPERLINK("C:\Users\lmonroy\Tema\PLANILLAS\2024\BoletasPDF-STAFF\T0001427.pdf", "Link")</f>
        <v/>
      </c>
      <c r="C1953" t="n">
        <v>135593</v>
      </c>
      <c r="D1953" t="inlineStr">
        <is>
          <t>2024-02-01 08:51:14</t>
        </is>
      </c>
      <c r="E1953" t="inlineStr">
        <is>
          <t>2024-01-31 13:24:09</t>
        </is>
      </c>
      <c r="F1953" t="inlineStr">
        <is>
          <t>666</t>
        </is>
      </c>
    </row>
    <row r="1954">
      <c r="A1954" t="inlineStr">
        <is>
          <t>T0001428.pdf</t>
        </is>
      </c>
      <c r="B1954">
        <f>HYPERLINK("C:\Users\lmonroy\Tema\PLANILLAS\2024\BoletasPDF-STAFF\T0001428.pdf", "Link")</f>
        <v/>
      </c>
      <c r="C1954" t="n">
        <v>135569</v>
      </c>
      <c r="D1954" t="inlineStr">
        <is>
          <t>2024-02-01 08:51:05</t>
        </is>
      </c>
      <c r="E1954" t="inlineStr">
        <is>
          <t>2024-01-31 13:24:03</t>
        </is>
      </c>
      <c r="F1954" t="inlineStr">
        <is>
          <t>666</t>
        </is>
      </c>
    </row>
    <row r="1955">
      <c r="A1955" t="inlineStr">
        <is>
          <t>T0001429.pdf</t>
        </is>
      </c>
      <c r="B1955">
        <f>HYPERLINK("C:\Users\lmonroy\Tema\PLANILLAS\2024\BoletasPDF-STAFF\T0001429.pdf", "Link")</f>
        <v/>
      </c>
      <c r="C1955" t="n">
        <v>135544</v>
      </c>
      <c r="D1955" t="inlineStr">
        <is>
          <t>2024-02-01 08:51:35</t>
        </is>
      </c>
      <c r="E1955" t="inlineStr">
        <is>
          <t>2024-01-31 13:24:33</t>
        </is>
      </c>
      <c r="F1955" t="inlineStr">
        <is>
          <t>666</t>
        </is>
      </c>
    </row>
    <row r="1956">
      <c r="A1956" t="inlineStr">
        <is>
          <t>T0001435.pdf</t>
        </is>
      </c>
      <c r="B1956">
        <f>HYPERLINK("C:\Users\lmonroy\Tema\PLANILLAS\2024\BoletasPDF-STAFF\T0001435.pdf", "Link")</f>
        <v/>
      </c>
      <c r="C1956" t="n">
        <v>135580</v>
      </c>
      <c r="D1956" t="inlineStr">
        <is>
          <t>2024-02-01 08:51:19</t>
        </is>
      </c>
      <c r="E1956" t="inlineStr">
        <is>
          <t>2024-01-31 13:24:15</t>
        </is>
      </c>
      <c r="F1956" t="inlineStr">
        <is>
          <t>666</t>
        </is>
      </c>
    </row>
    <row r="1957">
      <c r="A1957" t="inlineStr">
        <is>
          <t>T0001436.pdf</t>
        </is>
      </c>
      <c r="B1957">
        <f>HYPERLINK("C:\Users\lmonroy\Tema\PLANILLAS\2024\BoletasPDF-STAFF\T0001436.pdf", "Link")</f>
        <v/>
      </c>
      <c r="C1957" t="n">
        <v>135584</v>
      </c>
      <c r="D1957" t="inlineStr">
        <is>
          <t>2024-02-01 08:51:25</t>
        </is>
      </c>
      <c r="E1957" t="inlineStr">
        <is>
          <t>2024-01-31 13:24:21</t>
        </is>
      </c>
      <c r="F1957" t="inlineStr">
        <is>
          <t>666</t>
        </is>
      </c>
    </row>
    <row r="1958">
      <c r="A1958" t="inlineStr">
        <is>
          <t>T0001473.pdf</t>
        </is>
      </c>
      <c r="B1958">
        <f>HYPERLINK("C:\Users\lmonroy\Tema\PLANILLAS\2024\BoletasPDF-STAFF\T0001473.pdf", "Link")</f>
        <v/>
      </c>
      <c r="C1958" t="n">
        <v>135591</v>
      </c>
      <c r="D1958" t="inlineStr">
        <is>
          <t>2024-02-01 08:51:16</t>
        </is>
      </c>
      <c r="E1958" t="inlineStr">
        <is>
          <t>2024-01-31 13:24:11</t>
        </is>
      </c>
      <c r="F1958" t="inlineStr">
        <is>
          <t>666</t>
        </is>
      </c>
    </row>
    <row r="1959">
      <c r="A1959" t="inlineStr">
        <is>
          <t>T0001475.pdf</t>
        </is>
      </c>
      <c r="B1959">
        <f>HYPERLINK("C:\Users\lmonroy\Tema\PLANILLAS\2024\BoletasPDF-STAFF\T0001475.pdf", "Link")</f>
        <v/>
      </c>
      <c r="C1959" t="n">
        <v>135564</v>
      </c>
      <c r="D1959" t="inlineStr">
        <is>
          <t>2024-02-01 08:51:30</t>
        </is>
      </c>
      <c r="E1959" t="inlineStr">
        <is>
          <t>2024-01-31 13:24:27</t>
        </is>
      </c>
      <c r="F1959" t="inlineStr">
        <is>
          <t>666</t>
        </is>
      </c>
    </row>
    <row r="1960">
      <c r="A1960" t="inlineStr">
        <is>
          <t>T0001476.pdf</t>
        </is>
      </c>
      <c r="B1960">
        <f>HYPERLINK("C:\Users\lmonroy\Tema\PLANILLAS\2024\BoletasPDF-STAFF\T0001476.pdf", "Link")</f>
        <v/>
      </c>
      <c r="C1960" t="n">
        <v>135409</v>
      </c>
      <c r="D1960" t="inlineStr">
        <is>
          <t>2024-02-01 08:51:26</t>
        </is>
      </c>
      <c r="E1960" t="inlineStr">
        <is>
          <t>2024-01-31 13:24:22</t>
        </is>
      </c>
      <c r="F1960" t="inlineStr">
        <is>
          <t>666</t>
        </is>
      </c>
    </row>
    <row r="1961">
      <c r="A1961" t="inlineStr">
        <is>
          <t>T0001520.pdf</t>
        </is>
      </c>
      <c r="B1961">
        <f>HYPERLINK("C:\Users\lmonroy\Tema\PLANILLAS\2024\BoletasPDF-STAFF\T0001520.pdf", "Link")</f>
        <v/>
      </c>
      <c r="C1961" t="n">
        <v>135551</v>
      </c>
      <c r="D1961" t="inlineStr">
        <is>
          <t>2024-02-01 08:51:37</t>
        </is>
      </c>
      <c r="E1961" t="inlineStr">
        <is>
          <t>2024-01-31 13:24:34</t>
        </is>
      </c>
      <c r="F1961" t="inlineStr">
        <is>
          <t>666</t>
        </is>
      </c>
    </row>
    <row r="1962">
      <c r="A1962" t="inlineStr">
        <is>
          <t>T0001521.pdf</t>
        </is>
      </c>
      <c r="B1962">
        <f>HYPERLINK("C:\Users\lmonroy\Tema\PLANILLAS\2024\BoletasPDF-STAFF\T0001521.pdf", "Link")</f>
        <v/>
      </c>
      <c r="C1962" t="n">
        <v>135572</v>
      </c>
      <c r="D1962" t="inlineStr">
        <is>
          <t>2024-02-01 08:51:25</t>
        </is>
      </c>
      <c r="E1962" t="inlineStr">
        <is>
          <t>2024-01-31 13:24:22</t>
        </is>
      </c>
      <c r="F1962" t="inlineStr">
        <is>
          <t>666</t>
        </is>
      </c>
    </row>
    <row r="1963">
      <c r="A1963" t="inlineStr">
        <is>
          <t>T0001522.pdf</t>
        </is>
      </c>
      <c r="B1963">
        <f>HYPERLINK("C:\Users\lmonroy\Tema\PLANILLAS\2024\BoletasPDF-STAFF\T0001522.pdf", "Link")</f>
        <v/>
      </c>
      <c r="C1963" t="n">
        <v>135566</v>
      </c>
      <c r="D1963" t="inlineStr">
        <is>
          <t>2024-02-01 08:51:21</t>
        </is>
      </c>
      <c r="E1963" t="inlineStr">
        <is>
          <t>2024-01-31 13:24:17</t>
        </is>
      </c>
      <c r="F1963" t="inlineStr">
        <is>
          <t>666</t>
        </is>
      </c>
    </row>
    <row r="1964">
      <c r="A1964" t="inlineStr">
        <is>
          <t>T0001523.pdf</t>
        </is>
      </c>
      <c r="B1964">
        <f>HYPERLINK("C:\Users\lmonroy\Tema\PLANILLAS\2024\BoletasPDF-STAFF\T0001523.pdf", "Link")</f>
        <v/>
      </c>
      <c r="C1964" t="n">
        <v>135612</v>
      </c>
      <c r="D1964" t="inlineStr">
        <is>
          <t>2024-02-01 08:51:38</t>
        </is>
      </c>
      <c r="E1964" t="inlineStr">
        <is>
          <t>2024-01-31 13:24:36</t>
        </is>
      </c>
      <c r="F1964" t="inlineStr">
        <is>
          <t>666</t>
        </is>
      </c>
    </row>
    <row r="1965">
      <c r="A1965" t="inlineStr">
        <is>
          <t>T0001524.pdf</t>
        </is>
      </c>
      <c r="B1965">
        <f>HYPERLINK("C:\Users\lmonroy\Tema\PLANILLAS\2024\BoletasPDF-STAFF\T0001524.pdf", "Link")</f>
        <v/>
      </c>
      <c r="C1965" t="n">
        <v>135576</v>
      </c>
      <c r="D1965" t="inlineStr">
        <is>
          <t>2024-02-01 08:51:33</t>
        </is>
      </c>
      <c r="E1965" t="inlineStr">
        <is>
          <t>2024-01-31 13:24:31</t>
        </is>
      </c>
      <c r="F1965" t="inlineStr">
        <is>
          <t>666</t>
        </is>
      </c>
    </row>
    <row r="1966">
      <c r="A1966" t="inlineStr">
        <is>
          <t>T0001527.pdf</t>
        </is>
      </c>
      <c r="B1966">
        <f>HYPERLINK("C:\Users\lmonroy\Tema\PLANILLAS\2024\BoletasPDF-STAFF\T0001527.pdf", "Link")</f>
        <v/>
      </c>
      <c r="C1966" t="n">
        <v>135555</v>
      </c>
      <c r="D1966" t="inlineStr">
        <is>
          <t>2024-02-01 08:51:15</t>
        </is>
      </c>
      <c r="E1966" t="inlineStr">
        <is>
          <t>2024-01-31 13:24:10</t>
        </is>
      </c>
      <c r="F1966" t="inlineStr">
        <is>
          <t>666</t>
        </is>
      </c>
    </row>
    <row r="1967">
      <c r="A1967" t="inlineStr">
        <is>
          <t>T0001529.pdf</t>
        </is>
      </c>
      <c r="B1967">
        <f>HYPERLINK("C:\Users\lmonroy\Tema\PLANILLAS\2024\BoletasPDF-STAFF\T0001529.pdf", "Link")</f>
        <v/>
      </c>
      <c r="C1967" t="n">
        <v>135535</v>
      </c>
      <c r="D1967" t="inlineStr">
        <is>
          <t>2024-02-01 08:51:29</t>
        </is>
      </c>
      <c r="E1967" t="inlineStr">
        <is>
          <t>2024-01-31 13:24:25</t>
        </is>
      </c>
      <c r="F1967" t="inlineStr">
        <is>
          <t>666</t>
        </is>
      </c>
    </row>
    <row r="1968">
      <c r="A1968" t="inlineStr">
        <is>
          <t>T0001530.pdf</t>
        </is>
      </c>
      <c r="B1968">
        <f>HYPERLINK("C:\Users\lmonroy\Tema\PLANILLAS\2024\BoletasPDF-STAFF\T0001530.pdf", "Link")</f>
        <v/>
      </c>
      <c r="C1968" t="n">
        <v>135603</v>
      </c>
      <c r="D1968" t="inlineStr">
        <is>
          <t>2024-02-01 08:51:06</t>
        </is>
      </c>
      <c r="E1968" t="inlineStr">
        <is>
          <t>2024-01-31 13:24:04</t>
        </is>
      </c>
      <c r="F1968" t="inlineStr">
        <is>
          <t>666</t>
        </is>
      </c>
    </row>
    <row r="1969">
      <c r="A1969" t="inlineStr">
        <is>
          <t>T0001531.pdf</t>
        </is>
      </c>
      <c r="B1969">
        <f>HYPERLINK("C:\Users\lmonroy\Tema\PLANILLAS\2024\BoletasPDF-STAFF\T0001531.pdf", "Link")</f>
        <v/>
      </c>
      <c r="C1969" t="n">
        <v>135604</v>
      </c>
      <c r="D1969" t="inlineStr">
        <is>
          <t>2024-02-01 08:51:25</t>
        </is>
      </c>
      <c r="E1969" t="inlineStr">
        <is>
          <t>2024-01-31 13:24:22</t>
        </is>
      </c>
      <c r="F1969" t="inlineStr">
        <is>
          <t>666</t>
        </is>
      </c>
    </row>
    <row r="1970">
      <c r="A1970" t="inlineStr">
        <is>
          <t>T0001546.pdf</t>
        </is>
      </c>
      <c r="B1970">
        <f>HYPERLINK("C:\Users\lmonroy\Tema\PLANILLAS\2024\BoletasPDF-STAFF\T0001546.pdf", "Link")</f>
        <v/>
      </c>
      <c r="C1970" t="n">
        <v>135595</v>
      </c>
      <c r="D1970" t="inlineStr">
        <is>
          <t>2024-02-01 08:51:16</t>
        </is>
      </c>
      <c r="E1970" t="inlineStr">
        <is>
          <t>2024-01-31 13:24:11</t>
        </is>
      </c>
      <c r="F1970" t="inlineStr">
        <is>
          <t>666</t>
        </is>
      </c>
    </row>
    <row r="1971">
      <c r="A1971" t="inlineStr">
        <is>
          <t>T0001577.pdf</t>
        </is>
      </c>
      <c r="B1971">
        <f>HYPERLINK("C:\Users\lmonroy\Tema\PLANILLAS\2024\BoletasPDF-STAFF\T0001577.pdf", "Link")</f>
        <v/>
      </c>
      <c r="C1971" t="n">
        <v>135456</v>
      </c>
      <c r="D1971" t="inlineStr">
        <is>
          <t>2024-02-01 08:51:04</t>
        </is>
      </c>
      <c r="E1971" t="inlineStr">
        <is>
          <t>2024-01-31 13:24:02</t>
        </is>
      </c>
      <c r="F1971" t="inlineStr">
        <is>
          <t>666</t>
        </is>
      </c>
    </row>
    <row r="1972">
      <c r="A1972" t="inlineStr">
        <is>
          <t>T0001578.pdf</t>
        </is>
      </c>
      <c r="B1972">
        <f>HYPERLINK("C:\Users\lmonroy\Tema\PLANILLAS\2024\BoletasPDF-STAFF\T0001578.pdf", "Link")</f>
        <v/>
      </c>
      <c r="C1972" t="n">
        <v>135576</v>
      </c>
      <c r="D1972" t="inlineStr">
        <is>
          <t>2024-02-01 08:51:07</t>
        </is>
      </c>
      <c r="E1972" t="inlineStr">
        <is>
          <t>2024-01-31 13:24:05</t>
        </is>
      </c>
      <c r="F1972" t="inlineStr">
        <is>
          <t>666</t>
        </is>
      </c>
    </row>
    <row r="1973">
      <c r="A1973" t="inlineStr">
        <is>
          <t>T0001579.pdf</t>
        </is>
      </c>
      <c r="B1973">
        <f>HYPERLINK("C:\Users\lmonroy\Tema\PLANILLAS\2024\BoletasPDF-STAFF\T0001579.pdf", "Link")</f>
        <v/>
      </c>
      <c r="C1973" t="n">
        <v>135572</v>
      </c>
      <c r="D1973" t="inlineStr">
        <is>
          <t>2024-02-01 08:51:14</t>
        </is>
      </c>
      <c r="E1973" t="inlineStr">
        <is>
          <t>2024-01-31 13:24:09</t>
        </is>
      </c>
      <c r="F1973" t="inlineStr">
        <is>
          <t>666</t>
        </is>
      </c>
    </row>
    <row r="1974">
      <c r="A1974" t="inlineStr">
        <is>
          <t>T0001580.pdf</t>
        </is>
      </c>
      <c r="B1974">
        <f>HYPERLINK("C:\Users\lmonroy\Tema\PLANILLAS\2024\BoletasPDF-STAFF\T0001580.pdf", "Link")</f>
        <v/>
      </c>
      <c r="C1974" t="n">
        <v>135416</v>
      </c>
      <c r="D1974" t="inlineStr">
        <is>
          <t>2024-02-01 08:51:16</t>
        </is>
      </c>
      <c r="E1974" t="inlineStr">
        <is>
          <t>2024-01-31 13:24:12</t>
        </is>
      </c>
      <c r="F1974" t="inlineStr">
        <is>
          <t>666</t>
        </is>
      </c>
    </row>
    <row r="1975">
      <c r="A1975" t="inlineStr">
        <is>
          <t>T0001581.pdf</t>
        </is>
      </c>
      <c r="B1975">
        <f>HYPERLINK("C:\Users\lmonroy\Tema\PLANILLAS\2024\BoletasPDF-STAFF\T0001581.pdf", "Link")</f>
        <v/>
      </c>
      <c r="C1975" t="n">
        <v>135591</v>
      </c>
      <c r="D1975" t="inlineStr">
        <is>
          <t>2024-02-01 08:51:24</t>
        </is>
      </c>
      <c r="E1975" t="inlineStr">
        <is>
          <t>2024-01-31 13:24:21</t>
        </is>
      </c>
      <c r="F1975" t="inlineStr">
        <is>
          <t>666</t>
        </is>
      </c>
    </row>
    <row r="1976">
      <c r="A1976" t="inlineStr">
        <is>
          <t>T0001582.pdf</t>
        </is>
      </c>
      <c r="B1976">
        <f>HYPERLINK("C:\Users\lmonroy\Tema\PLANILLAS\2024\BoletasPDF-STAFF\T0001582.pdf", "Link")</f>
        <v/>
      </c>
      <c r="C1976" t="n">
        <v>135595</v>
      </c>
      <c r="D1976" t="inlineStr">
        <is>
          <t>2024-02-01 08:51:29</t>
        </is>
      </c>
      <c r="E1976" t="inlineStr">
        <is>
          <t>2024-01-31 13:24:26</t>
        </is>
      </c>
      <c r="F1976" t="inlineStr">
        <is>
          <t>666</t>
        </is>
      </c>
    </row>
    <row r="1977">
      <c r="A1977" t="inlineStr">
        <is>
          <t>T0001679.pdf</t>
        </is>
      </c>
      <c r="B1977">
        <f>HYPERLINK("C:\Users\lmonroy\Tema\PLANILLAS\2024\BoletasPDF-STAFF\T0001679.pdf", "Link")</f>
        <v/>
      </c>
      <c r="C1977" t="n">
        <v>135540</v>
      </c>
      <c r="D1977" t="inlineStr">
        <is>
          <t>2024-02-01 08:51:37</t>
        </is>
      </c>
      <c r="E1977" t="inlineStr">
        <is>
          <t>2024-01-31 13:24:35</t>
        </is>
      </c>
      <c r="F1977" t="inlineStr">
        <is>
          <t>666</t>
        </is>
      </c>
    </row>
    <row r="1978">
      <c r="A1978" t="inlineStr">
        <is>
          <t>AHUANARI ASPAJO JOSE  T0001015.pdf</t>
        </is>
      </c>
      <c r="B1978">
        <f>HYPERLINK("C:\Users\lmonroy\Tema\PLANILLAS\Boletas 1 - 15 Dic\AHUANARI ASPAJO JOSE  T0001015.pdf", "Link")</f>
        <v/>
      </c>
      <c r="C1978" t="n">
        <v>134377</v>
      </c>
      <c r="D1978" t="inlineStr">
        <is>
          <t>2024-03-27 10:28:33</t>
        </is>
      </c>
      <c r="E1978" t="inlineStr">
        <is>
          <t>2024-03-27 10:28:33</t>
        </is>
      </c>
      <c r="F1978" t="inlineStr">
        <is>
          <t>666</t>
        </is>
      </c>
    </row>
    <row r="1979">
      <c r="A1979" t="inlineStr">
        <is>
          <t>AHUANARI MANAJO MILLER  T0001016.pdf</t>
        </is>
      </c>
      <c r="B1979">
        <f>HYPERLINK("C:\Users\lmonroy\Tema\PLANILLAS\Boletas 1 - 15 Dic\AHUANARI MANAJO MILLER  T0001016.pdf", "Link")</f>
        <v/>
      </c>
      <c r="C1979" t="n">
        <v>134274</v>
      </c>
      <c r="D1979" t="inlineStr">
        <is>
          <t>2024-03-27 10:27:01</t>
        </is>
      </c>
      <c r="E1979" t="inlineStr">
        <is>
          <t>2024-03-27 10:27:01</t>
        </is>
      </c>
      <c r="F1979" t="inlineStr">
        <is>
          <t>666</t>
        </is>
      </c>
    </row>
    <row r="1980">
      <c r="A1980" t="inlineStr">
        <is>
          <t>AHUITE ARAHUATA JACOB  T0001017.pdf</t>
        </is>
      </c>
      <c r="B1980">
        <f>HYPERLINK("C:\Users\lmonroy\Tema\PLANILLAS\Boletas 1 - 15 Dic\AHUITE ARAHUATA JACOB  T0001017.pdf", "Link")</f>
        <v/>
      </c>
      <c r="C1980" t="n">
        <v>134295</v>
      </c>
      <c r="D1980" t="inlineStr">
        <is>
          <t>2024-03-27 10:26:35</t>
        </is>
      </c>
      <c r="E1980" t="inlineStr">
        <is>
          <t>2024-03-27 10:26:35</t>
        </is>
      </c>
      <c r="F1980" t="inlineStr">
        <is>
          <t>666</t>
        </is>
      </c>
    </row>
    <row r="1981">
      <c r="A1981" t="inlineStr">
        <is>
          <t>AHUITE MACUSI LUIS  T0001018.pdf</t>
        </is>
      </c>
      <c r="B1981">
        <f>HYPERLINK("C:\Users\lmonroy\Tema\PLANILLAS\Boletas 1 - 15 Dic\AHUITE MACUSI LUIS  T0001018.pdf", "Link")</f>
        <v/>
      </c>
      <c r="C1981" t="n">
        <v>134235</v>
      </c>
      <c r="D1981" t="inlineStr">
        <is>
          <t>2024-03-27 10:28:42</t>
        </is>
      </c>
      <c r="E1981" t="inlineStr">
        <is>
          <t>2024-03-27 10:28:42</t>
        </is>
      </c>
      <c r="F1981" t="inlineStr">
        <is>
          <t>666</t>
        </is>
      </c>
    </row>
    <row r="1982">
      <c r="A1982" t="inlineStr">
        <is>
          <t>AHUITE MACUSI SEGUNDO  T0001019.pdf</t>
        </is>
      </c>
      <c r="B1982">
        <f>HYPERLINK("C:\Users\lmonroy\Tema\PLANILLAS\Boletas 1 - 15 Dic\AHUITE MACUSI SEGUNDO  T0001019.pdf", "Link")</f>
        <v/>
      </c>
      <c r="C1982" t="n">
        <v>134244</v>
      </c>
      <c r="D1982" t="inlineStr">
        <is>
          <t>2024-03-27 10:28:46</t>
        </is>
      </c>
      <c r="E1982" t="inlineStr">
        <is>
          <t>2024-03-27 10:28:46</t>
        </is>
      </c>
      <c r="F1982" t="inlineStr">
        <is>
          <t>666</t>
        </is>
      </c>
    </row>
    <row r="1983">
      <c r="A1983" t="inlineStr">
        <is>
          <t>AHUITE MANIZARI AGUSTIN T0001376.pdf</t>
        </is>
      </c>
      <c r="B1983">
        <f>HYPERLINK("C:\Users\lmonroy\Tema\PLANILLAS\Boletas 1 - 15 Dic\AHUITE MANIZARI AGUSTIN T0001376.pdf", "Link")</f>
        <v/>
      </c>
      <c r="C1983" t="n">
        <v>134395</v>
      </c>
      <c r="D1983" t="inlineStr">
        <is>
          <t>2024-03-27 10:26:43</t>
        </is>
      </c>
      <c r="E1983" t="inlineStr">
        <is>
          <t>2024-03-27 10:26:43</t>
        </is>
      </c>
      <c r="F1983" t="inlineStr">
        <is>
          <t>666</t>
        </is>
      </c>
    </row>
    <row r="1984">
      <c r="A1984" t="inlineStr">
        <is>
          <t>AHUITE MANIZARI LUIS  T0001020.pdf</t>
        </is>
      </c>
      <c r="B1984">
        <f>HYPERLINK("C:\Users\lmonroy\Tema\PLANILLAS\Boletas 1 - 15 Dic\AHUITE MANIZARI LUIS  T0001020.pdf", "Link")</f>
        <v/>
      </c>
      <c r="C1984" t="n">
        <v>134294</v>
      </c>
      <c r="D1984" t="inlineStr">
        <is>
          <t>2024-03-27 10:27:00</t>
        </is>
      </c>
      <c r="E1984" t="inlineStr">
        <is>
          <t>2024-03-27 10:27:00</t>
        </is>
      </c>
      <c r="F1984" t="inlineStr">
        <is>
          <t>666</t>
        </is>
      </c>
    </row>
    <row r="1985">
      <c r="A1985" t="inlineStr">
        <is>
          <t>AHUITE TARICUARIMA ARTEMIO  T0001022.pdf</t>
        </is>
      </c>
      <c r="B1985">
        <f>HYPERLINK("C:\Users\lmonroy\Tema\PLANILLAS\Boletas 1 - 15 Dic\AHUITE TARICUARIMA ARTEMIO  T0001022.pdf", "Link")</f>
        <v/>
      </c>
      <c r="C1985" t="n">
        <v>134251</v>
      </c>
      <c r="D1985" t="inlineStr">
        <is>
          <t>2024-03-27 10:28:16</t>
        </is>
      </c>
      <c r="E1985" t="inlineStr">
        <is>
          <t>2024-03-27 10:28:16</t>
        </is>
      </c>
      <c r="F1985" t="inlineStr">
        <is>
          <t>666</t>
        </is>
      </c>
    </row>
    <row r="1986">
      <c r="A1986" t="inlineStr">
        <is>
          <t>AJEICATE ARAHUATE CELSO  T0001023.pdf</t>
        </is>
      </c>
      <c r="B1986">
        <f>HYPERLINK("C:\Users\lmonroy\Tema\PLANILLAS\Boletas 1 - 15 Dic\AJEICATE ARAHUATE CELSO  T0001023.pdf", "Link")</f>
        <v/>
      </c>
      <c r="C1986" t="n">
        <v>134372</v>
      </c>
      <c r="D1986" t="inlineStr">
        <is>
          <t>2024-03-27 10:26:00</t>
        </is>
      </c>
      <c r="E1986" t="inlineStr">
        <is>
          <t>2024-03-27 10:26:00</t>
        </is>
      </c>
      <c r="F1986" t="inlineStr">
        <is>
          <t>666</t>
        </is>
      </c>
    </row>
    <row r="1987">
      <c r="A1987" t="inlineStr">
        <is>
          <t>AMARINGO NAVARRO GUNDER  T0001024.pdf</t>
        </is>
      </c>
      <c r="B1987">
        <f>HYPERLINK("C:\Users\lmonroy\Tema\PLANILLAS\Boletas 1 - 15 Dic\AMARINGO NAVARRO GUNDER  T0001024.pdf", "Link")</f>
        <v/>
      </c>
      <c r="C1987" t="n">
        <v>134292</v>
      </c>
      <c r="D1987" t="inlineStr">
        <is>
          <t>2024-03-27 10:28:28</t>
        </is>
      </c>
      <c r="E1987" t="inlineStr">
        <is>
          <t>2024-03-27 10:28:28</t>
        </is>
      </c>
      <c r="F1987" t="inlineStr">
        <is>
          <t>666</t>
        </is>
      </c>
    </row>
    <row r="1988">
      <c r="A1988" t="inlineStr">
        <is>
          <t>AMARINGO RUIZ LUIS WIDER T0001025.pdf</t>
        </is>
      </c>
      <c r="B1988">
        <f>HYPERLINK("C:\Users\lmonroy\Tema\PLANILLAS\Boletas 1 - 15 Dic\AMARINGO RUIZ LUIS WIDER T0001025.pdf", "Link")</f>
        <v/>
      </c>
      <c r="C1988" t="n">
        <v>134390</v>
      </c>
      <c r="D1988" t="inlineStr">
        <is>
          <t>2024-03-27 10:25:49</t>
        </is>
      </c>
      <c r="E1988" t="inlineStr">
        <is>
          <t>2024-03-27 10:25:49</t>
        </is>
      </c>
      <c r="F1988" t="inlineStr">
        <is>
          <t>666</t>
        </is>
      </c>
    </row>
    <row r="1989">
      <c r="A1989" t="inlineStr">
        <is>
          <t>AMARINGO VASQUEZ DIRSEO  T0001026.pdf</t>
        </is>
      </c>
      <c r="B1989">
        <f>HYPERLINK("C:\Users\lmonroy\Tema\PLANILLAS\Boletas 1 - 15 Dic\AMARINGO VASQUEZ DIRSEO  T0001026.pdf", "Link")</f>
        <v/>
      </c>
      <c r="C1989" t="n">
        <v>134377</v>
      </c>
      <c r="D1989" t="inlineStr">
        <is>
          <t>2024-03-27 10:28:41</t>
        </is>
      </c>
      <c r="E1989" t="inlineStr">
        <is>
          <t>2024-03-27 10:28:41</t>
        </is>
      </c>
      <c r="F1989" t="inlineStr">
        <is>
          <t>666</t>
        </is>
      </c>
    </row>
    <row r="1990">
      <c r="A1990" t="inlineStr">
        <is>
          <t>ANDRADE NUÑEZ ARTI LEO T0001456.pdf</t>
        </is>
      </c>
      <c r="B1990">
        <f>HYPERLINK("C:\Users\lmonroy\Tema\PLANILLAS\Boletas 1 - 15 Dic\ANDRADE NUÑEZ ARTI LEO T0001456.pdf", "Link")</f>
        <v/>
      </c>
      <c r="C1990" t="n">
        <v>134390</v>
      </c>
      <c r="D1990" t="inlineStr">
        <is>
          <t>2024-03-27 10:27:34</t>
        </is>
      </c>
      <c r="E1990" t="inlineStr">
        <is>
          <t>2024-03-27 10:27:34</t>
        </is>
      </c>
      <c r="F1990" t="inlineStr">
        <is>
          <t>666</t>
        </is>
      </c>
    </row>
    <row r="1991">
      <c r="A1991" t="inlineStr">
        <is>
          <t>APAGÜEÑO CURITIMA AVENAMAR  T0001389.pdf</t>
        </is>
      </c>
      <c r="B1991">
        <f>HYPERLINK("C:\Users\lmonroy\Tema\PLANILLAS\Boletas 1 - 15 Dic\APAGÜEÑO CURITIMA AVENAMAR  T0001389.pdf", "Link")</f>
        <v/>
      </c>
      <c r="C1991" t="n">
        <v>134267</v>
      </c>
      <c r="D1991" t="inlineStr">
        <is>
          <t>2024-03-27 10:27:48</t>
        </is>
      </c>
      <c r="E1991" t="inlineStr">
        <is>
          <t>2024-03-27 10:27:48</t>
        </is>
      </c>
      <c r="F1991" t="inlineStr">
        <is>
          <t>666</t>
        </is>
      </c>
    </row>
    <row r="1992">
      <c r="A1992" t="inlineStr">
        <is>
          <t>ARAHUATA AHUITE ARMANDO  T0001027.pdf</t>
        </is>
      </c>
      <c r="B1992">
        <f>HYPERLINK("C:\Users\lmonroy\Tema\PLANILLAS\Boletas 1 - 15 Dic\ARAHUATA AHUITE ARMANDO  T0001027.pdf", "Link")</f>
        <v/>
      </c>
      <c r="C1992" t="n">
        <v>134295</v>
      </c>
      <c r="D1992" t="inlineStr">
        <is>
          <t>2024-03-27 10:28:11</t>
        </is>
      </c>
      <c r="E1992" t="inlineStr">
        <is>
          <t>2024-03-27 10:28:11</t>
        </is>
      </c>
      <c r="F1992" t="inlineStr">
        <is>
          <t>666</t>
        </is>
      </c>
    </row>
    <row r="1993">
      <c r="A1993" t="inlineStr">
        <is>
          <t>ARAHUATA AHUITE JACOB  T0001028.pdf</t>
        </is>
      </c>
      <c r="B1993">
        <f>HYPERLINK("C:\Users\lmonroy\Tema\PLANILLAS\Boletas 1 - 15 Dic\ARAHUATA AHUITE JACOB  T0001028.pdf", "Link")</f>
        <v/>
      </c>
      <c r="C1993" t="n">
        <v>134388</v>
      </c>
      <c r="D1993" t="inlineStr">
        <is>
          <t>2024-03-27 10:27:31</t>
        </is>
      </c>
      <c r="E1993" t="inlineStr">
        <is>
          <t>2024-03-27 10:27:31</t>
        </is>
      </c>
      <c r="F1993" t="inlineStr">
        <is>
          <t>666</t>
        </is>
      </c>
    </row>
    <row r="1994">
      <c r="A1994" t="inlineStr">
        <is>
          <t>ARAHUATA AHUITE JUAN  T0001029.pdf</t>
        </is>
      </c>
      <c r="B1994">
        <f>HYPERLINK("C:\Users\lmonroy\Tema\PLANILLAS\Boletas 1 - 15 Dic\ARAHUATA AHUITE JUAN  T0001029.pdf", "Link")</f>
        <v/>
      </c>
      <c r="C1994" t="n">
        <v>134385</v>
      </c>
      <c r="D1994" t="inlineStr">
        <is>
          <t>2024-03-27 10:25:41</t>
        </is>
      </c>
      <c r="E1994" t="inlineStr">
        <is>
          <t>2024-03-27 10:25:41</t>
        </is>
      </c>
      <c r="F1994" t="inlineStr">
        <is>
          <t>666</t>
        </is>
      </c>
    </row>
    <row r="1995">
      <c r="A1995" t="inlineStr">
        <is>
          <t>ARAHUATA VELA ELIAS  T0001030.pdf</t>
        </is>
      </c>
      <c r="B1995">
        <f>HYPERLINK("C:\Users\lmonroy\Tema\PLANILLAS\Boletas 1 - 15 Dic\ARAHUATA VELA ELIAS  T0001030.pdf", "Link")</f>
        <v/>
      </c>
      <c r="C1995" t="n">
        <v>134293</v>
      </c>
      <c r="D1995" t="inlineStr">
        <is>
          <t>2024-03-27 10:26:58</t>
        </is>
      </c>
      <c r="E1995" t="inlineStr">
        <is>
          <t>2024-03-27 10:26:58</t>
        </is>
      </c>
      <c r="F1995" t="inlineStr">
        <is>
          <t>666</t>
        </is>
      </c>
    </row>
    <row r="1996">
      <c r="A1996" t="inlineStr">
        <is>
          <t>ARAHUATE AHUITE SALOMON  T0001031.pdf</t>
        </is>
      </c>
      <c r="B1996">
        <f>HYPERLINK("C:\Users\lmonroy\Tema\PLANILLAS\Boletas 1 - 15 Dic\ARAHUATE AHUITE SALOMON  T0001031.pdf", "Link")</f>
        <v/>
      </c>
      <c r="C1996" t="n">
        <v>134302</v>
      </c>
      <c r="D1996" t="inlineStr">
        <is>
          <t>2024-03-27 10:26:19</t>
        </is>
      </c>
      <c r="E1996" t="inlineStr">
        <is>
          <t>2024-03-27 10:26:19</t>
        </is>
      </c>
      <c r="F1996" t="inlineStr">
        <is>
          <t>666</t>
        </is>
      </c>
    </row>
    <row r="1997">
      <c r="A1997" t="inlineStr">
        <is>
          <t>ARAHUATE INUMA JOSE  T0001032.pdf</t>
        </is>
      </c>
      <c r="B1997">
        <f>HYPERLINK("C:\Users\lmonroy\Tema\PLANILLAS\Boletas 1 - 15 Dic\ARAHUATE INUMA JOSE  T0001032.pdf", "Link")</f>
        <v/>
      </c>
      <c r="C1997" t="n">
        <v>134294</v>
      </c>
      <c r="D1997" t="inlineStr">
        <is>
          <t>2024-03-27 10:26:40</t>
        </is>
      </c>
      <c r="E1997" t="inlineStr">
        <is>
          <t>2024-03-27 10:26:40</t>
        </is>
      </c>
      <c r="F1997" t="inlineStr">
        <is>
          <t>666</t>
        </is>
      </c>
    </row>
    <row r="1998">
      <c r="A1998" t="inlineStr">
        <is>
          <t>ARIMUYA MURAYARI RIDER T0001437.pdf</t>
        </is>
      </c>
      <c r="B1998">
        <f>HYPERLINK("C:\Users\lmonroy\Tema\PLANILLAS\Boletas 1 - 15 Dic\ARIMUYA MURAYARI RIDER T0001437.pdf", "Link")</f>
        <v/>
      </c>
      <c r="C1998" t="n">
        <v>134314</v>
      </c>
      <c r="D1998" t="inlineStr">
        <is>
          <t>2024-03-27 10:26:10</t>
        </is>
      </c>
      <c r="E1998" t="inlineStr">
        <is>
          <t>2024-03-27 10:26:10</t>
        </is>
      </c>
      <c r="F1998" t="inlineStr">
        <is>
          <t>666</t>
        </is>
      </c>
    </row>
    <row r="1999">
      <c r="A1999" t="inlineStr">
        <is>
          <t>ARIRAMA CANAQUIRI OCTAVIO T0001464.pdf</t>
        </is>
      </c>
      <c r="B1999">
        <f>HYPERLINK("C:\Users\lmonroy\Tema\PLANILLAS\Boletas 1 - 15 Dic\ARIRAMA CANAQUIRI OCTAVIO T0001464.pdf", "Link")</f>
        <v/>
      </c>
      <c r="C1999" t="n">
        <v>134295</v>
      </c>
      <c r="D1999" t="inlineStr">
        <is>
          <t>2024-03-27 10:28:09</t>
        </is>
      </c>
      <c r="E1999" t="inlineStr">
        <is>
          <t>2024-03-27 10:28:09</t>
        </is>
      </c>
      <c r="F1999" t="inlineStr">
        <is>
          <t>666</t>
        </is>
      </c>
    </row>
    <row r="2000">
      <c r="A2000" t="inlineStr">
        <is>
          <t>ARIRAMA DOÑE FRANCISCO JAVIER T0001033.pdf</t>
        </is>
      </c>
      <c r="B2000">
        <f>HYPERLINK("C:\Users\lmonroy\Tema\PLANILLAS\Boletas 1 - 15 Dic\ARIRAMA DOÑE FRANCISCO JAVIER T0001033.pdf", "Link")</f>
        <v/>
      </c>
      <c r="C2000" t="n">
        <v>134290</v>
      </c>
      <c r="D2000" t="inlineStr">
        <is>
          <t>2024-03-27 10:27:47</t>
        </is>
      </c>
      <c r="E2000" t="inlineStr">
        <is>
          <t>2024-03-27 10:27:47</t>
        </is>
      </c>
      <c r="F2000" t="inlineStr">
        <is>
          <t>666</t>
        </is>
      </c>
    </row>
    <row r="2001">
      <c r="A2001" t="inlineStr">
        <is>
          <t>ARIRAMA SANDI FELIX T0001440.pdf</t>
        </is>
      </c>
      <c r="B2001">
        <f>HYPERLINK("C:\Users\lmonroy\Tema\PLANILLAS\Boletas 1 - 15 Dic\ARIRAMA SANDI FELIX T0001440.pdf", "Link")</f>
        <v/>
      </c>
      <c r="C2001" t="n">
        <v>134382</v>
      </c>
      <c r="D2001" t="inlineStr">
        <is>
          <t>2024-03-27 10:26:20</t>
        </is>
      </c>
      <c r="E2001" t="inlineStr">
        <is>
          <t>2024-03-27 10:26:20</t>
        </is>
      </c>
      <c r="F2001" t="inlineStr">
        <is>
          <t>666</t>
        </is>
      </c>
    </row>
    <row r="2002">
      <c r="A2002" t="inlineStr">
        <is>
          <t>AYAMBO IJUMA FRANK DUX T0001035.pdf</t>
        </is>
      </c>
      <c r="B2002">
        <f>HYPERLINK("C:\Users\lmonroy\Tema\PLANILLAS\Boletas 1 - 15 Dic\AYAMBO IJUMA FRANK DUX T0001035.pdf", "Link")</f>
        <v/>
      </c>
      <c r="C2002" t="n">
        <v>134301</v>
      </c>
      <c r="D2002" t="inlineStr">
        <is>
          <t>2024-03-27 10:28:39</t>
        </is>
      </c>
      <c r="E2002" t="inlineStr">
        <is>
          <t>2024-03-27 10:28:39</t>
        </is>
      </c>
      <c r="F2002" t="inlineStr">
        <is>
          <t>666</t>
        </is>
      </c>
    </row>
    <row r="2003">
      <c r="A2003" t="inlineStr">
        <is>
          <t>AYAMBO IJUMA JARRY  T0001036.pdf</t>
        </is>
      </c>
      <c r="B2003">
        <f>HYPERLINK("C:\Users\lmonroy\Tema\PLANILLAS\Boletas 1 - 15 Dic\AYAMBO IJUMA JARRY  T0001036.pdf", "Link")</f>
        <v/>
      </c>
      <c r="C2003" t="n">
        <v>134396</v>
      </c>
      <c r="D2003" t="inlineStr">
        <is>
          <t>2024-03-27 10:26:32</t>
        </is>
      </c>
      <c r="E2003" t="inlineStr">
        <is>
          <t>2024-03-27 10:26:32</t>
        </is>
      </c>
      <c r="F2003" t="inlineStr">
        <is>
          <t>666</t>
        </is>
      </c>
    </row>
    <row r="2004">
      <c r="A2004" t="inlineStr">
        <is>
          <t>AYAMBO TORRES MANUEL  T0001037.pdf</t>
        </is>
      </c>
      <c r="B2004">
        <f>HYPERLINK("C:\Users\lmonroy\Tema\PLANILLAS\Boletas 1 - 15 Dic\AYAMBO TORRES MANUEL  T0001037.pdf", "Link")</f>
        <v/>
      </c>
      <c r="C2004" t="n">
        <v>134292</v>
      </c>
      <c r="D2004" t="inlineStr">
        <is>
          <t>2024-03-27 10:28:27</t>
        </is>
      </c>
      <c r="E2004" t="inlineStr">
        <is>
          <t>2024-03-27 10:28:27</t>
        </is>
      </c>
      <c r="F2004" t="inlineStr">
        <is>
          <t>666</t>
        </is>
      </c>
    </row>
    <row r="2005">
      <c r="A2005" t="inlineStr">
        <is>
          <t>BARDALES CLEMENTE  GILBERTO  T0001038.pdf</t>
        </is>
      </c>
      <c r="B2005">
        <f>HYPERLINK("C:\Users\lmonroy\Tema\PLANILLAS\Boletas 1 - 15 Dic\BARDALES CLEMENTE  GILBERTO  T0001038.pdf", "Link")</f>
        <v/>
      </c>
      <c r="C2005" t="n">
        <v>134274</v>
      </c>
      <c r="D2005" t="inlineStr">
        <is>
          <t>2024-03-27 10:28:47</t>
        </is>
      </c>
      <c r="E2005" t="inlineStr">
        <is>
          <t>2024-03-27 10:28:47</t>
        </is>
      </c>
      <c r="F2005" t="inlineStr">
        <is>
          <t>666</t>
        </is>
      </c>
    </row>
    <row r="2006">
      <c r="A2006" t="inlineStr">
        <is>
          <t>BARDALES MACUSI SEGUNDO  T0001039.pdf</t>
        </is>
      </c>
      <c r="B2006">
        <f>HYPERLINK("C:\Users\lmonroy\Tema\PLANILLAS\Boletas 1 - 15 Dic\BARDALES MACUSI SEGUNDO  T0001039.pdf", "Link")</f>
        <v/>
      </c>
      <c r="C2006" t="n">
        <v>134246</v>
      </c>
      <c r="D2006" t="inlineStr">
        <is>
          <t>2024-03-27 10:28:47</t>
        </is>
      </c>
      <c r="E2006" t="inlineStr">
        <is>
          <t>2024-03-27 10:28:47</t>
        </is>
      </c>
      <c r="F2006" t="inlineStr">
        <is>
          <t>666</t>
        </is>
      </c>
    </row>
    <row r="2007">
      <c r="A2007" t="inlineStr">
        <is>
          <t>BARDALES OJAICURO GERSON  T0001040.pdf</t>
        </is>
      </c>
      <c r="B2007">
        <f>HYPERLINK("C:\Users\lmonroy\Tema\PLANILLAS\Boletas 1 - 15 Dic\BARDALES OJAICURO GERSON  T0001040.pdf", "Link")</f>
        <v/>
      </c>
      <c r="C2007" t="n">
        <v>134280</v>
      </c>
      <c r="D2007" t="inlineStr">
        <is>
          <t>2024-03-27 10:28:48</t>
        </is>
      </c>
      <c r="E2007" t="inlineStr">
        <is>
          <t>2024-03-27 10:28:48</t>
        </is>
      </c>
      <c r="F2007" t="inlineStr">
        <is>
          <t>666</t>
        </is>
      </c>
    </row>
    <row r="2008">
      <c r="A2008" t="inlineStr">
        <is>
          <t>BARDALES PEREZ RISTER AROYO T0001041.pdf</t>
        </is>
      </c>
      <c r="B2008">
        <f>HYPERLINK("C:\Users\lmonroy\Tema\PLANILLAS\Boletas 1 - 15 Dic\BARDALES PEREZ RISTER AROYO T0001041.pdf", "Link")</f>
        <v/>
      </c>
      <c r="C2008" t="n">
        <v>134287</v>
      </c>
      <c r="D2008" t="inlineStr">
        <is>
          <t>2024-03-27 10:28:42</t>
        </is>
      </c>
      <c r="E2008" t="inlineStr">
        <is>
          <t>2024-03-27 10:28:42</t>
        </is>
      </c>
      <c r="F2008" t="inlineStr">
        <is>
          <t>666</t>
        </is>
      </c>
    </row>
    <row r="2009">
      <c r="A2009" t="inlineStr">
        <is>
          <t>BARDALES QUISTO JOSE VISALOTE T0001042.pdf</t>
        </is>
      </c>
      <c r="B2009">
        <f>HYPERLINK("C:\Users\lmonroy\Tema\PLANILLAS\Boletas 1 - 15 Dic\BARDALES QUISTO JOSE VISALOTE T0001042.pdf", "Link")</f>
        <v/>
      </c>
      <c r="C2009" t="n">
        <v>134351</v>
      </c>
      <c r="D2009" t="inlineStr">
        <is>
          <t>2024-03-27 10:28:49</t>
        </is>
      </c>
      <c r="E2009" t="inlineStr">
        <is>
          <t>2024-03-27 10:28:49</t>
        </is>
      </c>
      <c r="F2009" t="inlineStr">
        <is>
          <t>666</t>
        </is>
      </c>
    </row>
    <row r="2010">
      <c r="A2010" t="inlineStr">
        <is>
          <t>BARDALES RODRIGUEZ CLEISEN T0001447.pdf</t>
        </is>
      </c>
      <c r="B2010">
        <f>HYPERLINK("C:\Users\lmonroy\Tema\PLANILLAS\Boletas 1 - 15 Dic\BARDALES RODRIGUEZ CLEISEN T0001447.pdf", "Link")</f>
        <v/>
      </c>
      <c r="C2010" t="n">
        <v>134295</v>
      </c>
      <c r="D2010" t="inlineStr">
        <is>
          <t>2024-03-27 10:26:47</t>
        </is>
      </c>
      <c r="E2010" t="inlineStr">
        <is>
          <t>2024-03-27 10:26:47</t>
        </is>
      </c>
      <c r="F2010" t="inlineStr">
        <is>
          <t>666</t>
        </is>
      </c>
    </row>
    <row r="2011">
      <c r="A2011" t="inlineStr">
        <is>
          <t>BARDALES SANCHEZ BRALIN T0001442.pdf</t>
        </is>
      </c>
      <c r="B2011">
        <f>HYPERLINK("C:\Users\lmonroy\Tema\PLANILLAS\Boletas 1 - 15 Dic\BARDALES SANCHEZ BRALIN T0001442.pdf", "Link")</f>
        <v/>
      </c>
      <c r="C2011" t="n">
        <v>134382</v>
      </c>
      <c r="D2011" t="inlineStr">
        <is>
          <t>2024-03-27 10:26:31</t>
        </is>
      </c>
      <c r="E2011" t="inlineStr">
        <is>
          <t>2024-03-27 10:26:31</t>
        </is>
      </c>
      <c r="F2011" t="inlineStr">
        <is>
          <t>666</t>
        </is>
      </c>
    </row>
    <row r="2012">
      <c r="A2012" t="inlineStr">
        <is>
          <t>BARDALES SANCHEZ JACME JHORDAN T0001043.pdf</t>
        </is>
      </c>
      <c r="B2012">
        <f>HYPERLINK("C:\Users\lmonroy\Tema\PLANILLAS\Boletas 1 - 15 Dic\BARDALES SANCHEZ JACME JHORDAN T0001043.pdf", "Link")</f>
        <v/>
      </c>
      <c r="C2012" t="n">
        <v>134295</v>
      </c>
      <c r="D2012" t="inlineStr">
        <is>
          <t>2024-03-27 10:27:40</t>
        </is>
      </c>
      <c r="E2012" t="inlineStr">
        <is>
          <t>2024-03-27 10:27:40</t>
        </is>
      </c>
      <c r="F2012" t="inlineStr">
        <is>
          <t>666</t>
        </is>
      </c>
    </row>
    <row r="2013">
      <c r="A2013" t="inlineStr">
        <is>
          <t>CACERES BRENIS ESLANDER ALFREDO T0001044.pdf</t>
        </is>
      </c>
      <c r="B2013">
        <f>HYPERLINK("C:\Users\lmonroy\Tema\PLANILLAS\Boletas 1 - 15 Dic\CACERES BRENIS ESLANDER ALFREDO T0001044.pdf", "Link")</f>
        <v/>
      </c>
      <c r="C2013" t="n">
        <v>134276</v>
      </c>
      <c r="D2013" t="inlineStr">
        <is>
          <t>2024-03-27 10:27:37</t>
        </is>
      </c>
      <c r="E2013" t="inlineStr">
        <is>
          <t>2024-03-27 10:27:37</t>
        </is>
      </c>
      <c r="F2013" t="inlineStr">
        <is>
          <t>666</t>
        </is>
      </c>
    </row>
    <row r="2014">
      <c r="A2014" t="inlineStr">
        <is>
          <t>CACHIRICO JOGUISTA ROBERTO  T0001045.pdf</t>
        </is>
      </c>
      <c r="B2014">
        <f>HYPERLINK("C:\Users\lmonroy\Tema\PLANILLAS\Boletas 1 - 15 Dic\CACHIRICO JOGUISTA ROBERTO  T0001045.pdf", "Link")</f>
        <v/>
      </c>
      <c r="C2014" t="n">
        <v>134246</v>
      </c>
      <c r="D2014" t="inlineStr">
        <is>
          <t>2024-03-27 10:28:15</t>
        </is>
      </c>
      <c r="E2014" t="inlineStr">
        <is>
          <t>2024-03-27 10:28:15</t>
        </is>
      </c>
      <c r="F2014" t="inlineStr">
        <is>
          <t>666</t>
        </is>
      </c>
    </row>
    <row r="2015">
      <c r="A2015" t="inlineStr">
        <is>
          <t>CACHIRICO LOPEZ RONY T0001046.pdf</t>
        </is>
      </c>
      <c r="B2015">
        <f>HYPERLINK("C:\Users\lmonroy\Tema\PLANILLAS\Boletas 1 - 15 Dic\CACHIRICO LOPEZ RONY T0001046.pdf", "Link")</f>
        <v/>
      </c>
      <c r="C2015" t="n">
        <v>134350</v>
      </c>
      <c r="D2015" t="inlineStr">
        <is>
          <t>2024-03-27 10:28:50</t>
        </is>
      </c>
      <c r="E2015" t="inlineStr">
        <is>
          <t>2024-03-27 10:28:50</t>
        </is>
      </c>
      <c r="F2015" t="inlineStr">
        <is>
          <t>666</t>
        </is>
      </c>
    </row>
    <row r="2016">
      <c r="A2016" t="inlineStr">
        <is>
          <t>CAHUAZA IRARICA EXAR  T0001047.pdf</t>
        </is>
      </c>
      <c r="B2016">
        <f>HYPERLINK("C:\Users\lmonroy\Tema\PLANILLAS\Boletas 1 - 15 Dic\CAHUAZA IRARICA EXAR  T0001047.pdf", "Link")</f>
        <v/>
      </c>
      <c r="C2016" t="n">
        <v>134369</v>
      </c>
      <c r="D2016" t="inlineStr">
        <is>
          <t>2024-03-27 10:27:10</t>
        </is>
      </c>
      <c r="E2016" t="inlineStr">
        <is>
          <t>2024-03-27 10:27:10</t>
        </is>
      </c>
      <c r="F2016" t="inlineStr">
        <is>
          <t>666</t>
        </is>
      </c>
    </row>
    <row r="2017">
      <c r="A2017" t="inlineStr">
        <is>
          <t>CAHUAZA MURAYARI NIXON  T0001048.pdf</t>
        </is>
      </c>
      <c r="B2017">
        <f>HYPERLINK("C:\Users\lmonroy\Tema\PLANILLAS\Boletas 1 - 15 Dic\CAHUAZA MURAYARI NIXON  T0001048.pdf", "Link")</f>
        <v/>
      </c>
      <c r="C2017" t="n">
        <v>134387</v>
      </c>
      <c r="D2017" t="inlineStr">
        <is>
          <t>2024-03-27 10:26:09</t>
        </is>
      </c>
      <c r="E2017" t="inlineStr">
        <is>
          <t>2024-03-27 10:26:09</t>
        </is>
      </c>
      <c r="F2017" t="inlineStr">
        <is>
          <t>666</t>
        </is>
      </c>
    </row>
    <row r="2018">
      <c r="A2018" t="inlineStr">
        <is>
          <t>CARDENAS VALLES LUIS HOMERO T0001049.pdf</t>
        </is>
      </c>
      <c r="B2018">
        <f>HYPERLINK("C:\Users\lmonroy\Tema\PLANILLAS\Boletas 1 - 15 Dic\CARDENAS VALLES LUIS HOMERO T0001049.pdf", "Link")</f>
        <v/>
      </c>
      <c r="C2018" t="n">
        <v>134394</v>
      </c>
      <c r="D2018" t="inlineStr">
        <is>
          <t>2024-03-27 10:25:31</t>
        </is>
      </c>
      <c r="E2018" t="inlineStr">
        <is>
          <t>2024-03-27 10:25:30</t>
        </is>
      </c>
      <c r="F2018" t="inlineStr">
        <is>
          <t>666</t>
        </is>
      </c>
    </row>
    <row r="2019">
      <c r="A2019" t="inlineStr">
        <is>
          <t>CARIHUASAIRO CHARPENTIER CHRISTIAN CANY T0001050.pdf</t>
        </is>
      </c>
      <c r="B2019">
        <f>HYPERLINK("C:\Users\lmonroy\Tema\PLANILLAS\Boletas 1 - 15 Dic\CARIHUASAIRO CHARPENTIER CHRISTIAN CANY T0001050.pdf", "Link")</f>
        <v/>
      </c>
      <c r="C2019" t="n">
        <v>134401</v>
      </c>
      <c r="D2019" t="inlineStr">
        <is>
          <t>2024-03-27 10:27:15</t>
        </is>
      </c>
      <c r="E2019" t="inlineStr">
        <is>
          <t>2024-03-27 10:27:15</t>
        </is>
      </c>
      <c r="F2019" t="inlineStr">
        <is>
          <t>666</t>
        </is>
      </c>
    </row>
    <row r="2020">
      <c r="A2020" t="inlineStr">
        <is>
          <t>CARIHUASAIRO TARICUARIMA MOISES  T0001051.pdf</t>
        </is>
      </c>
      <c r="B2020">
        <f>HYPERLINK("C:\Users\lmonroy\Tema\PLANILLAS\Boletas 1 - 15 Dic\CARIHUASAIRO TARICUARIMA MOISES  T0001051.pdf", "Link")</f>
        <v/>
      </c>
      <c r="C2020" t="n">
        <v>134394</v>
      </c>
      <c r="D2020" t="inlineStr">
        <is>
          <t>2024-03-27 10:25:46</t>
        </is>
      </c>
      <c r="E2020" t="inlineStr">
        <is>
          <t>2024-03-27 10:25:46</t>
        </is>
      </c>
      <c r="F2020" t="inlineStr">
        <is>
          <t>666</t>
        </is>
      </c>
    </row>
    <row r="2021">
      <c r="A2021" t="inlineStr">
        <is>
          <t>CASTAÑON MACUSI ALEX  T0001052.pdf</t>
        </is>
      </c>
      <c r="B2021">
        <f>HYPERLINK("C:\Users\lmonroy\Tema\PLANILLAS\Boletas 1 - 15 Dic\CASTAÑON MACUSI ALEX  T0001052.pdf", "Link")</f>
        <v/>
      </c>
      <c r="C2021" t="n">
        <v>134267</v>
      </c>
      <c r="D2021" t="inlineStr">
        <is>
          <t>2024-03-27 10:28:51</t>
        </is>
      </c>
      <c r="E2021" t="inlineStr">
        <is>
          <t>2024-03-27 10:28:51</t>
        </is>
      </c>
      <c r="F2021" t="inlineStr">
        <is>
          <t>666</t>
        </is>
      </c>
    </row>
    <row r="2022">
      <c r="A2022" t="inlineStr">
        <is>
          <t>CASTAÑON MACUSI WILSON  T0001053.pdf</t>
        </is>
      </c>
      <c r="B2022">
        <f>HYPERLINK("C:\Users\lmonroy\Tema\PLANILLAS\Boletas 1 - 15 Dic\CASTAÑON MACUSI WILSON  T0001053.pdf", "Link")</f>
        <v/>
      </c>
      <c r="C2022" t="n">
        <v>134400</v>
      </c>
      <c r="D2022" t="inlineStr">
        <is>
          <t>2024-03-27 10:28:51</t>
        </is>
      </c>
      <c r="E2022" t="inlineStr">
        <is>
          <t>2024-03-27 10:28:51</t>
        </is>
      </c>
      <c r="F2022" t="inlineStr">
        <is>
          <t>666</t>
        </is>
      </c>
    </row>
    <row r="2023">
      <c r="A2023" t="inlineStr">
        <is>
          <t>CAYNAMARI MURAYARI RUSBEL ERIBERTO T0001054.pdf</t>
        </is>
      </c>
      <c r="B2023">
        <f>HYPERLINK("C:\Users\lmonroy\Tema\PLANILLAS\Boletas 1 - 15 Dic\CAYNAMARI MURAYARI RUSBEL ERIBERTO T0001054.pdf", "Link")</f>
        <v/>
      </c>
      <c r="C2023" t="n">
        <v>134301</v>
      </c>
      <c r="D2023" t="inlineStr">
        <is>
          <t>2024-03-27 10:26:37</t>
        </is>
      </c>
      <c r="E2023" t="inlineStr">
        <is>
          <t>2024-03-27 10:26:37</t>
        </is>
      </c>
      <c r="F2023" t="inlineStr">
        <is>
          <t>666</t>
        </is>
      </c>
    </row>
    <row r="2024">
      <c r="A2024" t="inlineStr">
        <is>
          <t>CHARPENTIER MURAYARI REIMER T0001444.pdf</t>
        </is>
      </c>
      <c r="B2024">
        <f>HYPERLINK("C:\Users\lmonroy\Tema\PLANILLAS\Boletas 1 - 15 Dic\CHARPENTIER MURAYARI REIMER T0001444.pdf", "Link")</f>
        <v/>
      </c>
      <c r="C2024" t="n">
        <v>134300</v>
      </c>
      <c r="D2024" t="inlineStr">
        <is>
          <t>2024-03-27 10:26:33</t>
        </is>
      </c>
      <c r="E2024" t="inlineStr">
        <is>
          <t>2024-03-27 10:26:33</t>
        </is>
      </c>
      <c r="F2024" t="inlineStr">
        <is>
          <t>666</t>
        </is>
      </c>
    </row>
    <row r="2025">
      <c r="A2025" t="inlineStr">
        <is>
          <t>CHARPENTIER ZAIRO JORGE T0001373.pdf</t>
        </is>
      </c>
      <c r="B2025">
        <f>HYPERLINK("C:\Users\lmonroy\Tema\PLANILLAS\Boletas 1 - 15 Dic\CHARPENTIER ZAIRO JORGE T0001373.pdf", "Link")</f>
        <v/>
      </c>
      <c r="C2025" t="n">
        <v>134367</v>
      </c>
      <c r="D2025" t="inlineStr">
        <is>
          <t>2024-03-27 10:31:00</t>
        </is>
      </c>
      <c r="E2025" t="inlineStr">
        <is>
          <t>2024-03-27 10:31:00</t>
        </is>
      </c>
      <c r="F2025" t="inlineStr">
        <is>
          <t>666</t>
        </is>
      </c>
    </row>
    <row r="2026">
      <c r="A2026" t="inlineStr">
        <is>
          <t>CHAVEZ TECO SEGUNDO TEOBALDO T0001055.pdf</t>
        </is>
      </c>
      <c r="B2026">
        <f>HYPERLINK("C:\Users\lmonroy\Tema\PLANILLAS\Boletas 1 - 15 Dic\CHAVEZ TECO SEGUNDO TEOBALDO T0001055.pdf", "Link")</f>
        <v/>
      </c>
      <c r="C2026" t="n">
        <v>134373</v>
      </c>
      <c r="D2026" t="inlineStr">
        <is>
          <t>2024-03-27 10:28:52</t>
        </is>
      </c>
      <c r="E2026" t="inlineStr">
        <is>
          <t>2024-03-27 10:28:52</t>
        </is>
      </c>
      <c r="F2026" t="inlineStr">
        <is>
          <t>666</t>
        </is>
      </c>
    </row>
    <row r="2027">
      <c r="A2027" t="inlineStr">
        <is>
          <t>CHAVEZ VIENA FRANK JOEL T0001056.pdf</t>
        </is>
      </c>
      <c r="B2027">
        <f>HYPERLINK("C:\Users\lmonroy\Tema\PLANILLAS\Boletas 1 - 15 Dic\CHAVEZ VIENA FRANK JOEL T0001056.pdf", "Link")</f>
        <v/>
      </c>
      <c r="C2027" t="n">
        <v>134281</v>
      </c>
      <c r="D2027" t="inlineStr">
        <is>
          <t>2024-03-27 10:28:53</t>
        </is>
      </c>
      <c r="E2027" t="inlineStr">
        <is>
          <t>2024-03-27 10:28:53</t>
        </is>
      </c>
      <c r="F2027" t="inlineStr">
        <is>
          <t>666</t>
        </is>
      </c>
    </row>
    <row r="2028">
      <c r="A2028" t="inlineStr">
        <is>
          <t>CHOTA HUALINGA JOSE  T0001439.pdf</t>
        </is>
      </c>
      <c r="B2028">
        <f>HYPERLINK("C:\Users\lmonroy\Tema\PLANILLAS\Boletas 1 - 15 Dic\CHOTA HUALINGA JOSE  T0001439.pdf", "Link")</f>
        <v/>
      </c>
      <c r="C2028" t="n">
        <v>134287</v>
      </c>
      <c r="D2028" t="inlineStr">
        <is>
          <t>2024-03-27 10:26:16</t>
        </is>
      </c>
      <c r="E2028" t="inlineStr">
        <is>
          <t>2024-03-27 10:26:16</t>
        </is>
      </c>
      <c r="F2028" t="inlineStr">
        <is>
          <t>666</t>
        </is>
      </c>
    </row>
    <row r="2029">
      <c r="A2029" t="inlineStr">
        <is>
          <t>CHOTA NURIBE RICARDO T0001432.pdf</t>
        </is>
      </c>
      <c r="B2029">
        <f>HYPERLINK("C:\Users\lmonroy\Tema\PLANILLAS\Boletas 1 - 15 Dic\CHOTA NURIBE RICARDO T0001432.pdf", "Link")</f>
        <v/>
      </c>
      <c r="C2029" t="n">
        <v>134287</v>
      </c>
      <c r="D2029" t="inlineStr">
        <is>
          <t>2024-03-27 10:25:45</t>
        </is>
      </c>
      <c r="E2029" t="inlineStr">
        <is>
          <t>2024-03-27 10:25:45</t>
        </is>
      </c>
      <c r="F2029" t="inlineStr">
        <is>
          <t>666</t>
        </is>
      </c>
    </row>
    <row r="2030">
      <c r="A2030" t="inlineStr">
        <is>
          <t>CHOTA NURIBE SEGUNDO JOSE  T0001441.pdf</t>
        </is>
      </c>
      <c r="B2030">
        <f>HYPERLINK("C:\Users\lmonroy\Tema\PLANILLAS\Boletas 1 - 15 Dic\CHOTA NURIBE SEGUNDO JOSE  T0001441.pdf", "Link")</f>
        <v/>
      </c>
      <c r="C2030" t="n">
        <v>134388</v>
      </c>
      <c r="D2030" t="inlineStr">
        <is>
          <t>2024-03-27 10:26:22</t>
        </is>
      </c>
      <c r="E2030" t="inlineStr">
        <is>
          <t>2024-03-27 10:26:22</t>
        </is>
      </c>
      <c r="F2030" t="inlineStr">
        <is>
          <t>666</t>
        </is>
      </c>
    </row>
    <row r="2031">
      <c r="A2031" t="inlineStr">
        <is>
          <t>CHUMBE SABOYA VICTOR  T0001058.pdf</t>
        </is>
      </c>
      <c r="B2031">
        <f>HYPERLINK("C:\Users\lmonroy\Tema\PLANILLAS\Boletas 1 - 15 Dic\CHUMBE SABOYA VICTOR  T0001058.pdf", "Link")</f>
        <v/>
      </c>
      <c r="C2031" t="n">
        <v>134388</v>
      </c>
      <c r="D2031" t="inlineStr">
        <is>
          <t>2024-03-27 10:27:59</t>
        </is>
      </c>
      <c r="E2031" t="inlineStr">
        <is>
          <t>2024-03-27 10:27:59</t>
        </is>
      </c>
      <c r="F2031" t="inlineStr">
        <is>
          <t>666</t>
        </is>
      </c>
    </row>
    <row r="2032">
      <c r="A2032" t="inlineStr">
        <is>
          <t>CLEMENTE SANGAMA MANUEL  T0001059.pdf</t>
        </is>
      </c>
      <c r="B2032">
        <f>HYPERLINK("C:\Users\lmonroy\Tema\PLANILLAS\Boletas 1 - 15 Dic\CLEMENTE SANGAMA MANUEL  T0001059.pdf", "Link")</f>
        <v/>
      </c>
      <c r="C2032" t="n">
        <v>134271</v>
      </c>
      <c r="D2032" t="inlineStr">
        <is>
          <t>2024-03-27 10:26:01</t>
        </is>
      </c>
      <c r="E2032" t="inlineStr">
        <is>
          <t>2024-03-27 10:26:01</t>
        </is>
      </c>
      <c r="F2032" t="inlineStr">
        <is>
          <t>666</t>
        </is>
      </c>
    </row>
    <row r="2033">
      <c r="A2033" t="inlineStr">
        <is>
          <t>CLEMENTE TARICUARIMA JOSE  T0001060.pdf</t>
        </is>
      </c>
      <c r="B2033">
        <f>HYPERLINK("C:\Users\lmonroy\Tema\PLANILLAS\Boletas 1 - 15 Dic\CLEMENTE TARICUARIMA JOSE  T0001060.pdf", "Link")</f>
        <v/>
      </c>
      <c r="C2033" t="n">
        <v>134292</v>
      </c>
      <c r="D2033" t="inlineStr">
        <is>
          <t>2024-03-27 10:28:54</t>
        </is>
      </c>
      <c r="E2033" t="inlineStr">
        <is>
          <t>2024-03-27 10:28:54</t>
        </is>
      </c>
      <c r="F2033" t="inlineStr">
        <is>
          <t>666</t>
        </is>
      </c>
    </row>
    <row r="2034">
      <c r="A2034" t="inlineStr">
        <is>
          <t>CLEMENTE TARICUARIMA MANUEL  T0001061.pdf</t>
        </is>
      </c>
      <c r="B2034">
        <f>HYPERLINK("C:\Users\lmonroy\Tema\PLANILLAS\Boletas 1 - 15 Dic\CLEMENTE TARICUARIMA MANUEL  T0001061.pdf", "Link")</f>
        <v/>
      </c>
      <c r="C2034" t="n">
        <v>134297</v>
      </c>
      <c r="D2034" t="inlineStr">
        <is>
          <t>2024-03-27 10:28:55</t>
        </is>
      </c>
      <c r="E2034" t="inlineStr">
        <is>
          <t>2024-03-27 10:28:55</t>
        </is>
      </c>
      <c r="F2034" t="inlineStr">
        <is>
          <t>666</t>
        </is>
      </c>
    </row>
    <row r="2035">
      <c r="A2035" t="inlineStr">
        <is>
          <t>COHELO JAVA CELSO  T0001062.pdf</t>
        </is>
      </c>
      <c r="B2035">
        <f>HYPERLINK("C:\Users\lmonroy\Tema\PLANILLAS\Boletas 1 - 15 Dic\COHELO JAVA CELSO  T0001062.pdf", "Link")</f>
        <v/>
      </c>
      <c r="C2035" t="n">
        <v>134275</v>
      </c>
      <c r="D2035" t="inlineStr">
        <is>
          <t>2024-03-27 10:25:49</t>
        </is>
      </c>
      <c r="E2035" t="inlineStr">
        <is>
          <t>2024-03-27 10:25:49</t>
        </is>
      </c>
      <c r="F2035" t="inlineStr">
        <is>
          <t>666</t>
        </is>
      </c>
    </row>
    <row r="2036">
      <c r="A2036" t="inlineStr">
        <is>
          <t>CUACHI MANUYAMA ELVIS  T0001063.pdf</t>
        </is>
      </c>
      <c r="B2036">
        <f>HYPERLINK("C:\Users\lmonroy\Tema\PLANILLAS\Boletas 1 - 15 Dic\CUACHI MANUYAMA ELVIS  T0001063.pdf", "Link")</f>
        <v/>
      </c>
      <c r="C2036" t="n">
        <v>134294</v>
      </c>
      <c r="D2036" t="inlineStr">
        <is>
          <t>2024-03-27 10:28:06</t>
        </is>
      </c>
      <c r="E2036" t="inlineStr">
        <is>
          <t>2024-03-27 10:28:06</t>
        </is>
      </c>
      <c r="F2036" t="inlineStr">
        <is>
          <t>666</t>
        </is>
      </c>
    </row>
    <row r="2037">
      <c r="A2037" t="inlineStr">
        <is>
          <t>CUNAYA OJEICATE RIGOBERTO T0001452.pdf</t>
        </is>
      </c>
      <c r="B2037">
        <f>HYPERLINK("C:\Users\lmonroy\Tema\PLANILLAS\Boletas 1 - 15 Dic\CUNAYA OJEICATE RIGOBERTO T0001452.pdf", "Link")</f>
        <v/>
      </c>
      <c r="C2037" t="n">
        <v>134300</v>
      </c>
      <c r="D2037" t="inlineStr">
        <is>
          <t>2024-03-27 10:27:18</t>
        </is>
      </c>
      <c r="E2037" t="inlineStr">
        <is>
          <t>2024-03-27 10:27:18</t>
        </is>
      </c>
      <c r="F2037" t="inlineStr">
        <is>
          <t>666</t>
        </is>
      </c>
    </row>
    <row r="2038">
      <c r="A2038" t="inlineStr">
        <is>
          <t>CURI MURAYARI HILDEBRANDO T0001469.pdf</t>
        </is>
      </c>
      <c r="B2038">
        <f>HYPERLINK("C:\Users\lmonroy\Tema\PLANILLAS\Boletas 1 - 15 Dic\CURI MURAYARI HILDEBRANDO T0001469.pdf", "Link")</f>
        <v/>
      </c>
      <c r="C2038" t="n">
        <v>134297</v>
      </c>
      <c r="D2038" t="inlineStr">
        <is>
          <t>2024-03-27 10:28:22</t>
        </is>
      </c>
      <c r="E2038" t="inlineStr">
        <is>
          <t>2024-03-27 10:28:22</t>
        </is>
      </c>
      <c r="F2038" t="inlineStr">
        <is>
          <t>666</t>
        </is>
      </c>
    </row>
    <row r="2039">
      <c r="A2039" t="inlineStr">
        <is>
          <t>CURITIMA IRARICA EDGAR T0001445.pdf</t>
        </is>
      </c>
      <c r="B2039">
        <f>HYPERLINK("C:\Users\lmonroy\Tema\PLANILLAS\Boletas 1 - 15 Dic\CURITIMA IRARICA EDGAR T0001445.pdf", "Link")</f>
        <v/>
      </c>
      <c r="C2039" t="n">
        <v>134292</v>
      </c>
      <c r="D2039" t="inlineStr">
        <is>
          <t>2024-03-27 10:26:40</t>
        </is>
      </c>
      <c r="E2039" t="inlineStr">
        <is>
          <t>2024-03-27 10:26:39</t>
        </is>
      </c>
      <c r="F2039" t="inlineStr">
        <is>
          <t>666</t>
        </is>
      </c>
    </row>
    <row r="2040">
      <c r="A2040" t="inlineStr">
        <is>
          <t>CURITIMA PALMERA JERRI  T0001064.pdf</t>
        </is>
      </c>
      <c r="B2040">
        <f>HYPERLINK("C:\Users\lmonroy\Tema\PLANILLAS\Boletas 1 - 15 Dic\CURITIMA PALMERA JERRI  T0001064.pdf", "Link")</f>
        <v/>
      </c>
      <c r="C2040" t="n">
        <v>134366</v>
      </c>
      <c r="D2040" t="inlineStr">
        <is>
          <t>2024-03-27 10:27:55</t>
        </is>
      </c>
      <c r="E2040" t="inlineStr">
        <is>
          <t>2024-03-27 10:27:55</t>
        </is>
      </c>
      <c r="F2040" t="inlineStr">
        <is>
          <t>666</t>
        </is>
      </c>
    </row>
    <row r="2041">
      <c r="A2041" t="inlineStr">
        <is>
          <t>CURITIMA PUYO AILBER  T0001065.pdf</t>
        </is>
      </c>
      <c r="B2041">
        <f>HYPERLINK("C:\Users\lmonroy\Tema\PLANILLAS\Boletas 1 - 15 Dic\CURITIMA PUYO AILBER  T0001065.pdf", "Link")</f>
        <v/>
      </c>
      <c r="C2041" t="n">
        <v>134287</v>
      </c>
      <c r="D2041" t="inlineStr">
        <is>
          <t>2024-03-27 10:28:32</t>
        </is>
      </c>
      <c r="E2041" t="inlineStr">
        <is>
          <t>2024-03-27 10:28:32</t>
        </is>
      </c>
      <c r="F2041" t="inlineStr">
        <is>
          <t>666</t>
        </is>
      </c>
    </row>
    <row r="2042">
      <c r="A2042" t="inlineStr">
        <is>
          <t>DAHUA PINEDO MAURO  T0001066.pdf</t>
        </is>
      </c>
      <c r="B2042">
        <f>HYPERLINK("C:\Users\lmonroy\Tema\PLANILLAS\Boletas 1 - 15 Dic\DAHUA PINEDO MAURO  T0001066.pdf", "Link")</f>
        <v/>
      </c>
      <c r="C2042" t="n">
        <v>134384</v>
      </c>
      <c r="D2042" t="inlineStr">
        <is>
          <t>2024-03-27 10:28:56</t>
        </is>
      </c>
      <c r="E2042" t="inlineStr">
        <is>
          <t>2024-03-27 10:28:56</t>
        </is>
      </c>
      <c r="F2042" t="inlineStr">
        <is>
          <t>666</t>
        </is>
      </c>
    </row>
    <row r="2043">
      <c r="A2043" t="inlineStr">
        <is>
          <t>DASILVA TORRES DANNY DANIEL T0001067.pdf</t>
        </is>
      </c>
      <c r="B2043">
        <f>HYPERLINK("C:\Users\lmonroy\Tema\PLANILLAS\Boletas 1 - 15 Dic\DASILVA TORRES DANNY DANIEL T0001067.pdf", "Link")</f>
        <v/>
      </c>
      <c r="C2043" t="n">
        <v>134279</v>
      </c>
      <c r="D2043" t="inlineStr">
        <is>
          <t>2024-03-27 10:26:48</t>
        </is>
      </c>
      <c r="E2043" t="inlineStr">
        <is>
          <t>2024-03-27 10:26:48</t>
        </is>
      </c>
      <c r="F2043" t="inlineStr">
        <is>
          <t>666</t>
        </is>
      </c>
    </row>
    <row r="2044">
      <c r="A2044" t="inlineStr">
        <is>
          <t>DORADO CASTRO RAFAEL  T0001457.pdf</t>
        </is>
      </c>
      <c r="B2044">
        <f>HYPERLINK("C:\Users\lmonroy\Tema\PLANILLAS\Boletas 1 - 15 Dic\DORADO CASTRO RAFAEL  T0001457.pdf", "Link")</f>
        <v/>
      </c>
      <c r="C2044" t="n">
        <v>134290</v>
      </c>
      <c r="D2044" t="inlineStr">
        <is>
          <t>2024-03-27 10:27:36</t>
        </is>
      </c>
      <c r="E2044" t="inlineStr">
        <is>
          <t>2024-03-27 10:27:36</t>
        </is>
      </c>
      <c r="F2044" t="inlineStr">
        <is>
          <t>666</t>
        </is>
      </c>
    </row>
    <row r="2045">
      <c r="A2045" t="inlineStr">
        <is>
          <t>DURAN CURITIMA HILTER T0001471.pdf</t>
        </is>
      </c>
      <c r="B2045">
        <f>HYPERLINK("C:\Users\lmonroy\Tema\PLANILLAS\Boletas 1 - 15 Dic\DURAN CURITIMA HILTER T0001471.pdf", "Link")</f>
        <v/>
      </c>
      <c r="C2045" t="n">
        <v>134379</v>
      </c>
      <c r="D2045" t="inlineStr">
        <is>
          <t>2024-03-27 10:28:38</t>
        </is>
      </c>
      <c r="E2045" t="inlineStr">
        <is>
          <t>2024-03-27 10:28:38</t>
        </is>
      </c>
      <c r="F2045" t="inlineStr">
        <is>
          <t>666</t>
        </is>
      </c>
    </row>
    <row r="2046">
      <c r="A2046" t="inlineStr">
        <is>
          <t>FATAMA HIDALGO AQUILES  T0001068.pdf</t>
        </is>
      </c>
      <c r="B2046">
        <f>HYPERLINK("C:\Users\lmonroy\Tema\PLANILLAS\Boletas 1 - 15 Dic\FATAMA HIDALGO AQUILES  T0001068.pdf", "Link")</f>
        <v/>
      </c>
      <c r="C2046" t="n">
        <v>134268</v>
      </c>
      <c r="D2046" t="inlineStr">
        <is>
          <t>2024-03-27 10:26:47</t>
        </is>
      </c>
      <c r="E2046" t="inlineStr">
        <is>
          <t>2024-03-27 10:26:47</t>
        </is>
      </c>
      <c r="F2046" t="inlineStr">
        <is>
          <t>666</t>
        </is>
      </c>
    </row>
    <row r="2047">
      <c r="A2047" t="inlineStr">
        <is>
          <t>FATAMA HIDALGO LEANDRO  T0001069.pdf</t>
        </is>
      </c>
      <c r="B2047">
        <f>HYPERLINK("C:\Users\lmonroy\Tema\PLANILLAS\Boletas 1 - 15 Dic\FATAMA HIDALGO LEANDRO  T0001069.pdf", "Link")</f>
        <v/>
      </c>
      <c r="C2047" t="n">
        <v>134280</v>
      </c>
      <c r="D2047" t="inlineStr">
        <is>
          <t>2024-03-27 10:28:14</t>
        </is>
      </c>
      <c r="E2047" t="inlineStr">
        <is>
          <t>2024-03-27 10:28:14</t>
        </is>
      </c>
      <c r="F2047" t="inlineStr">
        <is>
          <t>666</t>
        </is>
      </c>
    </row>
    <row r="2048">
      <c r="A2048" t="inlineStr">
        <is>
          <t>FLORES PEREA ALEXANDER  T0001070.pdf</t>
        </is>
      </c>
      <c r="B2048">
        <f>HYPERLINK("C:\Users\lmonroy\Tema\PLANILLAS\Boletas 1 - 15 Dic\FLORES PEREA ALEXANDER  T0001070.pdf", "Link")</f>
        <v/>
      </c>
      <c r="C2048" t="n">
        <v>134381</v>
      </c>
      <c r="D2048" t="inlineStr">
        <is>
          <t>2024-03-27 10:27:14</t>
        </is>
      </c>
      <c r="E2048" t="inlineStr">
        <is>
          <t>2024-03-27 10:27:14</t>
        </is>
      </c>
      <c r="F2048" t="inlineStr">
        <is>
          <t>666</t>
        </is>
      </c>
    </row>
    <row r="2049">
      <c r="A2049" t="inlineStr">
        <is>
          <t>FLORES PEREA EXIDIO  T0001071.pdf</t>
        </is>
      </c>
      <c r="B2049">
        <f>HYPERLINK("C:\Users\lmonroy\Tema\PLANILLAS\Boletas 1 - 15 Dic\FLORES PEREA EXIDIO  T0001071.pdf", "Link")</f>
        <v/>
      </c>
      <c r="C2049" t="n">
        <v>134380</v>
      </c>
      <c r="D2049" t="inlineStr">
        <is>
          <t>2024-03-27 10:27:51</t>
        </is>
      </c>
      <c r="E2049" t="inlineStr">
        <is>
          <t>2024-03-27 10:27:51</t>
        </is>
      </c>
      <c r="F2049" t="inlineStr">
        <is>
          <t>666</t>
        </is>
      </c>
    </row>
    <row r="2050">
      <c r="A2050" t="inlineStr">
        <is>
          <t>FLORES PEREZ MARCELO  T0001072.pdf</t>
        </is>
      </c>
      <c r="B2050">
        <f>HYPERLINK("C:\Users\lmonroy\Tema\PLANILLAS\Boletas 1 - 15 Dic\FLORES PEREZ MARCELO  T0001072.pdf", "Link")</f>
        <v/>
      </c>
      <c r="C2050" t="n">
        <v>134282</v>
      </c>
      <c r="D2050" t="inlineStr">
        <is>
          <t>2024-03-27 10:26:07</t>
        </is>
      </c>
      <c r="E2050" t="inlineStr">
        <is>
          <t>2024-03-27 10:26:07</t>
        </is>
      </c>
      <c r="F2050" t="inlineStr">
        <is>
          <t>666</t>
        </is>
      </c>
    </row>
    <row r="2051">
      <c r="A2051" t="inlineStr">
        <is>
          <t>FUGUISTA MACUSI MANUEL  T0001073.pdf</t>
        </is>
      </c>
      <c r="B2051">
        <f>HYPERLINK("C:\Users\lmonroy\Tema\PLANILLAS\Boletas 1 - 15 Dic\FUGUISTA MACUSI MANUEL  T0001073.pdf", "Link")</f>
        <v/>
      </c>
      <c r="C2051" t="n">
        <v>134388</v>
      </c>
      <c r="D2051" t="inlineStr">
        <is>
          <t>2024-03-27 10:28:56</t>
        </is>
      </c>
      <c r="E2051" t="inlineStr">
        <is>
          <t>2024-03-27 10:28:56</t>
        </is>
      </c>
      <c r="F2051" t="inlineStr">
        <is>
          <t>666</t>
        </is>
      </c>
    </row>
    <row r="2052">
      <c r="A2052" t="inlineStr">
        <is>
          <t>FUGUISTA MACUSI MIGUEL  T0001074.pdf</t>
        </is>
      </c>
      <c r="B2052">
        <f>HYPERLINK("C:\Users\lmonroy\Tema\PLANILLAS\Boletas 1 - 15 Dic\FUGUISTA MACUSI MIGUEL  T0001074.pdf", "Link")</f>
        <v/>
      </c>
      <c r="C2052" t="n">
        <v>134388</v>
      </c>
      <c r="D2052" t="inlineStr">
        <is>
          <t>2024-03-27 10:28:57</t>
        </is>
      </c>
      <c r="E2052" t="inlineStr">
        <is>
          <t>2024-03-27 10:28:57</t>
        </is>
      </c>
      <c r="F2052" t="inlineStr">
        <is>
          <t>666</t>
        </is>
      </c>
    </row>
    <row r="2053">
      <c r="A2053" t="inlineStr">
        <is>
          <t>FUMACHI PIZANGO ERMENEGILDO T0001433.pdf</t>
        </is>
      </c>
      <c r="B2053">
        <f>HYPERLINK("C:\Users\lmonroy\Tema\PLANILLAS\Boletas 1 - 15 Dic\FUMACHI PIZANGO ERMENEGILDO T0001433.pdf", "Link")</f>
        <v/>
      </c>
      <c r="C2053" t="n">
        <v>134329</v>
      </c>
      <c r="D2053" t="inlineStr">
        <is>
          <t>2024-03-27 10:25:47</t>
        </is>
      </c>
      <c r="E2053" t="inlineStr">
        <is>
          <t>2024-03-27 10:25:47</t>
        </is>
      </c>
      <c r="F2053" t="inlineStr">
        <is>
          <t>666</t>
        </is>
      </c>
    </row>
    <row r="2054">
      <c r="A2054" t="inlineStr">
        <is>
          <t>GARCIA RAMIREZ RUSBEL  T0001075.pdf</t>
        </is>
      </c>
      <c r="B2054">
        <f>HYPERLINK("C:\Users\lmonroy\Tema\PLANILLAS\Boletas 1 - 15 Dic\GARCIA RAMIREZ RUSBEL  T0001075.pdf", "Link")</f>
        <v/>
      </c>
      <c r="C2054" t="n">
        <v>134388</v>
      </c>
      <c r="D2054" t="inlineStr">
        <is>
          <t>2024-03-27 10:28:58</t>
        </is>
      </c>
      <c r="E2054" t="inlineStr">
        <is>
          <t>2024-03-27 10:28:58</t>
        </is>
      </c>
      <c r="F2054" t="inlineStr">
        <is>
          <t>666</t>
        </is>
      </c>
    </row>
    <row r="2055">
      <c r="A2055" t="inlineStr">
        <is>
          <t>GARCIA REYNA LIZANDRO  T0001076.pdf</t>
        </is>
      </c>
      <c r="B2055">
        <f>HYPERLINK("C:\Users\lmonroy\Tema\PLANILLAS\Boletas 1 - 15 Dic\GARCIA REYNA LIZANDRO  T0001076.pdf", "Link")</f>
        <v/>
      </c>
      <c r="C2055" t="n">
        <v>134266</v>
      </c>
      <c r="D2055" t="inlineStr">
        <is>
          <t>2024-03-27 10:28:29</t>
        </is>
      </c>
      <c r="E2055" t="inlineStr">
        <is>
          <t>2024-03-27 10:28:29</t>
        </is>
      </c>
      <c r="F2055" t="inlineStr">
        <is>
          <t>666</t>
        </is>
      </c>
    </row>
    <row r="2056">
      <c r="A2056" t="inlineStr">
        <is>
          <t>GARCIA ROJAS CARLOS WELLINGTON T0001077.pdf</t>
        </is>
      </c>
      <c r="B2056">
        <f>HYPERLINK("C:\Users\lmonroy\Tema\PLANILLAS\Boletas 1 - 15 Dic\GARCIA ROJAS CARLOS WELLINGTON T0001077.pdf", "Link")</f>
        <v/>
      </c>
      <c r="C2056" t="n">
        <v>134398</v>
      </c>
      <c r="D2056" t="inlineStr">
        <is>
          <t>2024-03-27 10:25:32</t>
        </is>
      </c>
      <c r="E2056" t="inlineStr">
        <is>
          <t>2024-03-27 10:25:32</t>
        </is>
      </c>
      <c r="F2056" t="inlineStr">
        <is>
          <t>666</t>
        </is>
      </c>
    </row>
    <row r="2057">
      <c r="A2057" t="inlineStr">
        <is>
          <t>GARCIA YUIMACHI JAYLER  T0001078.pdf</t>
        </is>
      </c>
      <c r="B2057">
        <f>HYPERLINK("C:\Users\lmonroy\Tema\PLANILLAS\Boletas 1 - 15 Dic\GARCIA YUIMACHI JAYLER  T0001078.pdf", "Link")</f>
        <v/>
      </c>
      <c r="C2057" t="n">
        <v>134292</v>
      </c>
      <c r="D2057" t="inlineStr">
        <is>
          <t>2024-03-27 10:28:59</t>
        </is>
      </c>
      <c r="E2057" t="inlineStr">
        <is>
          <t>2024-03-27 10:28:59</t>
        </is>
      </c>
      <c r="F2057" t="inlineStr">
        <is>
          <t>666</t>
        </is>
      </c>
    </row>
    <row r="2058">
      <c r="A2058" t="inlineStr">
        <is>
          <t>GARCIA YUIMACHI ROYER  T0001079.pdf</t>
        </is>
      </c>
      <c r="B2058">
        <f>HYPERLINK("C:\Users\lmonroy\Tema\PLANILLAS\Boletas 1 - 15 Dic\GARCIA YUIMACHI ROYER  T0001079.pdf", "Link")</f>
        <v/>
      </c>
      <c r="C2058" t="n">
        <v>134365</v>
      </c>
      <c r="D2058" t="inlineStr">
        <is>
          <t>2024-03-27 10:29:00</t>
        </is>
      </c>
      <c r="E2058" t="inlineStr">
        <is>
          <t>2024-03-27 10:29:00</t>
        </is>
      </c>
      <c r="F2058" t="inlineStr">
        <is>
          <t>666</t>
        </is>
      </c>
    </row>
    <row r="2059">
      <c r="A2059" t="inlineStr">
        <is>
          <t>GOMEZ MANAJO RICHARD T0001434.pdf</t>
        </is>
      </c>
      <c r="B2059">
        <f>HYPERLINK("C:\Users\lmonroy\Tema\PLANILLAS\Boletas 1 - 15 Dic\GOMEZ MANAJO RICHARD T0001434.pdf", "Link")</f>
        <v/>
      </c>
      <c r="C2059" t="n">
        <v>134381</v>
      </c>
      <c r="D2059" t="inlineStr">
        <is>
          <t>2024-03-27 10:25:54</t>
        </is>
      </c>
      <c r="E2059" t="inlineStr">
        <is>
          <t>2024-03-27 10:21:07</t>
        </is>
      </c>
      <c r="F2059" t="inlineStr">
        <is>
          <t>666</t>
        </is>
      </c>
    </row>
    <row r="2060">
      <c r="A2060" t="inlineStr">
        <is>
          <t>GONZALES DIAZ LORENZO  T0001080.pdf</t>
        </is>
      </c>
      <c r="B2060">
        <f>HYPERLINK("C:\Users\lmonroy\Tema\PLANILLAS\Boletas 1 - 15 Dic\GONZALES DIAZ LORENZO  T0001080.pdf", "Link")</f>
        <v/>
      </c>
      <c r="C2060" t="n">
        <v>134279</v>
      </c>
      <c r="D2060" t="inlineStr">
        <is>
          <t>2024-03-27 10:28:07</t>
        </is>
      </c>
      <c r="E2060" t="inlineStr">
        <is>
          <t>2024-03-27 10:28:07</t>
        </is>
      </c>
      <c r="F2060" t="inlineStr">
        <is>
          <t>666</t>
        </is>
      </c>
    </row>
    <row r="2061">
      <c r="A2061" t="inlineStr">
        <is>
          <t>GUERRA TAPAYURI  ISAI  T0001081.pdf</t>
        </is>
      </c>
      <c r="B2061">
        <f>HYPERLINK("C:\Users\lmonroy\Tema\PLANILLAS\Boletas 1 - 15 Dic\GUERRA TAPAYURI  ISAI  T0001081.pdf", "Link")</f>
        <v/>
      </c>
      <c r="C2061" t="n">
        <v>134364</v>
      </c>
      <c r="D2061" t="inlineStr">
        <is>
          <t>2024-03-27 10:29:01</t>
        </is>
      </c>
      <c r="E2061" t="inlineStr">
        <is>
          <t>2024-03-27 10:29:01</t>
        </is>
      </c>
      <c r="F2061" t="inlineStr">
        <is>
          <t>666</t>
        </is>
      </c>
    </row>
    <row r="2062">
      <c r="A2062" t="inlineStr">
        <is>
          <t>HAUXWELL TORRES MACK BRUNO T0001458.pdf</t>
        </is>
      </c>
      <c r="B2062">
        <f>HYPERLINK("C:\Users\lmonroy\Tema\PLANILLAS\Boletas 1 - 15 Dic\HAUXWELL TORRES MACK BRUNO T0001458.pdf", "Link")</f>
        <v/>
      </c>
      <c r="C2062" t="n">
        <v>134250</v>
      </c>
      <c r="D2062" t="inlineStr">
        <is>
          <t>2024-03-27 10:27:39</t>
        </is>
      </c>
      <c r="E2062" t="inlineStr">
        <is>
          <t>2024-03-27 10:27:39</t>
        </is>
      </c>
      <c r="F2062" t="inlineStr">
        <is>
          <t>666</t>
        </is>
      </c>
    </row>
    <row r="2063">
      <c r="A2063" t="inlineStr">
        <is>
          <t>HUANUIRI FREYTAS DANIEL  T0001082.pdf</t>
        </is>
      </c>
      <c r="B2063">
        <f>HYPERLINK("C:\Users\lmonroy\Tema\PLANILLAS\Boletas 1 - 15 Dic\HUANUIRI FREYTAS DANIEL  T0001082.pdf", "Link")</f>
        <v/>
      </c>
      <c r="C2063" t="n">
        <v>134397</v>
      </c>
      <c r="D2063" t="inlineStr">
        <is>
          <t>2024-03-27 10:27:43</t>
        </is>
      </c>
      <c r="E2063" t="inlineStr">
        <is>
          <t>2024-03-27 10:21:57</t>
        </is>
      </c>
      <c r="F2063" t="inlineStr">
        <is>
          <t>666</t>
        </is>
      </c>
    </row>
    <row r="2064">
      <c r="A2064" t="inlineStr">
        <is>
          <t>HUARATAPAIRO ISUIZA WITHMER T0001449.pdf</t>
        </is>
      </c>
      <c r="B2064">
        <f>HYPERLINK("C:\Users\lmonroy\Tema\PLANILLAS\Boletas 1 - 15 Dic\HUARATAPAIRO ISUIZA WITHMER T0001449.pdf", "Link")</f>
        <v/>
      </c>
      <c r="C2064" t="n">
        <v>134312</v>
      </c>
      <c r="D2064" t="inlineStr">
        <is>
          <t>2024-03-27 10:26:54</t>
        </is>
      </c>
      <c r="E2064" t="inlineStr">
        <is>
          <t>2024-03-27 10:21:34</t>
        </is>
      </c>
      <c r="F2064" t="inlineStr">
        <is>
          <t>666</t>
        </is>
      </c>
    </row>
    <row r="2065">
      <c r="A2065" t="inlineStr">
        <is>
          <t>HUAYABAN AHUANARI RUSBEL  T0001083.pdf</t>
        </is>
      </c>
      <c r="B2065">
        <f>HYPERLINK("C:\Users\lmonroy\Tema\PLANILLAS\Boletas 1 - 15 Dic\HUAYABAN AHUANARI RUSBEL  T0001083.pdf", "Link")</f>
        <v/>
      </c>
      <c r="C2065" t="n">
        <v>134392</v>
      </c>
      <c r="D2065" t="inlineStr">
        <is>
          <t>2024-03-27 10:26:24</t>
        </is>
      </c>
      <c r="E2065" t="inlineStr">
        <is>
          <t>2024-03-27 10:21:18</t>
        </is>
      </c>
      <c r="F2065" t="inlineStr">
        <is>
          <t>666</t>
        </is>
      </c>
    </row>
    <row r="2066">
      <c r="A2066" t="inlineStr">
        <is>
          <t>IGNACIO INUMA EMILIO  T0001084.pdf</t>
        </is>
      </c>
      <c r="B2066">
        <f>HYPERLINK("C:\Users\lmonroy\Tema\PLANILLAS\Boletas 1 - 15 Dic\IGNACIO INUMA EMILIO  T0001084.pdf", "Link")</f>
        <v/>
      </c>
      <c r="C2066" t="n">
        <v>134384</v>
      </c>
      <c r="D2066" t="inlineStr">
        <is>
          <t>2024-03-27 10:29:01</t>
        </is>
      </c>
      <c r="E2066" t="inlineStr">
        <is>
          <t>2024-03-27 10:29:01</t>
        </is>
      </c>
      <c r="F2066" t="inlineStr">
        <is>
          <t>666</t>
        </is>
      </c>
    </row>
    <row r="2067">
      <c r="A2067" t="inlineStr">
        <is>
          <t>IGNACIO INUMA FELIPE  T0001085.pdf</t>
        </is>
      </c>
      <c r="B2067">
        <f>HYPERLINK("C:\Users\lmonroy\Tema\PLANILLAS\Boletas 1 - 15 Dic\IGNACIO INUMA FELIPE  T0001085.pdf", "Link")</f>
        <v/>
      </c>
      <c r="C2067" t="n">
        <v>134276</v>
      </c>
      <c r="D2067" t="inlineStr">
        <is>
          <t>2024-03-27 10:29:02</t>
        </is>
      </c>
      <c r="E2067" t="inlineStr">
        <is>
          <t>2024-03-27 10:29:02</t>
        </is>
      </c>
      <c r="F2067" t="inlineStr">
        <is>
          <t>666</t>
        </is>
      </c>
    </row>
    <row r="2068">
      <c r="A2068" t="inlineStr">
        <is>
          <t>IGNACIO INUMA JORGE  T0001086.pdf</t>
        </is>
      </c>
      <c r="B2068">
        <f>HYPERLINK("C:\Users\lmonroy\Tema\PLANILLAS\Boletas 1 - 15 Dic\IGNACIO INUMA JORGE  T0001086.pdf", "Link")</f>
        <v/>
      </c>
      <c r="C2068" t="n">
        <v>134285</v>
      </c>
      <c r="D2068" t="inlineStr">
        <is>
          <t>2024-03-27 10:29:03</t>
        </is>
      </c>
      <c r="E2068" t="inlineStr">
        <is>
          <t>2024-03-27 10:29:03</t>
        </is>
      </c>
      <c r="F2068" t="inlineStr">
        <is>
          <t>666</t>
        </is>
      </c>
    </row>
    <row r="2069">
      <c r="A2069" t="inlineStr">
        <is>
          <t>IGNACIO MACUSI JACINTO  T0001087.pdf</t>
        </is>
      </c>
      <c r="B2069">
        <f>HYPERLINK("C:\Users\lmonroy\Tema\PLANILLAS\Boletas 1 - 15 Dic\IGNACIO MACUSI JACINTO  T0001087.pdf", "Link")</f>
        <v/>
      </c>
      <c r="C2069" t="n">
        <v>134251</v>
      </c>
      <c r="D2069" t="inlineStr">
        <is>
          <t>2024-03-27 10:29:04</t>
        </is>
      </c>
      <c r="E2069" t="inlineStr">
        <is>
          <t>2024-03-27 10:29:04</t>
        </is>
      </c>
      <c r="F2069" t="inlineStr">
        <is>
          <t>666</t>
        </is>
      </c>
    </row>
    <row r="2070">
      <c r="A2070" t="inlineStr">
        <is>
          <t>IGNACIO TARICUARIMA CARLOS  T0001088.pdf</t>
        </is>
      </c>
      <c r="B2070">
        <f>HYPERLINK("C:\Users\lmonroy\Tema\PLANILLAS\Boletas 1 - 15 Dic\IGNACIO TARICUARIMA CARLOS  T0001088.pdf", "Link")</f>
        <v/>
      </c>
      <c r="C2070" t="n">
        <v>134282</v>
      </c>
      <c r="D2070" t="inlineStr">
        <is>
          <t>2024-03-27 10:29:05</t>
        </is>
      </c>
      <c r="E2070" t="inlineStr">
        <is>
          <t>2024-03-27 10:29:05</t>
        </is>
      </c>
      <c r="F2070" t="inlineStr">
        <is>
          <t>666</t>
        </is>
      </c>
    </row>
    <row r="2071">
      <c r="A2071" t="inlineStr">
        <is>
          <t>IGNACIO VICENTE JHON MAR T0001089.pdf</t>
        </is>
      </c>
      <c r="B2071">
        <f>HYPERLINK("C:\Users\lmonroy\Tema\PLANILLAS\Boletas 1 - 15 Dic\IGNACIO VICENTE JHON MAR T0001089.pdf", "Link")</f>
        <v/>
      </c>
      <c r="C2071" t="n">
        <v>134346</v>
      </c>
      <c r="D2071" t="inlineStr">
        <is>
          <t>2024-03-27 10:26:51</t>
        </is>
      </c>
      <c r="E2071" t="inlineStr">
        <is>
          <t>2024-03-27 10:21:30</t>
        </is>
      </c>
      <c r="F2071" t="inlineStr">
        <is>
          <t>666</t>
        </is>
      </c>
    </row>
    <row r="2072">
      <c r="A2072" t="inlineStr">
        <is>
          <t>INUMA AHUITE JONAS  T0001090.pdf</t>
        </is>
      </c>
      <c r="B2072">
        <f>HYPERLINK("C:\Users\lmonroy\Tema\PLANILLAS\Boletas 1 - 15 Dic\INUMA AHUITE JONAS  T0001090.pdf", "Link")</f>
        <v/>
      </c>
      <c r="C2072" t="n">
        <v>134386</v>
      </c>
      <c r="D2072" t="inlineStr">
        <is>
          <t>2024-03-27 10:26:57</t>
        </is>
      </c>
      <c r="E2072" t="inlineStr">
        <is>
          <t>2024-03-27 10:21:36</t>
        </is>
      </c>
      <c r="F2072" t="inlineStr">
        <is>
          <t>666</t>
        </is>
      </c>
    </row>
    <row r="2073">
      <c r="A2073" t="inlineStr">
        <is>
          <t>INUMA ARAHUATA VICENTE T0001375.pdf</t>
        </is>
      </c>
      <c r="B2073">
        <f>HYPERLINK("C:\Users\lmonroy\Tema\PLANILLAS\Boletas 1 - 15 Dic\INUMA ARAHUATA VICENTE T0001375.pdf", "Link")</f>
        <v/>
      </c>
      <c r="C2073" t="n">
        <v>134292</v>
      </c>
      <c r="D2073" t="inlineStr">
        <is>
          <t>2024-03-27 10:28:31</t>
        </is>
      </c>
      <c r="E2073" t="inlineStr">
        <is>
          <t>2024-03-27 10:28:31</t>
        </is>
      </c>
      <c r="F2073" t="inlineStr">
        <is>
          <t>666</t>
        </is>
      </c>
    </row>
    <row r="2074">
      <c r="A2074" t="inlineStr">
        <is>
          <t>INUMA CACHIRICO CUSTODIO  T0001091.pdf</t>
        </is>
      </c>
      <c r="B2074">
        <f>HYPERLINK("C:\Users\lmonroy\Tema\PLANILLAS\Boletas 1 - 15 Dic\INUMA CACHIRICO CUSTODIO  T0001091.pdf", "Link")</f>
        <v/>
      </c>
      <c r="C2074" t="n">
        <v>134301</v>
      </c>
      <c r="D2074" t="inlineStr">
        <is>
          <t>2024-03-27 10:25:39</t>
        </is>
      </c>
      <c r="E2074" t="inlineStr">
        <is>
          <t>2024-03-27 10:25:39</t>
        </is>
      </c>
      <c r="F2074" t="inlineStr">
        <is>
          <t>666</t>
        </is>
      </c>
    </row>
    <row r="2075">
      <c r="A2075" t="inlineStr">
        <is>
          <t>INUMA CASTAÑON FERNANDO  T0001092.pdf</t>
        </is>
      </c>
      <c r="B2075">
        <f>HYPERLINK("C:\Users\lmonroy\Tema\PLANILLAS\Boletas 1 - 15 Dic\INUMA CASTAÑON FERNANDO  T0001092.pdf", "Link")</f>
        <v/>
      </c>
      <c r="C2075" t="n">
        <v>134269</v>
      </c>
      <c r="D2075" t="inlineStr">
        <is>
          <t>2024-03-27 10:28:16</t>
        </is>
      </c>
      <c r="E2075" t="inlineStr">
        <is>
          <t>2024-03-27 10:22:09</t>
        </is>
      </c>
      <c r="F2075" t="inlineStr">
        <is>
          <t>666</t>
        </is>
      </c>
    </row>
    <row r="2076">
      <c r="A2076" t="inlineStr">
        <is>
          <t>INUMA INUMA ORLANDO T0001377.pdf</t>
        </is>
      </c>
      <c r="B2076">
        <f>HYPERLINK("C:\Users\lmonroy\Tema\PLANILLAS\Boletas 1 - 15 Dic\INUMA INUMA ORLANDO T0001377.pdf", "Link")</f>
        <v/>
      </c>
      <c r="C2076" t="n">
        <v>134266</v>
      </c>
      <c r="D2076" t="inlineStr">
        <is>
          <t>2024-03-27 10:31:01</t>
        </is>
      </c>
      <c r="E2076" t="inlineStr">
        <is>
          <t>2024-03-27 10:31:01</t>
        </is>
      </c>
      <c r="F2076" t="inlineStr">
        <is>
          <t>666</t>
        </is>
      </c>
    </row>
    <row r="2077">
      <c r="A2077" t="inlineStr">
        <is>
          <t>INUMA MACUSI ALBERTO  T0001093.pdf</t>
        </is>
      </c>
      <c r="B2077">
        <f>HYPERLINK("C:\Users\lmonroy\Tema\PLANILLAS\Boletas 1 - 15 Dic\INUMA MACUSI ALBERTO  T0001093.pdf", "Link")</f>
        <v/>
      </c>
      <c r="C2077" t="n">
        <v>134276</v>
      </c>
      <c r="D2077" t="inlineStr">
        <is>
          <t>2024-03-27 10:29:06</t>
        </is>
      </c>
      <c r="E2077" t="inlineStr">
        <is>
          <t>2024-03-27 10:29:06</t>
        </is>
      </c>
      <c r="F2077" t="inlineStr">
        <is>
          <t>666</t>
        </is>
      </c>
    </row>
    <row r="2078">
      <c r="A2078" t="inlineStr">
        <is>
          <t>INUMA MACUSI GINER  T0001094.pdf</t>
        </is>
      </c>
      <c r="B2078">
        <f>HYPERLINK("C:\Users\lmonroy\Tema\PLANILLAS\Boletas 1 - 15 Dic\INUMA MACUSI GINER  T0001094.pdf", "Link")</f>
        <v/>
      </c>
      <c r="C2078" t="n">
        <v>134288</v>
      </c>
      <c r="D2078" t="inlineStr">
        <is>
          <t>2024-03-27 10:29:06</t>
        </is>
      </c>
      <c r="E2078" t="inlineStr">
        <is>
          <t>2024-03-27 10:29:06</t>
        </is>
      </c>
      <c r="F2078" t="inlineStr">
        <is>
          <t>666</t>
        </is>
      </c>
    </row>
    <row r="2079">
      <c r="A2079" t="inlineStr">
        <is>
          <t>INUMA MACUSI JOSE  T0001095.pdf</t>
        </is>
      </c>
      <c r="B2079">
        <f>HYPERLINK("C:\Users\lmonroy\Tema\PLANILLAS\Boletas 1 - 15 Dic\INUMA MACUSI JOSE  T0001095.pdf", "Link")</f>
        <v/>
      </c>
      <c r="C2079" t="n">
        <v>134285</v>
      </c>
      <c r="D2079" t="inlineStr">
        <is>
          <t>2024-03-27 10:28:34</t>
        </is>
      </c>
      <c r="E2079" t="inlineStr">
        <is>
          <t>2024-03-27 10:28:34</t>
        </is>
      </c>
      <c r="F2079" t="inlineStr">
        <is>
          <t>666</t>
        </is>
      </c>
    </row>
    <row r="2080">
      <c r="A2080" t="inlineStr">
        <is>
          <t>INUMA MACUSI JUAN  T0001096.pdf</t>
        </is>
      </c>
      <c r="B2080">
        <f>HYPERLINK("C:\Users\lmonroy\Tema\PLANILLAS\Boletas 1 - 15 Dic\INUMA MACUSI JUAN  T0001096.pdf", "Link")</f>
        <v/>
      </c>
      <c r="C2080" t="n">
        <v>134279</v>
      </c>
      <c r="D2080" t="inlineStr">
        <is>
          <t>2024-03-27 10:28:17</t>
        </is>
      </c>
      <c r="E2080" t="inlineStr">
        <is>
          <t>2024-03-27 10:22:10</t>
        </is>
      </c>
      <c r="F2080" t="inlineStr">
        <is>
          <t>666</t>
        </is>
      </c>
    </row>
    <row r="2081">
      <c r="A2081" t="inlineStr">
        <is>
          <t>INUMA NURIBE ELIAS  T0001097.pdf</t>
        </is>
      </c>
      <c r="B2081">
        <f>HYPERLINK("C:\Users\lmonroy\Tema\PLANILLAS\Boletas 1 - 15 Dic\INUMA NURIBE ELIAS  T0001097.pdf", "Link")</f>
        <v/>
      </c>
      <c r="C2081" t="n">
        <v>134250</v>
      </c>
      <c r="D2081" t="inlineStr">
        <is>
          <t>2024-03-27 10:29:07</t>
        </is>
      </c>
      <c r="E2081" t="inlineStr">
        <is>
          <t>2024-03-27 10:29:07</t>
        </is>
      </c>
      <c r="F2081" t="inlineStr">
        <is>
          <t>666</t>
        </is>
      </c>
    </row>
    <row r="2082">
      <c r="A2082" t="inlineStr">
        <is>
          <t>INUMA NURIBE GERMAN  T0001098.pdf</t>
        </is>
      </c>
      <c r="B2082">
        <f>HYPERLINK("C:\Users\lmonroy\Tema\PLANILLAS\Boletas 1 - 15 Dic\INUMA NURIBE GERMAN  T0001098.pdf", "Link")</f>
        <v/>
      </c>
      <c r="C2082" t="n">
        <v>134272</v>
      </c>
      <c r="D2082" t="inlineStr">
        <is>
          <t>2024-03-27 10:29:08</t>
        </is>
      </c>
      <c r="E2082" t="inlineStr">
        <is>
          <t>2024-03-27 10:29:08</t>
        </is>
      </c>
      <c r="F2082" t="inlineStr">
        <is>
          <t>666</t>
        </is>
      </c>
    </row>
    <row r="2083">
      <c r="A2083" t="inlineStr">
        <is>
          <t>INUMA NURIBE GUSTAVO T0001372.pdf</t>
        </is>
      </c>
      <c r="B2083">
        <f>HYPERLINK("C:\Users\lmonroy\Tema\PLANILLAS\Boletas 1 - 15 Dic\INUMA NURIBE GUSTAVO T0001372.pdf", "Link")</f>
        <v/>
      </c>
      <c r="C2083" t="n">
        <v>134369</v>
      </c>
      <c r="D2083" t="inlineStr">
        <is>
          <t>2024-03-27 10:30:59</t>
        </is>
      </c>
      <c r="E2083" t="inlineStr">
        <is>
          <t>2024-03-27 10:30:59</t>
        </is>
      </c>
      <c r="F2083" t="inlineStr">
        <is>
          <t>666</t>
        </is>
      </c>
    </row>
    <row r="2084">
      <c r="A2084" t="inlineStr">
        <is>
          <t>INUMA NURIBE JULIO  T0001099.pdf</t>
        </is>
      </c>
      <c r="B2084">
        <f>HYPERLINK("C:\Users\lmonroy\Tema\PLANILLAS\Boletas 1 - 15 Dic\INUMA NURIBE JULIO  T0001099.pdf", "Link")</f>
        <v/>
      </c>
      <c r="C2084" t="n">
        <v>134285</v>
      </c>
      <c r="D2084" t="inlineStr">
        <is>
          <t>2024-03-27 10:29:09</t>
        </is>
      </c>
      <c r="E2084" t="inlineStr">
        <is>
          <t>2024-03-27 10:29:09</t>
        </is>
      </c>
      <c r="F2084" t="inlineStr">
        <is>
          <t>666</t>
        </is>
      </c>
    </row>
    <row r="2085">
      <c r="A2085" t="inlineStr">
        <is>
          <t>INUMA NURIBE JULIO T0001466.pdf</t>
        </is>
      </c>
      <c r="B2085">
        <f>HYPERLINK("C:\Users\lmonroy\Tema\PLANILLAS\Boletas 1 - 15 Dic\INUMA NURIBE JULIO T0001466.pdf", "Link")</f>
        <v/>
      </c>
      <c r="C2085" t="n">
        <v>134292</v>
      </c>
      <c r="D2085" t="inlineStr">
        <is>
          <t>2024-03-27 10:28:18</t>
        </is>
      </c>
      <c r="E2085" t="inlineStr">
        <is>
          <t>2024-03-27 10:22:11</t>
        </is>
      </c>
      <c r="F2085" t="inlineStr">
        <is>
          <t>666</t>
        </is>
      </c>
    </row>
    <row r="2086">
      <c r="A2086" t="inlineStr">
        <is>
          <t>INUMA NURIBE MARIANO  T0001100.pdf</t>
        </is>
      </c>
      <c r="B2086">
        <f>HYPERLINK("C:\Users\lmonroy\Tema\PLANILLAS\Boletas 1 - 15 Dic\INUMA NURIBE MARIANO  T0001100.pdf", "Link")</f>
        <v/>
      </c>
      <c r="C2086" t="n">
        <v>134290</v>
      </c>
      <c r="D2086" t="inlineStr">
        <is>
          <t>2024-03-27 10:29:10</t>
        </is>
      </c>
      <c r="E2086" t="inlineStr">
        <is>
          <t>2024-03-27 10:29:10</t>
        </is>
      </c>
      <c r="F2086" t="inlineStr">
        <is>
          <t>666</t>
        </is>
      </c>
    </row>
    <row r="2087">
      <c r="A2087" t="inlineStr">
        <is>
          <t>INUMA OJEYCATE TIMOTEO  T0001101.pdf</t>
        </is>
      </c>
      <c r="B2087">
        <f>HYPERLINK("C:\Users\lmonroy\Tema\PLANILLAS\Boletas 1 - 15 Dic\INUMA OJEYCATE TIMOTEO  T0001101.pdf", "Link")</f>
        <v/>
      </c>
      <c r="C2087" t="n">
        <v>134302</v>
      </c>
      <c r="D2087" t="inlineStr">
        <is>
          <t>2024-03-27 10:27:29</t>
        </is>
      </c>
      <c r="E2087" t="inlineStr">
        <is>
          <t>2024-03-27 10:27:29</t>
        </is>
      </c>
      <c r="F2087" t="inlineStr">
        <is>
          <t>666</t>
        </is>
      </c>
    </row>
    <row r="2088">
      <c r="A2088" t="inlineStr">
        <is>
          <t>INUMA RUFINO LISANDRO  T0001102.pdf</t>
        </is>
      </c>
      <c r="B2088">
        <f>HYPERLINK("C:\Users\lmonroy\Tema\PLANILLAS\Boletas 1 - 15 Dic\INUMA RUFINO LISANDRO  T0001102.pdf", "Link")</f>
        <v/>
      </c>
      <c r="C2088" t="n">
        <v>134271</v>
      </c>
      <c r="D2088" t="inlineStr">
        <is>
          <t>2024-03-27 10:29:11</t>
        </is>
      </c>
      <c r="E2088" t="inlineStr">
        <is>
          <t>2024-03-27 10:29:11</t>
        </is>
      </c>
      <c r="F2088" t="inlineStr">
        <is>
          <t>666</t>
        </is>
      </c>
    </row>
    <row r="2089">
      <c r="A2089" t="inlineStr">
        <is>
          <t>INUMA RUFINO ORLANDO  T0001103.pdf</t>
        </is>
      </c>
      <c r="B2089">
        <f>HYPERLINK("C:\Users\lmonroy\Tema\PLANILLAS\Boletas 1 - 15 Dic\INUMA RUFINO ORLANDO  T0001103.pdf", "Link")</f>
        <v/>
      </c>
      <c r="C2089" t="n">
        <v>134275</v>
      </c>
      <c r="D2089" t="inlineStr">
        <is>
          <t>2024-03-27 10:29:11</t>
        </is>
      </c>
      <c r="E2089" t="inlineStr">
        <is>
          <t>2024-03-27 10:29:11</t>
        </is>
      </c>
      <c r="F2089" t="inlineStr">
        <is>
          <t>666</t>
        </is>
      </c>
    </row>
    <row r="2090">
      <c r="A2090" t="inlineStr">
        <is>
          <t>INUMA VELA ABRAHAM T0001104.pdf</t>
        </is>
      </c>
      <c r="B2090">
        <f>HYPERLINK("C:\Users\lmonroy\Tema\PLANILLAS\Boletas 1 - 15 Dic\INUMA VELA ABRAHAM T0001104.pdf", "Link")</f>
        <v/>
      </c>
      <c r="C2090" t="n">
        <v>134365</v>
      </c>
      <c r="D2090" t="inlineStr">
        <is>
          <t>2024-03-27 10:29:12</t>
        </is>
      </c>
      <c r="E2090" t="inlineStr">
        <is>
          <t>2024-03-27 10:29:12</t>
        </is>
      </c>
      <c r="F2090" t="inlineStr">
        <is>
          <t>666</t>
        </is>
      </c>
    </row>
    <row r="2091">
      <c r="A2091" t="inlineStr">
        <is>
          <t>INUMA VELA ARTEMIO  T0001105.pdf</t>
        </is>
      </c>
      <c r="B2091">
        <f>HYPERLINK("C:\Users\lmonroy\Tema\PLANILLAS\Boletas 1 - 15 Dic\INUMA VELA ARTEMIO  T0001105.pdf", "Link")</f>
        <v/>
      </c>
      <c r="C2091" t="n">
        <v>134380</v>
      </c>
      <c r="D2091" t="inlineStr">
        <is>
          <t>2024-03-27 10:29:13</t>
        </is>
      </c>
      <c r="E2091" t="inlineStr">
        <is>
          <t>2024-03-27 10:29:13</t>
        </is>
      </c>
      <c r="F2091" t="inlineStr">
        <is>
          <t>666</t>
        </is>
      </c>
    </row>
    <row r="2092">
      <c r="A2092" t="inlineStr">
        <is>
          <t>INUMA VELA JAIME  T0001106.pdf</t>
        </is>
      </c>
      <c r="B2092">
        <f>HYPERLINK("C:\Users\lmonroy\Tema\PLANILLAS\Boletas 1 - 15 Dic\INUMA VELA JAIME  T0001106.pdf", "Link")</f>
        <v/>
      </c>
      <c r="C2092" t="n">
        <v>134269</v>
      </c>
      <c r="D2092" t="inlineStr">
        <is>
          <t>2024-03-27 10:29:14</t>
        </is>
      </c>
      <c r="E2092" t="inlineStr">
        <is>
          <t>2024-03-27 10:29:14</t>
        </is>
      </c>
      <c r="F2092" t="inlineStr">
        <is>
          <t>666</t>
        </is>
      </c>
    </row>
    <row r="2093">
      <c r="A2093" t="inlineStr">
        <is>
          <t>INUMA VELA LUCHO  T0001107.pdf</t>
        </is>
      </c>
      <c r="B2093">
        <f>HYPERLINK("C:\Users\lmonroy\Tema\PLANILLAS\Boletas 1 - 15 Dic\INUMA VELA LUCHO  T0001107.pdf", "Link")</f>
        <v/>
      </c>
      <c r="C2093" t="n">
        <v>134379</v>
      </c>
      <c r="D2093" t="inlineStr">
        <is>
          <t>2024-03-27 10:29:15</t>
        </is>
      </c>
      <c r="E2093" t="inlineStr">
        <is>
          <t>2024-03-27 10:29:15</t>
        </is>
      </c>
      <c r="F2093" t="inlineStr">
        <is>
          <t>666</t>
        </is>
      </c>
    </row>
    <row r="2094">
      <c r="A2094" t="inlineStr">
        <is>
          <t>INUMA VELA RAFAEL  T0001108.pdf</t>
        </is>
      </c>
      <c r="B2094">
        <f>HYPERLINK("C:\Users\lmonroy\Tema\PLANILLAS\Boletas 1 - 15 Dic\INUMA VELA RAFAEL  T0001108.pdf", "Link")</f>
        <v/>
      </c>
      <c r="C2094" t="n">
        <v>134359</v>
      </c>
      <c r="D2094" t="inlineStr">
        <is>
          <t>2024-03-27 10:29:16</t>
        </is>
      </c>
      <c r="E2094" t="inlineStr">
        <is>
          <t>2024-03-27 10:29:16</t>
        </is>
      </c>
      <c r="F2094" t="inlineStr">
        <is>
          <t>666</t>
        </is>
      </c>
    </row>
    <row r="2095">
      <c r="A2095" t="inlineStr">
        <is>
          <t>INUMA VELA RICARDO T0001371.pdf</t>
        </is>
      </c>
      <c r="B2095">
        <f>HYPERLINK("C:\Users\lmonroy\Tema\PLANILLAS\Boletas 1 - 15 Dic\INUMA VELA RICARDO T0001371.pdf", "Link")</f>
        <v/>
      </c>
      <c r="C2095" t="n">
        <v>134273</v>
      </c>
      <c r="D2095" t="inlineStr">
        <is>
          <t>2024-03-27 10:30:58</t>
        </is>
      </c>
      <c r="E2095" t="inlineStr">
        <is>
          <t>2024-03-27 10:30:58</t>
        </is>
      </c>
      <c r="F2095" t="inlineStr">
        <is>
          <t>666</t>
        </is>
      </c>
    </row>
    <row r="2096">
      <c r="A2096" t="inlineStr">
        <is>
          <t>INUMA VELA WILSON  T0001109.pdf</t>
        </is>
      </c>
      <c r="B2096">
        <f>HYPERLINK("C:\Users\lmonroy\Tema\PLANILLAS\Boletas 1 - 15 Dic\INUMA VELA WILSON  T0001109.pdf", "Link")</f>
        <v/>
      </c>
      <c r="C2096" t="n">
        <v>134287</v>
      </c>
      <c r="D2096" t="inlineStr">
        <is>
          <t>2024-03-27 10:29:17</t>
        </is>
      </c>
      <c r="E2096" t="inlineStr">
        <is>
          <t>2024-03-27 10:29:17</t>
        </is>
      </c>
      <c r="F2096" t="inlineStr">
        <is>
          <t>666</t>
        </is>
      </c>
    </row>
    <row r="2097">
      <c r="A2097" t="inlineStr">
        <is>
          <t>IRARICA AHUANARI CARLOS  T0001110.pdf</t>
        </is>
      </c>
      <c r="B2097">
        <f>HYPERLINK("C:\Users\lmonroy\Tema\PLANILLAS\Boletas 1 - 15 Dic\IRARICA AHUANARI CARLOS  T0001110.pdf", "Link")</f>
        <v/>
      </c>
      <c r="C2097" t="n">
        <v>134289</v>
      </c>
      <c r="D2097" t="inlineStr">
        <is>
          <t>2024-03-27 10:28:36</t>
        </is>
      </c>
      <c r="E2097" t="inlineStr">
        <is>
          <t>2024-03-27 10:28:36</t>
        </is>
      </c>
      <c r="F2097" t="inlineStr">
        <is>
          <t>666</t>
        </is>
      </c>
    </row>
    <row r="2098">
      <c r="A2098" t="inlineStr">
        <is>
          <t>IRARICA CURITIMA JULIO  T0001111.pdf</t>
        </is>
      </c>
      <c r="B2098">
        <f>HYPERLINK("C:\Users\lmonroy\Tema\PLANILLAS\Boletas 1 - 15 Dic\IRARICA CURITIMA JULIO  T0001111.pdf", "Link")</f>
        <v/>
      </c>
      <c r="C2098" t="n">
        <v>134270</v>
      </c>
      <c r="D2098" t="inlineStr">
        <is>
          <t>2024-03-27 10:28:05</t>
        </is>
      </c>
      <c r="E2098" t="inlineStr">
        <is>
          <t>2024-03-27 10:28:05</t>
        </is>
      </c>
      <c r="F2098" t="inlineStr">
        <is>
          <t>666</t>
        </is>
      </c>
    </row>
    <row r="2099">
      <c r="A2099" t="inlineStr">
        <is>
          <t>IRARICA IRARICA WILLY  T0001112.pdf</t>
        </is>
      </c>
      <c r="B2099">
        <f>HYPERLINK("C:\Users\lmonroy\Tema\PLANILLAS\Boletas 1 - 15 Dic\IRARICA IRARICA WILLY  T0001112.pdf", "Link")</f>
        <v/>
      </c>
      <c r="C2099" t="n">
        <v>134385</v>
      </c>
      <c r="D2099" t="inlineStr">
        <is>
          <t>2024-03-27 10:27:40</t>
        </is>
      </c>
      <c r="E2099" t="inlineStr">
        <is>
          <t>2024-03-27 10:27:40</t>
        </is>
      </c>
      <c r="F2099" t="inlineStr">
        <is>
          <t>666</t>
        </is>
      </c>
    </row>
    <row r="2100">
      <c r="A2100" t="inlineStr">
        <is>
          <t>IRARICA PUYO FELIX ALEJANDRO T0001113.pdf</t>
        </is>
      </c>
      <c r="B2100">
        <f>HYPERLINK("C:\Users\lmonroy\Tema\PLANILLAS\Boletas 1 - 15 Dic\IRARICA PUYO FELIX ALEJANDRO T0001113.pdf", "Link")</f>
        <v/>
      </c>
      <c r="C2100" t="n">
        <v>134399</v>
      </c>
      <c r="D2100" t="inlineStr">
        <is>
          <t>2024-03-27 10:28:10</t>
        </is>
      </c>
      <c r="E2100" t="inlineStr">
        <is>
          <t>2024-03-27 10:28:10</t>
        </is>
      </c>
      <c r="F2100" t="inlineStr">
        <is>
          <t>666</t>
        </is>
      </c>
    </row>
    <row r="2101">
      <c r="A2101" t="inlineStr">
        <is>
          <t>IRARICA SAIRO GELDER FRANK T0001114.pdf</t>
        </is>
      </c>
      <c r="B2101">
        <f>HYPERLINK("C:\Users\lmonroy\Tema\PLANILLAS\Boletas 1 - 15 Dic\IRARICA SAIRO GELDER FRANK T0001114.pdf", "Link")</f>
        <v/>
      </c>
      <c r="C2101" t="n">
        <v>134355</v>
      </c>
      <c r="D2101" t="inlineStr">
        <is>
          <t>2024-03-27 10:27:38</t>
        </is>
      </c>
      <c r="E2101" t="inlineStr">
        <is>
          <t>2024-03-27 10:27:38</t>
        </is>
      </c>
      <c r="F2101" t="inlineStr">
        <is>
          <t>666</t>
        </is>
      </c>
    </row>
    <row r="2102">
      <c r="A2102" t="inlineStr">
        <is>
          <t>IRARICA SANCHEZ EUGENIO SANTIAGO T0001115.pdf</t>
        </is>
      </c>
      <c r="B2102">
        <f>HYPERLINK("C:\Users\lmonroy\Tema\PLANILLAS\Boletas 1 - 15 Dic\IRARICA SANCHEZ EUGENIO SANTIAGO T0001115.pdf", "Link")</f>
        <v/>
      </c>
      <c r="C2102" t="n">
        <v>134408</v>
      </c>
      <c r="D2102" t="inlineStr">
        <is>
          <t>2024-03-27 10:27:03</t>
        </is>
      </c>
      <c r="E2102" t="inlineStr">
        <is>
          <t>2024-03-27 10:27:03</t>
        </is>
      </c>
      <c r="F2102" t="inlineStr">
        <is>
          <t>666</t>
        </is>
      </c>
    </row>
    <row r="2103">
      <c r="A2103" t="inlineStr">
        <is>
          <t>IRARICA SANCHEZ HECTOR TOMAS T0001390.pdf</t>
        </is>
      </c>
      <c r="B2103">
        <f>HYPERLINK("C:\Users\lmonroy\Tema\PLANILLAS\Boletas 1 - 15 Dic\IRARICA SANCHEZ HECTOR TOMAS T0001390.pdf", "Link")</f>
        <v/>
      </c>
      <c r="C2103" t="n">
        <v>134303</v>
      </c>
      <c r="D2103" t="inlineStr">
        <is>
          <t>2024-03-27 10:27:04</t>
        </is>
      </c>
      <c r="E2103" t="inlineStr">
        <is>
          <t>2024-03-27 10:21:39</t>
        </is>
      </c>
      <c r="F2103" t="inlineStr">
        <is>
          <t>666</t>
        </is>
      </c>
    </row>
    <row r="2104">
      <c r="A2104" t="inlineStr">
        <is>
          <t>IRARICA SANCHEZ JULIO JAVIER T0001116.pdf</t>
        </is>
      </c>
      <c r="B2104">
        <f>HYPERLINK("C:\Users\lmonroy\Tema\PLANILLAS\Boletas 1 - 15 Dic\IRARICA SANCHEZ JULIO JAVIER T0001116.pdf", "Link")</f>
        <v/>
      </c>
      <c r="C2104" t="n">
        <v>134279</v>
      </c>
      <c r="D2104" t="inlineStr">
        <is>
          <t>2024-03-27 10:28:45</t>
        </is>
      </c>
      <c r="E2104" t="inlineStr">
        <is>
          <t>2024-03-27 10:28:45</t>
        </is>
      </c>
      <c r="F2104" t="inlineStr">
        <is>
          <t>666</t>
        </is>
      </c>
    </row>
    <row r="2105">
      <c r="A2105" t="inlineStr">
        <is>
          <t>IRARICA SANCHEZ LALO  T0001117.pdf</t>
        </is>
      </c>
      <c r="B2105">
        <f>HYPERLINK("C:\Users\lmonroy\Tema\PLANILLAS\Boletas 1 - 15 Dic\IRARICA SANCHEZ LALO  T0001117.pdf", "Link")</f>
        <v/>
      </c>
      <c r="C2105" t="n">
        <v>134289</v>
      </c>
      <c r="D2105" t="inlineStr">
        <is>
          <t>2024-03-27 10:26:04</t>
        </is>
      </c>
      <c r="E2105" t="inlineStr">
        <is>
          <t>2024-03-27 10:21:11</t>
        </is>
      </c>
      <c r="F2105" t="inlineStr">
        <is>
          <t>666</t>
        </is>
      </c>
    </row>
    <row r="2106">
      <c r="A2106" t="inlineStr">
        <is>
          <t>IRARICA SANCHEZ LINKER T0001387.pdf</t>
        </is>
      </c>
      <c r="B2106">
        <f>HYPERLINK("C:\Users\lmonroy\Tema\PLANILLAS\Boletas 1 - 15 Dic\IRARICA SANCHEZ LINKER T0001387.pdf", "Link")</f>
        <v/>
      </c>
      <c r="C2106" t="n">
        <v>134270</v>
      </c>
      <c r="D2106" t="inlineStr">
        <is>
          <t>2024-03-27 10:28:04</t>
        </is>
      </c>
      <c r="E2106" t="inlineStr">
        <is>
          <t>2024-03-27 10:22:07</t>
        </is>
      </c>
      <c r="F2106" t="inlineStr">
        <is>
          <t>666</t>
        </is>
      </c>
    </row>
    <row r="2107">
      <c r="A2107" t="inlineStr">
        <is>
          <t>JABA MAHUA JAVIER  T0001118.pdf</t>
        </is>
      </c>
      <c r="B2107">
        <f>HYPERLINK("C:\Users\lmonroy\Tema\PLANILLAS\Boletas 1 - 15 Dic\JABA MAHUA JAVIER  T0001118.pdf", "Link")</f>
        <v/>
      </c>
      <c r="C2107" t="n">
        <v>134287</v>
      </c>
      <c r="D2107" t="inlineStr">
        <is>
          <t>2024-03-27 10:28:30</t>
        </is>
      </c>
      <c r="E2107" t="inlineStr">
        <is>
          <t>2024-03-27 10:28:30</t>
        </is>
      </c>
      <c r="F2107" t="inlineStr">
        <is>
          <t>666</t>
        </is>
      </c>
    </row>
    <row r="2108">
      <c r="A2108" t="inlineStr">
        <is>
          <t>JABA MORENO HILDER  T0001119.pdf</t>
        </is>
      </c>
      <c r="B2108">
        <f>HYPERLINK("C:\Users\lmonroy\Tema\PLANILLAS\Boletas 1 - 15 Dic\JABA MORENO HILDER  T0001119.pdf", "Link")</f>
        <v/>
      </c>
      <c r="C2108" t="n">
        <v>134294</v>
      </c>
      <c r="D2108" t="inlineStr">
        <is>
          <t>2024-03-27 10:27:23</t>
        </is>
      </c>
      <c r="E2108" t="inlineStr">
        <is>
          <t>2024-03-27 10:21:47</t>
        </is>
      </c>
      <c r="F2108" t="inlineStr">
        <is>
          <t>666</t>
        </is>
      </c>
    </row>
    <row r="2109">
      <c r="A2109" t="inlineStr">
        <is>
          <t>JABA MORENO LUIS  T0001120.pdf</t>
        </is>
      </c>
      <c r="B2109">
        <f>HYPERLINK("C:\Users\lmonroy\Tema\PLANILLAS\Boletas 1 - 15 Dic\JABA MORENO LUIS  T0001120.pdf", "Link")</f>
        <v/>
      </c>
      <c r="C2109" t="n">
        <v>134272</v>
      </c>
      <c r="D2109" t="inlineStr">
        <is>
          <t>2024-03-27 10:28:12</t>
        </is>
      </c>
      <c r="E2109" t="inlineStr">
        <is>
          <t>2024-03-27 10:28:12</t>
        </is>
      </c>
      <c r="F2109" t="inlineStr">
        <is>
          <t>666</t>
        </is>
      </c>
    </row>
    <row r="2110">
      <c r="A2110" t="inlineStr">
        <is>
          <t>JABA MORENO SALIS  T0001121.pdf</t>
        </is>
      </c>
      <c r="B2110">
        <f>HYPERLINK("C:\Users\lmonroy\Tema\PLANILLAS\Boletas 1 - 15 Dic\JABA MORENO SALIS  T0001121.pdf", "Link")</f>
        <v/>
      </c>
      <c r="C2110" t="n">
        <v>134269</v>
      </c>
      <c r="D2110" t="inlineStr">
        <is>
          <t>2024-03-27 10:27:24</t>
        </is>
      </c>
      <c r="E2110" t="inlineStr">
        <is>
          <t>2024-03-27 10:27:24</t>
        </is>
      </c>
      <c r="F2110" t="inlineStr">
        <is>
          <t>666</t>
        </is>
      </c>
    </row>
    <row r="2111">
      <c r="A2111" t="inlineStr">
        <is>
          <t>JABA TORRES CARLOS DANIEL T0001122.pdf</t>
        </is>
      </c>
      <c r="B2111">
        <f>HYPERLINK("C:\Users\lmonroy\Tema\PLANILLAS\Boletas 1 - 15 Dic\JABA TORRES CARLOS DANIEL T0001122.pdf", "Link")</f>
        <v/>
      </c>
      <c r="C2111" t="n">
        <v>134297</v>
      </c>
      <c r="D2111" t="inlineStr">
        <is>
          <t>2024-03-27 10:27:17</t>
        </is>
      </c>
      <c r="E2111" t="inlineStr">
        <is>
          <t>2024-03-27 10:21:45</t>
        </is>
      </c>
      <c r="F2111" t="inlineStr">
        <is>
          <t>666</t>
        </is>
      </c>
    </row>
    <row r="2112">
      <c r="A2112" t="inlineStr">
        <is>
          <t>JABA TORRES JOAGNER  T0001123.pdf</t>
        </is>
      </c>
      <c r="B2112">
        <f>HYPERLINK("C:\Users\lmonroy\Tema\PLANILLAS\Boletas 1 - 15 Dic\JABA TORRES JOAGNER  T0001123.pdf", "Link")</f>
        <v/>
      </c>
      <c r="C2112" t="n">
        <v>134269</v>
      </c>
      <c r="D2112" t="inlineStr">
        <is>
          <t>2024-03-27 10:26:24</t>
        </is>
      </c>
      <c r="E2112" t="inlineStr">
        <is>
          <t>2024-03-27 10:21:20</t>
        </is>
      </c>
      <c r="F2112" t="inlineStr">
        <is>
          <t>666</t>
        </is>
      </c>
    </row>
    <row r="2113">
      <c r="A2113" t="inlineStr">
        <is>
          <t>JABA TORRES LUIS T0001386.pdf</t>
        </is>
      </c>
      <c r="B2113">
        <f>HYPERLINK("C:\Users\lmonroy\Tema\PLANILLAS\Boletas 1 - 15 Dic\JABA TORRES LUIS T0001386.pdf", "Link")</f>
        <v/>
      </c>
      <c r="C2113" t="n">
        <v>134285</v>
      </c>
      <c r="D2113" t="inlineStr">
        <is>
          <t>2024-03-27 10:26:34</t>
        </is>
      </c>
      <c r="E2113" t="inlineStr">
        <is>
          <t>2024-03-27 10:21:24</t>
        </is>
      </c>
      <c r="F2113" t="inlineStr">
        <is>
          <t>666</t>
        </is>
      </c>
    </row>
    <row r="2114">
      <c r="A2114" t="inlineStr">
        <is>
          <t>JABA TORRES NIXON  T0001124.pdf</t>
        </is>
      </c>
      <c r="B2114">
        <f>HYPERLINK("C:\Users\lmonroy\Tema\PLANILLAS\Boletas 1 - 15 Dic\JABA TORRES NIXON  T0001124.pdf", "Link")</f>
        <v/>
      </c>
      <c r="C2114" t="n">
        <v>134290</v>
      </c>
      <c r="D2114" t="inlineStr">
        <is>
          <t>2024-03-27 10:26:21</t>
        </is>
      </c>
      <c r="E2114" t="inlineStr">
        <is>
          <t>2024-03-27 10:21:17</t>
        </is>
      </c>
      <c r="F2114" t="inlineStr">
        <is>
          <t>666</t>
        </is>
      </c>
    </row>
    <row r="2115">
      <c r="A2115" t="inlineStr">
        <is>
          <t>JAVA RIOS ADRIANO  T0001125.pdf</t>
        </is>
      </c>
      <c r="B2115">
        <f>HYPERLINK("C:\Users\lmonroy\Tema\PLANILLAS\Boletas 1 - 15 Dic\JAVA RIOS ADRIANO  T0001125.pdf", "Link")</f>
        <v/>
      </c>
      <c r="C2115" t="n">
        <v>134274</v>
      </c>
      <c r="D2115" t="inlineStr">
        <is>
          <t>2024-03-27 10:29:17</t>
        </is>
      </c>
      <c r="E2115" t="inlineStr">
        <is>
          <t>2024-03-27 10:29:17</t>
        </is>
      </c>
      <c r="F2115" t="inlineStr">
        <is>
          <t>666</t>
        </is>
      </c>
    </row>
    <row r="2116">
      <c r="A2116" t="inlineStr">
        <is>
          <t>JAVA RIOS BILLY  T0001126.pdf</t>
        </is>
      </c>
      <c r="B2116">
        <f>HYPERLINK("C:\Users\lmonroy\Tema\PLANILLAS\Boletas 1 - 15 Dic\JAVA RIOS BILLY  T0001126.pdf", "Link")</f>
        <v/>
      </c>
      <c r="C2116" t="n">
        <v>134275</v>
      </c>
      <c r="D2116" t="inlineStr">
        <is>
          <t>2024-03-27 10:29:18</t>
        </is>
      </c>
      <c r="E2116" t="inlineStr">
        <is>
          <t>2024-03-27 10:29:18</t>
        </is>
      </c>
      <c r="F2116" t="inlineStr">
        <is>
          <t>666</t>
        </is>
      </c>
    </row>
    <row r="2117">
      <c r="A2117" t="inlineStr">
        <is>
          <t>JAVA RIOS PLACIDO  T0001127.pdf</t>
        </is>
      </c>
      <c r="B2117">
        <f>HYPERLINK("C:\Users\lmonroy\Tema\PLANILLAS\Boletas 1 - 15 Dic\JAVA RIOS PLACIDO  T0001127.pdf", "Link")</f>
        <v/>
      </c>
      <c r="C2117" t="n">
        <v>134264</v>
      </c>
      <c r="D2117" t="inlineStr">
        <is>
          <t>2024-03-27 10:29:19</t>
        </is>
      </c>
      <c r="E2117" t="inlineStr">
        <is>
          <t>2024-03-27 10:29:19</t>
        </is>
      </c>
      <c r="F2117" t="inlineStr">
        <is>
          <t>666</t>
        </is>
      </c>
    </row>
    <row r="2118">
      <c r="A2118" t="inlineStr">
        <is>
          <t>JAVA RIOS WEIDER T0001379.pdf</t>
        </is>
      </c>
      <c r="B2118">
        <f>HYPERLINK("C:\Users\lmonroy\Tema\PLANILLAS\Boletas 1 - 15 Dic\JAVA RIOS WEIDER T0001379.pdf", "Link")</f>
        <v/>
      </c>
      <c r="C2118" t="n">
        <v>134277</v>
      </c>
      <c r="D2118" t="inlineStr">
        <is>
          <t>2024-03-27 10:31:03</t>
        </is>
      </c>
      <c r="E2118" t="inlineStr">
        <is>
          <t>2024-03-27 10:31:03</t>
        </is>
      </c>
      <c r="F2118" t="inlineStr">
        <is>
          <t>666</t>
        </is>
      </c>
    </row>
    <row r="2119">
      <c r="A2119" t="inlineStr">
        <is>
          <t>JAVA TORRES DARWIN T0001378.pdf</t>
        </is>
      </c>
      <c r="B2119">
        <f>HYPERLINK("C:\Users\lmonroy\Tema\PLANILLAS\Boletas 1 - 15 Dic\JAVA TORRES DARWIN T0001378.pdf", "Link")</f>
        <v/>
      </c>
      <c r="C2119" t="n">
        <v>134293</v>
      </c>
      <c r="D2119" t="inlineStr">
        <is>
          <t>2024-03-27 10:31:02</t>
        </is>
      </c>
      <c r="E2119" t="inlineStr">
        <is>
          <t>2024-03-27 10:31:01</t>
        </is>
      </c>
      <c r="F2119" t="inlineStr">
        <is>
          <t>666</t>
        </is>
      </c>
    </row>
    <row r="2120">
      <c r="A2120" t="inlineStr">
        <is>
          <t>JESUS SANDI SEGUNDO  T0001128.pdf</t>
        </is>
      </c>
      <c r="B2120">
        <f>HYPERLINK("C:\Users\lmonroy\Tema\PLANILLAS\Boletas 1 - 15 Dic\JESUS SANDI SEGUNDO  T0001128.pdf", "Link")</f>
        <v/>
      </c>
      <c r="C2120" t="n">
        <v>134271</v>
      </c>
      <c r="D2120" t="inlineStr">
        <is>
          <t>2024-03-27 10:29:20</t>
        </is>
      </c>
      <c r="E2120" t="inlineStr">
        <is>
          <t>2024-03-27 10:29:20</t>
        </is>
      </c>
      <c r="F2120" t="inlineStr">
        <is>
          <t>666</t>
        </is>
      </c>
    </row>
    <row r="2121">
      <c r="A2121" t="inlineStr">
        <is>
          <t>JOGUISTA  INUMA SEGUNDO  T0001130.pdf</t>
        </is>
      </c>
      <c r="B2121">
        <f>HYPERLINK("C:\Users\lmonroy\Tema\PLANILLAS\Boletas 1 - 15 Dic\JOGUISTA  INUMA SEGUNDO  T0001130.pdf", "Link")</f>
        <v/>
      </c>
      <c r="C2121" t="n">
        <v>134254</v>
      </c>
      <c r="D2121" t="inlineStr">
        <is>
          <t>2024-03-27 10:29:21</t>
        </is>
      </c>
      <c r="E2121" t="inlineStr">
        <is>
          <t>2024-03-27 10:29:21</t>
        </is>
      </c>
      <c r="F2121" t="inlineStr">
        <is>
          <t>666</t>
        </is>
      </c>
    </row>
    <row r="2122">
      <c r="A2122" t="inlineStr">
        <is>
          <t>JOGUISTA INUMA JOSE  T0001131.pdf</t>
        </is>
      </c>
      <c r="B2122">
        <f>HYPERLINK("C:\Users\lmonroy\Tema\PLANILLAS\Boletas 1 - 15 Dic\JOGUISTA INUMA JOSE  T0001131.pdf", "Link")</f>
        <v/>
      </c>
      <c r="C2122" t="n">
        <v>134251</v>
      </c>
      <c r="D2122" t="inlineStr">
        <is>
          <t>2024-03-27 10:29:22</t>
        </is>
      </c>
      <c r="E2122" t="inlineStr">
        <is>
          <t>2024-03-27 10:29:22</t>
        </is>
      </c>
      <c r="F2122" t="inlineStr">
        <is>
          <t>666</t>
        </is>
      </c>
    </row>
    <row r="2123">
      <c r="A2123" t="inlineStr">
        <is>
          <t>JOGUISTA MACUSI JUAN  T0001132.pdf</t>
        </is>
      </c>
      <c r="B2123">
        <f>HYPERLINK("C:\Users\lmonroy\Tema\PLANILLAS\Boletas 1 - 15 Dic\JOGUISTA MACUSI JUAN  T0001132.pdf", "Link")</f>
        <v/>
      </c>
      <c r="C2123" t="n">
        <v>134240</v>
      </c>
      <c r="D2123" t="inlineStr">
        <is>
          <t>2024-03-27 10:29:23</t>
        </is>
      </c>
      <c r="E2123" t="inlineStr">
        <is>
          <t>2024-03-27 10:29:23</t>
        </is>
      </c>
      <c r="F2123" t="inlineStr">
        <is>
          <t>666</t>
        </is>
      </c>
    </row>
    <row r="2124">
      <c r="A2124" t="inlineStr">
        <is>
          <t>JOGUISTA MACUSI JUAN  T0001133.pdf</t>
        </is>
      </c>
      <c r="B2124">
        <f>HYPERLINK("C:\Users\lmonroy\Tema\PLANILLAS\Boletas 1 - 15 Dic\JOGUISTA MACUSI JUAN  T0001133.pdf", "Link")</f>
        <v/>
      </c>
      <c r="C2124" t="n">
        <v>134239</v>
      </c>
      <c r="D2124" t="inlineStr">
        <is>
          <t>2024-03-27 10:29:24</t>
        </is>
      </c>
      <c r="E2124" t="inlineStr">
        <is>
          <t>2024-03-27 10:29:24</t>
        </is>
      </c>
      <c r="F2124" t="inlineStr">
        <is>
          <t>666</t>
        </is>
      </c>
    </row>
    <row r="2125">
      <c r="A2125" t="inlineStr">
        <is>
          <t>JOGUISTA MACUSI RIGOBERTO  T0001134.pdf</t>
        </is>
      </c>
      <c r="B2125">
        <f>HYPERLINK("C:\Users\lmonroy\Tema\PLANILLAS\Boletas 1 - 15 Dic\JOGUISTA MACUSI RIGOBERTO  T0001134.pdf", "Link")</f>
        <v/>
      </c>
      <c r="C2125" t="n">
        <v>134271</v>
      </c>
      <c r="D2125" t="inlineStr">
        <is>
          <t>2024-03-27 10:29:25</t>
        </is>
      </c>
      <c r="E2125" t="inlineStr">
        <is>
          <t>2024-03-27 10:29:25</t>
        </is>
      </c>
      <c r="F2125" t="inlineStr">
        <is>
          <t>666</t>
        </is>
      </c>
    </row>
    <row r="2126">
      <c r="A2126" t="inlineStr">
        <is>
          <t>JOGUISTA MACUSI SEGUNDO  T0001136.pdf</t>
        </is>
      </c>
      <c r="B2126">
        <f>HYPERLINK("C:\Users\lmonroy\Tema\PLANILLAS\Boletas 1 - 15 Dic\JOGUISTA MACUSI SEGUNDO  T0001136.pdf", "Link")</f>
        <v/>
      </c>
      <c r="C2126" t="n">
        <v>134361</v>
      </c>
      <c r="D2126" t="inlineStr">
        <is>
          <t>2024-03-27 10:29:27</t>
        </is>
      </c>
      <c r="E2126" t="inlineStr">
        <is>
          <t>2024-03-27 10:29:27</t>
        </is>
      </c>
      <c r="F2126" t="inlineStr">
        <is>
          <t>666</t>
        </is>
      </c>
    </row>
    <row r="2127">
      <c r="A2127" t="inlineStr">
        <is>
          <t>JOGUISTA OJAICATE ITAMAR  T0001137.pdf</t>
        </is>
      </c>
      <c r="B2127">
        <f>HYPERLINK("C:\Users\lmonroy\Tema\PLANILLAS\Boletas 1 - 15 Dic\JOGUISTA OJAICATE ITAMAR  T0001137.pdf", "Link")</f>
        <v/>
      </c>
      <c r="C2127" t="n">
        <v>134261</v>
      </c>
      <c r="D2127" t="inlineStr">
        <is>
          <t>2024-03-27 10:29:28</t>
        </is>
      </c>
      <c r="E2127" t="inlineStr">
        <is>
          <t>2024-03-27 10:29:28</t>
        </is>
      </c>
      <c r="F2127" t="inlineStr">
        <is>
          <t>666</t>
        </is>
      </c>
    </row>
    <row r="2128">
      <c r="A2128" t="inlineStr">
        <is>
          <t>JOGUISTA RIOS JOSE  T0001138.pdf</t>
        </is>
      </c>
      <c r="B2128">
        <f>HYPERLINK("C:\Users\lmonroy\Tema\PLANILLAS\Boletas 1 - 15 Dic\JOGUISTA RIOS JOSE  T0001138.pdf", "Link")</f>
        <v/>
      </c>
      <c r="C2128" t="n">
        <v>134239</v>
      </c>
      <c r="D2128" t="inlineStr">
        <is>
          <t>2024-03-27 10:28:00</t>
        </is>
      </c>
      <c r="E2128" t="inlineStr">
        <is>
          <t>2024-03-27 10:28:00</t>
        </is>
      </c>
      <c r="F2128" t="inlineStr">
        <is>
          <t>666</t>
        </is>
      </c>
    </row>
    <row r="2129">
      <c r="A2129" t="inlineStr">
        <is>
          <t>JOQUISTA MACUSI ROBINSON  T0001135.pdf</t>
        </is>
      </c>
      <c r="B2129">
        <f>HYPERLINK("C:\Users\lmonroy\Tema\PLANILLAS\Boletas 1 - 15 Dic\JOQUISTA MACUSI ROBINSON  T0001135.pdf", "Link")</f>
        <v/>
      </c>
      <c r="C2129" t="n">
        <v>134278</v>
      </c>
      <c r="D2129" t="inlineStr">
        <is>
          <t>2024-03-27 10:29:26</t>
        </is>
      </c>
      <c r="E2129" t="inlineStr">
        <is>
          <t>2024-03-27 10:29:26</t>
        </is>
      </c>
      <c r="F2129" t="inlineStr">
        <is>
          <t>666</t>
        </is>
      </c>
    </row>
    <row r="2130">
      <c r="A2130" t="inlineStr">
        <is>
          <t>LAICHI DELGADO DEYVIS GILBERTO T0001139.pdf</t>
        </is>
      </c>
      <c r="B2130">
        <f>HYPERLINK("C:\Users\lmonroy\Tema\PLANILLAS\Boletas 1 - 15 Dic\LAICHI DELGADO DEYVIS GILBERTO T0001139.pdf", "Link")</f>
        <v/>
      </c>
      <c r="C2130" t="n">
        <v>134302</v>
      </c>
      <c r="D2130" t="inlineStr">
        <is>
          <t>2024-03-27 10:27:28</t>
        </is>
      </c>
      <c r="E2130" t="inlineStr">
        <is>
          <t>2024-03-27 10:21:51</t>
        </is>
      </c>
      <c r="F2130" t="inlineStr">
        <is>
          <t>666</t>
        </is>
      </c>
    </row>
    <row r="2131">
      <c r="A2131" t="inlineStr">
        <is>
          <t>LAVAJOS VELA GILBERTO  T0001140.pdf</t>
        </is>
      </c>
      <c r="B2131">
        <f>HYPERLINK("C:\Users\lmonroy\Tema\PLANILLAS\Boletas 1 - 15 Dic\LAVAJOS VELA GILBERTO  T0001140.pdf", "Link")</f>
        <v/>
      </c>
      <c r="C2131" t="n">
        <v>134343</v>
      </c>
      <c r="D2131" t="inlineStr">
        <is>
          <t>2024-03-27 10:29:29</t>
        </is>
      </c>
      <c r="E2131" t="inlineStr">
        <is>
          <t>2024-03-27 10:29:29</t>
        </is>
      </c>
      <c r="F2131" t="inlineStr">
        <is>
          <t>666</t>
        </is>
      </c>
    </row>
    <row r="2132">
      <c r="A2132" t="inlineStr">
        <is>
          <t>LLERENA TORRES MILTON  T0001141.pdf</t>
        </is>
      </c>
      <c r="B2132">
        <f>HYPERLINK("C:\Users\lmonroy\Tema\PLANILLAS\Boletas 1 - 15 Dic\LLERENA TORRES MILTON  T0001141.pdf", "Link")</f>
        <v/>
      </c>
      <c r="C2132" t="n">
        <v>134379</v>
      </c>
      <c r="D2132" t="inlineStr">
        <is>
          <t>2024-03-27 10:28:37</t>
        </is>
      </c>
      <c r="E2132" t="inlineStr">
        <is>
          <t>2024-03-27 10:28:37</t>
        </is>
      </c>
      <c r="F2132" t="inlineStr">
        <is>
          <t>666</t>
        </is>
      </c>
    </row>
    <row r="2133">
      <c r="A2133" t="inlineStr">
        <is>
          <t>LOMAS PACAYA MARCOS LUIS T0001142.pdf</t>
        </is>
      </c>
      <c r="B2133">
        <f>HYPERLINK("C:\Users\lmonroy\Tema\PLANILLAS\Boletas 1 - 15 Dic\LOMAS PACAYA MARCOS LUIS T0001142.pdf", "Link")</f>
        <v/>
      </c>
      <c r="C2133" t="n">
        <v>134243</v>
      </c>
      <c r="D2133" t="inlineStr">
        <is>
          <t>2024-03-27 10:27:46</t>
        </is>
      </c>
      <c r="E2133" t="inlineStr">
        <is>
          <t>2024-03-27 10:27:46</t>
        </is>
      </c>
      <c r="F2133" t="inlineStr">
        <is>
          <t>666</t>
        </is>
      </c>
    </row>
    <row r="2134">
      <c r="A2134" t="inlineStr">
        <is>
          <t>LOPEZ CUNAYA PASTOR  T0001143.pdf</t>
        </is>
      </c>
      <c r="B2134">
        <f>HYPERLINK("C:\Users\lmonroy\Tema\PLANILLAS\Boletas 1 - 15 Dic\LOPEZ CUNAYA PASTOR  T0001143.pdf", "Link")</f>
        <v/>
      </c>
      <c r="C2134" t="n">
        <v>134292</v>
      </c>
      <c r="D2134" t="inlineStr">
        <is>
          <t>2024-03-27 10:26:25</t>
        </is>
      </c>
      <c r="E2134" t="inlineStr">
        <is>
          <t>2024-03-27 10:21:20</t>
        </is>
      </c>
      <c r="F2134" t="inlineStr">
        <is>
          <t>666</t>
        </is>
      </c>
    </row>
    <row r="2135">
      <c r="A2135" t="inlineStr">
        <is>
          <t>LOPEZ JOGUISTA ESTEBAN  T0001144.pdf</t>
        </is>
      </c>
      <c r="B2135">
        <f>HYPERLINK("C:\Users\lmonroy\Tema\PLANILLAS\Boletas 1 - 15 Dic\LOPEZ JOGUISTA ESTEBAN  T0001144.pdf", "Link")</f>
        <v/>
      </c>
      <c r="C2135" t="n">
        <v>134295</v>
      </c>
      <c r="D2135" t="inlineStr">
        <is>
          <t>2024-03-27 10:27:50</t>
        </is>
      </c>
      <c r="E2135" t="inlineStr">
        <is>
          <t>2024-03-27 10:22:01</t>
        </is>
      </c>
      <c r="F2135" t="inlineStr">
        <is>
          <t>666</t>
        </is>
      </c>
    </row>
    <row r="2136">
      <c r="A2136" t="inlineStr">
        <is>
          <t>LOPEZ JOGUISTA JOSE  T0001145.pdf</t>
        </is>
      </c>
      <c r="B2136">
        <f>HYPERLINK("C:\Users\lmonroy\Tema\PLANILLAS\Boletas 1 - 15 Dic\LOPEZ JOGUISTA JOSE  T0001145.pdf", "Link")</f>
        <v/>
      </c>
      <c r="C2136" t="n">
        <v>134365</v>
      </c>
      <c r="D2136" t="inlineStr">
        <is>
          <t>2024-03-27 10:27:53</t>
        </is>
      </c>
      <c r="E2136" t="inlineStr">
        <is>
          <t>2024-03-27 10:22:02</t>
        </is>
      </c>
      <c r="F2136" t="inlineStr">
        <is>
          <t>666</t>
        </is>
      </c>
    </row>
    <row r="2137">
      <c r="A2137" t="inlineStr">
        <is>
          <t>LOPEZ JOGUISTA RUSBEL  T0001146.pdf</t>
        </is>
      </c>
      <c r="B2137">
        <f>HYPERLINK("C:\Users\lmonroy\Tema\PLANILLAS\Boletas 1 - 15 Dic\LOPEZ JOGUISTA RUSBEL  T0001146.pdf", "Link")</f>
        <v/>
      </c>
      <c r="C2137" t="n">
        <v>134252</v>
      </c>
      <c r="D2137" t="inlineStr">
        <is>
          <t>2024-03-27 10:26:44</t>
        </is>
      </c>
      <c r="E2137" t="inlineStr">
        <is>
          <t>2024-03-27 10:26:44</t>
        </is>
      </c>
      <c r="F2137" t="inlineStr">
        <is>
          <t>666</t>
        </is>
      </c>
    </row>
    <row r="2138">
      <c r="A2138" t="inlineStr">
        <is>
          <t>LOPEZ MACUSI ANTONI T0001147.pdf</t>
        </is>
      </c>
      <c r="B2138">
        <f>HYPERLINK("C:\Users\lmonroy\Tema\PLANILLAS\Boletas 1 - 15 Dic\LOPEZ MACUSI ANTONI T0001147.pdf", "Link")</f>
        <v/>
      </c>
      <c r="C2138" t="n">
        <v>134252</v>
      </c>
      <c r="D2138" t="inlineStr">
        <is>
          <t>2024-03-27 10:28:03</t>
        </is>
      </c>
      <c r="E2138" t="inlineStr">
        <is>
          <t>2024-03-27 10:28:03</t>
        </is>
      </c>
      <c r="F2138" t="inlineStr">
        <is>
          <t>666</t>
        </is>
      </c>
    </row>
    <row r="2139">
      <c r="A2139" t="inlineStr">
        <is>
          <t>LOPEZ MACUSI CUSTODIO  T0001148.pdf</t>
        </is>
      </c>
      <c r="B2139">
        <f>HYPERLINK("C:\Users\lmonroy\Tema\PLANILLAS\Boletas 1 - 15 Dic\LOPEZ MACUSI CUSTODIO  T0001148.pdf", "Link")</f>
        <v/>
      </c>
      <c r="C2139" t="n">
        <v>134242</v>
      </c>
      <c r="D2139" t="inlineStr">
        <is>
          <t>2024-03-27 10:28:01</t>
        </is>
      </c>
      <c r="E2139" t="inlineStr">
        <is>
          <t>2024-03-27 10:28:01</t>
        </is>
      </c>
      <c r="F2139" t="inlineStr">
        <is>
          <t>666</t>
        </is>
      </c>
    </row>
    <row r="2140">
      <c r="A2140" t="inlineStr">
        <is>
          <t>LOPEZ MACUSI LUIS  T0001149.pdf</t>
        </is>
      </c>
      <c r="B2140">
        <f>HYPERLINK("C:\Users\lmonroy\Tema\PLANILLAS\Boletas 1 - 15 Dic\LOPEZ MACUSI LUIS  T0001149.pdf", "Link")</f>
        <v/>
      </c>
      <c r="C2140" t="n">
        <v>134258</v>
      </c>
      <c r="D2140" t="inlineStr">
        <is>
          <t>2024-03-27 10:26:07</t>
        </is>
      </c>
      <c r="E2140" t="inlineStr">
        <is>
          <t>2024-03-27 10:26:07</t>
        </is>
      </c>
      <c r="F2140" t="inlineStr">
        <is>
          <t>666</t>
        </is>
      </c>
    </row>
    <row r="2141">
      <c r="A2141" t="inlineStr">
        <is>
          <t>LOPEZ MACUSI SEGUNDO CUSTODIO T0001150.pdf</t>
        </is>
      </c>
      <c r="B2141">
        <f>HYPERLINK("C:\Users\lmonroy\Tema\PLANILLAS\Boletas 1 - 15 Dic\LOPEZ MACUSI SEGUNDO CUSTODIO T0001150.pdf", "Link")</f>
        <v/>
      </c>
      <c r="C2141" t="n">
        <v>134270</v>
      </c>
      <c r="D2141" t="inlineStr">
        <is>
          <t>2024-03-27 10:28:00</t>
        </is>
      </c>
      <c r="E2141" t="inlineStr">
        <is>
          <t>2024-03-27 10:28:00</t>
        </is>
      </c>
      <c r="F2141" t="inlineStr">
        <is>
          <t>666</t>
        </is>
      </c>
    </row>
    <row r="2142">
      <c r="A2142" t="inlineStr">
        <is>
          <t>LOPEZ RODRIGUEZ DILMER AROLDO T0001151.pdf</t>
        </is>
      </c>
      <c r="B2142">
        <f>HYPERLINK("C:\Users\lmonroy\Tema\PLANILLAS\Boletas 1 - 15 Dic\LOPEZ RODRIGUEZ DILMER AROLDO T0001151.pdf", "Link")</f>
        <v/>
      </c>
      <c r="C2142" t="n">
        <v>134292</v>
      </c>
      <c r="D2142" t="inlineStr">
        <is>
          <t>2024-03-27 10:29:30</t>
        </is>
      </c>
      <c r="E2142" t="inlineStr">
        <is>
          <t>2024-03-27 10:29:30</t>
        </is>
      </c>
      <c r="F2142" t="inlineStr">
        <is>
          <t>666</t>
        </is>
      </c>
    </row>
    <row r="2143">
      <c r="A2143" t="inlineStr">
        <is>
          <t>LÓPEZ VELA MARCIAL  T0001152.pdf</t>
        </is>
      </c>
      <c r="B2143">
        <f>HYPERLINK("C:\Users\lmonroy\Tema\PLANILLAS\Boletas 1 - 15 Dic\LÓPEZ VELA MARCIAL  T0001152.pdf", "Link")</f>
        <v/>
      </c>
      <c r="C2143" t="n">
        <v>134257</v>
      </c>
      <c r="D2143" t="inlineStr">
        <is>
          <t>2024-03-27 10:29:31</t>
        </is>
      </c>
      <c r="E2143" t="inlineStr">
        <is>
          <t>2024-03-27 10:29:31</t>
        </is>
      </c>
      <c r="F2143" t="inlineStr">
        <is>
          <t>666</t>
        </is>
      </c>
    </row>
    <row r="2144">
      <c r="A2144" t="inlineStr">
        <is>
          <t>MACAYO YAICATE ABRAHAN  T0001153.pdf</t>
        </is>
      </c>
      <c r="B2144">
        <f>HYPERLINK("C:\Users\lmonroy\Tema\PLANILLAS\Boletas 1 - 15 Dic\MACAYO YAICATE ABRAHAN  T0001153.pdf", "Link")</f>
        <v/>
      </c>
      <c r="C2144" t="n">
        <v>134390</v>
      </c>
      <c r="D2144" t="inlineStr">
        <is>
          <t>2024-03-27 10:25:48</t>
        </is>
      </c>
      <c r="E2144" t="inlineStr">
        <is>
          <t>2024-03-27 10:25:48</t>
        </is>
      </c>
      <c r="F2144" t="inlineStr">
        <is>
          <t>666</t>
        </is>
      </c>
    </row>
    <row r="2145">
      <c r="A2145" t="inlineStr">
        <is>
          <t>MACAYO YAICATE MARDEN  T0001154.pdf</t>
        </is>
      </c>
      <c r="B2145">
        <f>HYPERLINK("C:\Users\lmonroy\Tema\PLANILLAS\Boletas 1 - 15 Dic\MACAYO YAICATE MARDEN  T0001154.pdf", "Link")</f>
        <v/>
      </c>
      <c r="C2145" t="n">
        <v>134341</v>
      </c>
      <c r="D2145" t="inlineStr">
        <is>
          <t>2024-03-27 10:26:14</t>
        </is>
      </c>
      <c r="E2145" t="inlineStr">
        <is>
          <t>2024-03-27 10:26:14</t>
        </is>
      </c>
      <c r="F2145" t="inlineStr">
        <is>
          <t>666</t>
        </is>
      </c>
    </row>
    <row r="2146">
      <c r="A2146" t="inlineStr">
        <is>
          <t>MACEDO TRIGOSO ANTHONY NICK T0001155.pdf</t>
        </is>
      </c>
      <c r="B2146">
        <f>HYPERLINK("C:\Users\lmonroy\Tema\PLANILLAS\Boletas 1 - 15 Dic\MACEDO TRIGOSO ANTHONY NICK T0001155.pdf", "Link")</f>
        <v/>
      </c>
      <c r="C2146" t="n">
        <v>134379</v>
      </c>
      <c r="D2146" t="inlineStr">
        <is>
          <t>2024-03-27 10:29:32</t>
        </is>
      </c>
      <c r="E2146" t="inlineStr">
        <is>
          <t>2024-03-27 10:29:32</t>
        </is>
      </c>
      <c r="F2146" t="inlineStr">
        <is>
          <t>666</t>
        </is>
      </c>
    </row>
    <row r="2147">
      <c r="A2147" t="inlineStr">
        <is>
          <t>MACUSI AHUITE ARTEMIO T0001436.pdf</t>
        </is>
      </c>
      <c r="B2147">
        <f>HYPERLINK("C:\Users\lmonroy\Tema\PLANILLAS\Boletas 1 - 15 Dic\MACUSI AHUITE ARTEMIO T0001436.pdf", "Link")</f>
        <v/>
      </c>
      <c r="C2147" t="n">
        <v>134292</v>
      </c>
      <c r="D2147" t="inlineStr">
        <is>
          <t>2024-03-27 10:25:57</t>
        </is>
      </c>
      <c r="E2147" t="inlineStr">
        <is>
          <t>2024-03-27 10:21:08</t>
        </is>
      </c>
      <c r="F2147" t="inlineStr">
        <is>
          <t>666</t>
        </is>
      </c>
    </row>
    <row r="2148">
      <c r="A2148" t="inlineStr">
        <is>
          <t>MACUSI AHUITE MANUEL  T0001157.pdf</t>
        </is>
      </c>
      <c r="B2148">
        <f>HYPERLINK("C:\Users\lmonroy\Tema\PLANILLAS\Boletas 1 - 15 Dic\MACUSI AHUITE MANUEL  T0001157.pdf", "Link")</f>
        <v/>
      </c>
      <c r="C2148" t="n">
        <v>134287</v>
      </c>
      <c r="D2148" t="inlineStr">
        <is>
          <t>2024-03-27 10:29:33</t>
        </is>
      </c>
      <c r="E2148" t="inlineStr">
        <is>
          <t>2024-03-27 10:22:17</t>
        </is>
      </c>
      <c r="F2148" t="inlineStr">
        <is>
          <t>666</t>
        </is>
      </c>
    </row>
    <row r="2149">
      <c r="A2149" t="inlineStr">
        <is>
          <t>MACUSI ARAHUATE ALBERTO  T0001158.pdf</t>
        </is>
      </c>
      <c r="B2149">
        <f>HYPERLINK("C:\Users\lmonroy\Tema\PLANILLAS\Boletas 1 - 15 Dic\MACUSI ARAHUATE ALBERTO  T0001158.pdf", "Link")</f>
        <v/>
      </c>
      <c r="C2149" t="n">
        <v>134295</v>
      </c>
      <c r="D2149" t="inlineStr">
        <is>
          <t>2024-03-27 10:26:26</t>
        </is>
      </c>
      <c r="E2149" t="inlineStr">
        <is>
          <t>2024-03-27 10:21:21</t>
        </is>
      </c>
      <c r="F2149" t="inlineStr">
        <is>
          <t>666</t>
        </is>
      </c>
    </row>
    <row r="2150">
      <c r="A2150" t="inlineStr">
        <is>
          <t>MACUSI CLEMENTE ALBERTO  T0001159.pdf</t>
        </is>
      </c>
      <c r="B2150">
        <f>HYPERLINK("C:\Users\lmonroy\Tema\PLANILLAS\Boletas 1 - 15 Dic\MACUSI CLEMENTE ALBERTO  T0001159.pdf", "Link")</f>
        <v/>
      </c>
      <c r="C2150" t="n">
        <v>134390</v>
      </c>
      <c r="D2150" t="inlineStr">
        <is>
          <t>2024-03-27 10:26:15</t>
        </is>
      </c>
      <c r="E2150" t="inlineStr">
        <is>
          <t>2024-03-27 10:26:15</t>
        </is>
      </c>
      <c r="F2150" t="inlineStr">
        <is>
          <t>666</t>
        </is>
      </c>
    </row>
    <row r="2151">
      <c r="A2151" t="inlineStr">
        <is>
          <t>MACUSI FOGUISTA CUSTODIO  T0001160.pdf</t>
        </is>
      </c>
      <c r="B2151">
        <f>HYPERLINK("C:\Users\lmonroy\Tema\PLANILLAS\Boletas 1 - 15 Dic\MACUSI FOGUISTA CUSTODIO  T0001160.pdf", "Link")</f>
        <v/>
      </c>
      <c r="C2151" t="n">
        <v>134254</v>
      </c>
      <c r="D2151" t="inlineStr">
        <is>
          <t>2024-03-27 10:28:13</t>
        </is>
      </c>
      <c r="E2151" t="inlineStr">
        <is>
          <t>2024-03-27 10:28:13</t>
        </is>
      </c>
      <c r="F2151" t="inlineStr">
        <is>
          <t>666</t>
        </is>
      </c>
    </row>
    <row r="2152">
      <c r="A2152" t="inlineStr">
        <is>
          <t>MACUSI FUGUISTA WILMER T0001380.pdf</t>
        </is>
      </c>
      <c r="B2152">
        <f>HYPERLINK("C:\Users\lmonroy\Tema\PLANILLAS\Boletas 1 - 15 Dic\MACUSI FUGUISTA WILMER T0001380.pdf", "Link")</f>
        <v/>
      </c>
      <c r="C2152" t="n">
        <v>134379</v>
      </c>
      <c r="D2152" t="inlineStr">
        <is>
          <t>2024-03-27 10:31:03</t>
        </is>
      </c>
      <c r="E2152" t="inlineStr">
        <is>
          <t>2024-03-27 10:22:56</t>
        </is>
      </c>
      <c r="F2152" t="inlineStr">
        <is>
          <t>666</t>
        </is>
      </c>
    </row>
    <row r="2153">
      <c r="A2153" t="inlineStr">
        <is>
          <t>MACUSI INUMA RISBER  T0001161.pdf</t>
        </is>
      </c>
      <c r="B2153">
        <f>HYPERLINK("C:\Users\lmonroy\Tema\PLANILLAS\Boletas 1 - 15 Dic\MACUSI INUMA RISBER  T0001161.pdf", "Link")</f>
        <v/>
      </c>
      <c r="C2153" t="n">
        <v>134290</v>
      </c>
      <c r="D2153" t="inlineStr">
        <is>
          <t>2024-03-27 10:28:19</t>
        </is>
      </c>
      <c r="E2153" t="inlineStr">
        <is>
          <t>2024-03-27 10:22:12</t>
        </is>
      </c>
      <c r="F2153" t="inlineStr">
        <is>
          <t>666</t>
        </is>
      </c>
    </row>
    <row r="2154">
      <c r="A2154" t="inlineStr">
        <is>
          <t>MACUSI INUMA ROBINSON  T0001162.pdf</t>
        </is>
      </c>
      <c r="B2154">
        <f>HYPERLINK("C:\Users\lmonroy\Tema\PLANILLAS\Boletas 1 - 15 Dic\MACUSI INUMA ROBINSON  T0001162.pdf", "Link")</f>
        <v/>
      </c>
      <c r="C2154" t="n">
        <v>134290</v>
      </c>
      <c r="D2154" t="inlineStr">
        <is>
          <t>2024-03-27 10:29:34</t>
        </is>
      </c>
      <c r="E2154" t="inlineStr">
        <is>
          <t>2024-03-27 10:29:34</t>
        </is>
      </c>
      <c r="F2154" t="inlineStr">
        <is>
          <t>666</t>
        </is>
      </c>
    </row>
    <row r="2155">
      <c r="A2155" t="inlineStr">
        <is>
          <t>MACUSI INUMA RUBEL  T0001163.pdf</t>
        </is>
      </c>
      <c r="B2155">
        <f>HYPERLINK("C:\Users\lmonroy\Tema\PLANILLAS\Boletas 1 - 15 Dic\MACUSI INUMA RUBEL  T0001163.pdf", "Link")</f>
        <v/>
      </c>
      <c r="C2155" t="n">
        <v>134258</v>
      </c>
      <c r="D2155" t="inlineStr">
        <is>
          <t>2024-03-27 10:29:35</t>
        </is>
      </c>
      <c r="E2155" t="inlineStr">
        <is>
          <t>2024-03-27 10:22:18</t>
        </is>
      </c>
      <c r="F2155" t="inlineStr">
        <is>
          <t>666</t>
        </is>
      </c>
    </row>
    <row r="2156">
      <c r="A2156" t="inlineStr">
        <is>
          <t>MACUSI JOGUISTA HUMBERTO  T0001165.pdf</t>
        </is>
      </c>
      <c r="B2156">
        <f>HYPERLINK("C:\Users\lmonroy\Tema\PLANILLAS\Boletas 1 - 15 Dic\MACUSI JOGUISTA HUMBERTO  T0001165.pdf", "Link")</f>
        <v/>
      </c>
      <c r="C2156" t="n">
        <v>134275</v>
      </c>
      <c r="D2156" t="inlineStr">
        <is>
          <t>2024-03-27 10:29:36</t>
        </is>
      </c>
      <c r="E2156" t="inlineStr">
        <is>
          <t>2024-03-27 10:29:36</t>
        </is>
      </c>
      <c r="F2156" t="inlineStr">
        <is>
          <t>666</t>
        </is>
      </c>
    </row>
    <row r="2157">
      <c r="A2157" t="inlineStr">
        <is>
          <t>MACUSI JOGUISTA SANDRO  T0001166.pdf</t>
        </is>
      </c>
      <c r="B2157">
        <f>HYPERLINK("C:\Users\lmonroy\Tema\PLANILLAS\Boletas 1 - 15 Dic\MACUSI JOGUISTA SANDRO  T0001166.pdf", "Link")</f>
        <v/>
      </c>
      <c r="C2157" t="n">
        <v>134276</v>
      </c>
      <c r="D2157" t="inlineStr">
        <is>
          <t>2024-03-27 10:29:37</t>
        </is>
      </c>
      <c r="E2157" t="inlineStr">
        <is>
          <t>2024-03-27 10:22:19</t>
        </is>
      </c>
      <c r="F2157" t="inlineStr">
        <is>
          <t>666</t>
        </is>
      </c>
    </row>
    <row r="2158">
      <c r="A2158" t="inlineStr">
        <is>
          <t>MACUSI JOGUISTA SANTIAGO  T0001167.pdf</t>
        </is>
      </c>
      <c r="B2158">
        <f>HYPERLINK("C:\Users\lmonroy\Tema\PLANILLAS\Boletas 1 - 15 Dic\MACUSI JOGUISTA SANTIAGO  T0001167.pdf", "Link")</f>
        <v/>
      </c>
      <c r="C2158" t="n">
        <v>134302</v>
      </c>
      <c r="D2158" t="inlineStr">
        <is>
          <t>2024-03-27 10:29:37</t>
        </is>
      </c>
      <c r="E2158" t="inlineStr">
        <is>
          <t>2024-03-27 10:29:37</t>
        </is>
      </c>
      <c r="F2158" t="inlineStr">
        <is>
          <t>666</t>
        </is>
      </c>
    </row>
    <row r="2159">
      <c r="A2159" t="inlineStr">
        <is>
          <t>MACUSI LOPEZ ALBERTO  T0001168.pdf</t>
        </is>
      </c>
      <c r="B2159">
        <f>HYPERLINK("C:\Users\lmonroy\Tema\PLANILLAS\Boletas 1 - 15 Dic\MACUSI LOPEZ ALBERTO  T0001168.pdf", "Link")</f>
        <v/>
      </c>
      <c r="C2159" t="n">
        <v>134379</v>
      </c>
      <c r="D2159" t="inlineStr">
        <is>
          <t>2024-03-27 10:29:38</t>
        </is>
      </c>
      <c r="E2159" t="inlineStr">
        <is>
          <t>2024-03-27 10:22:20</t>
        </is>
      </c>
      <c r="F2159" t="inlineStr">
        <is>
          <t>666</t>
        </is>
      </c>
    </row>
    <row r="2160">
      <c r="A2160" t="inlineStr">
        <is>
          <t>MACUSI OJAICATE CUSTODIO  T0001169.pdf</t>
        </is>
      </c>
      <c r="B2160">
        <f>HYPERLINK("C:\Users\lmonroy\Tema\PLANILLAS\Boletas 1 - 15 Dic\MACUSI OJAICATE CUSTODIO  T0001169.pdf", "Link")</f>
        <v/>
      </c>
      <c r="C2160" t="n">
        <v>134394</v>
      </c>
      <c r="D2160" t="inlineStr">
        <is>
          <t>2024-03-27 10:29:39</t>
        </is>
      </c>
      <c r="E2160" t="inlineStr">
        <is>
          <t>2024-03-27 10:29:39</t>
        </is>
      </c>
      <c r="F2160" t="inlineStr">
        <is>
          <t>666</t>
        </is>
      </c>
    </row>
    <row r="2161">
      <c r="A2161" t="inlineStr">
        <is>
          <t>MACUSI RUFINO MANUEL  T0001170.pdf</t>
        </is>
      </c>
      <c r="B2161">
        <f>HYPERLINK("C:\Users\lmonroy\Tema\PLANILLAS\Boletas 1 - 15 Dic\MACUSI RUFINO MANUEL  T0001170.pdf", "Link")</f>
        <v/>
      </c>
      <c r="C2161" t="n">
        <v>134294</v>
      </c>
      <c r="D2161" t="inlineStr">
        <is>
          <t>2024-03-27 10:29:40</t>
        </is>
      </c>
      <c r="E2161" t="inlineStr">
        <is>
          <t>2024-03-27 10:22:20</t>
        </is>
      </c>
      <c r="F2161" t="inlineStr">
        <is>
          <t>666</t>
        </is>
      </c>
    </row>
    <row r="2162">
      <c r="A2162" t="inlineStr">
        <is>
          <t>MACUSI RUIZ ANTONIO T0001465.pdf</t>
        </is>
      </c>
      <c r="B2162">
        <f>HYPERLINK("C:\Users\lmonroy\Tema\PLANILLAS\Boletas 1 - 15 Dic\MACUSI RUIZ ANTONIO T0001465.pdf", "Link")</f>
        <v/>
      </c>
      <c r="C2162" t="n">
        <v>134282</v>
      </c>
      <c r="D2162" t="inlineStr">
        <is>
          <t>2024-03-27 10:28:11</t>
        </is>
      </c>
      <c r="E2162" t="inlineStr">
        <is>
          <t>2024-03-27 10:22:08</t>
        </is>
      </c>
      <c r="F2162" t="inlineStr">
        <is>
          <t>666</t>
        </is>
      </c>
    </row>
    <row r="2163">
      <c r="A2163" t="inlineStr">
        <is>
          <t>MACUSI RUIZ CARLOS  T0001171.pdf</t>
        </is>
      </c>
      <c r="B2163">
        <f>HYPERLINK("C:\Users\lmonroy\Tema\PLANILLAS\Boletas 1 - 15 Dic\MACUSI RUIZ CARLOS  T0001171.pdf", "Link")</f>
        <v/>
      </c>
      <c r="C2163" t="n">
        <v>134357</v>
      </c>
      <c r="D2163" t="inlineStr">
        <is>
          <t>2024-03-27 10:29:41</t>
        </is>
      </c>
      <c r="E2163" t="inlineStr">
        <is>
          <t>2024-03-27 10:29:41</t>
        </is>
      </c>
      <c r="F2163" t="inlineStr">
        <is>
          <t>666</t>
        </is>
      </c>
    </row>
    <row r="2164">
      <c r="A2164" t="inlineStr">
        <is>
          <t>MACUSI VELA IGNACIO  T0001172.pdf</t>
        </is>
      </c>
      <c r="B2164">
        <f>HYPERLINK("C:\Users\lmonroy\Tema\PLANILLAS\Boletas 1 - 15 Dic\MACUSI VELA IGNACIO  T0001172.pdf", "Link")</f>
        <v/>
      </c>
      <c r="C2164" t="n">
        <v>134274</v>
      </c>
      <c r="D2164" t="inlineStr">
        <is>
          <t>2024-03-27 10:29:41</t>
        </is>
      </c>
      <c r="E2164" t="inlineStr">
        <is>
          <t>2024-03-27 10:29:41</t>
        </is>
      </c>
      <c r="F2164" t="inlineStr">
        <is>
          <t>666</t>
        </is>
      </c>
    </row>
    <row r="2165">
      <c r="A2165" t="inlineStr">
        <is>
          <t>MACUSI VELA JACINTO  T0001173.pdf</t>
        </is>
      </c>
      <c r="B2165">
        <f>HYPERLINK("C:\Users\lmonroy\Tema\PLANILLAS\Boletas 1 - 15 Dic\MACUSI VELA JACINTO  T0001173.pdf", "Link")</f>
        <v/>
      </c>
      <c r="C2165" t="n">
        <v>134257</v>
      </c>
      <c r="D2165" t="inlineStr">
        <is>
          <t>2024-03-27 10:29:42</t>
        </is>
      </c>
      <c r="E2165" t="inlineStr">
        <is>
          <t>2024-03-27 10:22:21</t>
        </is>
      </c>
      <c r="F2165" t="inlineStr">
        <is>
          <t>666</t>
        </is>
      </c>
    </row>
    <row r="2166">
      <c r="A2166" t="inlineStr">
        <is>
          <t>MACUSI VELA JORGE T0001388.pdf</t>
        </is>
      </c>
      <c r="B2166">
        <f>HYPERLINK("C:\Users\lmonroy\Tema\PLANILLAS\Boletas 1 - 15 Dic\MACUSI VELA JORGE T0001388.pdf", "Link")</f>
        <v/>
      </c>
      <c r="C2166" t="n">
        <v>134282</v>
      </c>
      <c r="D2166" t="inlineStr">
        <is>
          <t>2024-03-27 10:26:59</t>
        </is>
      </c>
      <c r="E2166" t="inlineStr">
        <is>
          <t>2024-03-27 10:26:59</t>
        </is>
      </c>
      <c r="F2166" t="inlineStr">
        <is>
          <t>666</t>
        </is>
      </c>
    </row>
    <row r="2167">
      <c r="A2167" t="inlineStr">
        <is>
          <t>MACUSI VELA JOSE  T0001174.pdf</t>
        </is>
      </c>
      <c r="B2167">
        <f>HYPERLINK("C:\Users\lmonroy\Tema\PLANILLAS\Boletas 1 - 15 Dic\MACUSI VELA JOSE  T0001174.pdf", "Link")</f>
        <v/>
      </c>
      <c r="C2167" t="n">
        <v>134244</v>
      </c>
      <c r="D2167" t="inlineStr">
        <is>
          <t>2024-03-27 10:29:43</t>
        </is>
      </c>
      <c r="E2167" t="inlineStr">
        <is>
          <t>2024-03-27 10:29:43</t>
        </is>
      </c>
      <c r="F2167" t="inlineStr">
        <is>
          <t>666</t>
        </is>
      </c>
    </row>
    <row r="2168">
      <c r="A2168" t="inlineStr">
        <is>
          <t>MACUSI VELA JUAN  T0001175.pdf</t>
        </is>
      </c>
      <c r="B2168">
        <f>HYPERLINK("C:\Users\lmonroy\Tema\PLANILLAS\Boletas 1 - 15 Dic\MACUSI VELA JUAN  T0001175.pdf", "Link")</f>
        <v/>
      </c>
      <c r="C2168" t="n">
        <v>134285</v>
      </c>
      <c r="D2168" t="inlineStr">
        <is>
          <t>2024-03-27 10:26:27</t>
        </is>
      </c>
      <c r="E2168" t="inlineStr">
        <is>
          <t>2024-03-27 10:26:27</t>
        </is>
      </c>
      <c r="F2168" t="inlineStr">
        <is>
          <t>666</t>
        </is>
      </c>
    </row>
    <row r="2169">
      <c r="A2169" t="inlineStr">
        <is>
          <t>MACUSI VELA MIGUEL  T0001176.pdf</t>
        </is>
      </c>
      <c r="B2169">
        <f>HYPERLINK("C:\Users\lmonroy\Tema\PLANILLAS\Boletas 1 - 15 Dic\MACUSI VELA MIGUEL  T0001176.pdf", "Link")</f>
        <v/>
      </c>
      <c r="C2169" t="n">
        <v>134264</v>
      </c>
      <c r="D2169" t="inlineStr">
        <is>
          <t>2024-03-27 10:29:44</t>
        </is>
      </c>
      <c r="E2169" t="inlineStr">
        <is>
          <t>2024-03-27 10:22:22</t>
        </is>
      </c>
      <c r="F2169" t="inlineStr">
        <is>
          <t>666</t>
        </is>
      </c>
    </row>
    <row r="2170">
      <c r="A2170" t="inlineStr">
        <is>
          <t>MACUSI VELA RONALDO  T0001177.pdf</t>
        </is>
      </c>
      <c r="B2170">
        <f>HYPERLINK("C:\Users\lmonroy\Tema\PLANILLAS\Boletas 1 - 15 Dic\MACUSI VELA RONALDO  T0001177.pdf", "Link")</f>
        <v/>
      </c>
      <c r="C2170" t="n">
        <v>134378</v>
      </c>
      <c r="D2170" t="inlineStr">
        <is>
          <t>2024-03-27 10:29:45</t>
        </is>
      </c>
      <c r="E2170" t="inlineStr">
        <is>
          <t>2024-03-27 10:29:45</t>
        </is>
      </c>
      <c r="F2170" t="inlineStr">
        <is>
          <t>666</t>
        </is>
      </c>
    </row>
    <row r="2171">
      <c r="A2171" t="inlineStr">
        <is>
          <t>MANAJO REATEGUI  JHULINO  T0001180.pdf</t>
        </is>
      </c>
      <c r="B2171">
        <f>HYPERLINK("C:\Users\lmonroy\Tema\PLANILLAS\Boletas 1 - 15 Dic\MANAJO REATEGUI  JHULINO  T0001180.pdf", "Link")</f>
        <v/>
      </c>
      <c r="C2171" t="n">
        <v>134382</v>
      </c>
      <c r="D2171" t="inlineStr">
        <is>
          <t>2024-03-27 10:29:46</t>
        </is>
      </c>
      <c r="E2171" t="inlineStr">
        <is>
          <t>2024-03-27 10:29:46</t>
        </is>
      </c>
      <c r="F2171" t="inlineStr">
        <is>
          <t>666</t>
        </is>
      </c>
    </row>
    <row r="2172">
      <c r="A2172" t="inlineStr">
        <is>
          <t>MANAJO REATEGUI ALEXANDER  T0001181.pdf</t>
        </is>
      </c>
      <c r="B2172">
        <f>HYPERLINK("C:\Users\lmonroy\Tema\PLANILLAS\Boletas 1 - 15 Dic\MANAJO REATEGUI ALEXANDER  T0001181.pdf", "Link")</f>
        <v/>
      </c>
      <c r="C2172" t="n">
        <v>134379</v>
      </c>
      <c r="D2172" t="inlineStr">
        <is>
          <t>2024-03-27 10:29:46</t>
        </is>
      </c>
      <c r="E2172" t="inlineStr">
        <is>
          <t>2024-03-27 10:29:46</t>
        </is>
      </c>
      <c r="F2172" t="inlineStr">
        <is>
          <t>666</t>
        </is>
      </c>
    </row>
    <row r="2173">
      <c r="A2173" t="inlineStr">
        <is>
          <t>MANAJO SAVOYA TEDY T0001461.pdf</t>
        </is>
      </c>
      <c r="B2173">
        <f>HYPERLINK("C:\Users\lmonroy\Tema\PLANILLAS\Boletas 1 - 15 Dic\MANAJO SAVOYA TEDY T0001461.pdf", "Link")</f>
        <v/>
      </c>
      <c r="C2173" t="n">
        <v>134292</v>
      </c>
      <c r="D2173" t="inlineStr">
        <is>
          <t>2024-03-27 10:27:56</t>
        </is>
      </c>
      <c r="E2173" t="inlineStr">
        <is>
          <t>2024-03-27 10:22:04</t>
        </is>
      </c>
      <c r="F2173" t="inlineStr">
        <is>
          <t>666</t>
        </is>
      </c>
    </row>
    <row r="2174">
      <c r="A2174" t="inlineStr">
        <is>
          <t>MANIHUARI MOZOMBITE JORGE MANUEL T0001182.pdf</t>
        </is>
      </c>
      <c r="B2174">
        <f>HYPERLINK("C:\Users\lmonroy\Tema\PLANILLAS\Boletas 1 - 15 Dic\MANIHUARI MOZOMBITE JORGE MANUEL T0001182.pdf", "Link")</f>
        <v/>
      </c>
      <c r="C2174" t="n">
        <v>134408</v>
      </c>
      <c r="D2174" t="inlineStr">
        <is>
          <t>2024-03-27 10:25:53</t>
        </is>
      </c>
      <c r="E2174" t="inlineStr">
        <is>
          <t>2024-03-27 10:21:06</t>
        </is>
      </c>
      <c r="F2174" t="inlineStr">
        <is>
          <t>666</t>
        </is>
      </c>
    </row>
    <row r="2175">
      <c r="A2175" t="inlineStr">
        <is>
          <t>MARICAHUA ALVAN JEN  T0001183.pdf</t>
        </is>
      </c>
      <c r="B2175">
        <f>HYPERLINK("C:\Users\lmonroy\Tema\PLANILLAS\Boletas 1 - 15 Dic\MARICAHUA ALVAN JEN  T0001183.pdf", "Link")</f>
        <v/>
      </c>
      <c r="C2175" t="n">
        <v>134289</v>
      </c>
      <c r="D2175" t="inlineStr">
        <is>
          <t>2024-03-27 10:27:14</t>
        </is>
      </c>
      <c r="E2175" t="inlineStr">
        <is>
          <t>2024-03-27 10:27:13</t>
        </is>
      </c>
      <c r="F2175" t="inlineStr">
        <is>
          <t>666</t>
        </is>
      </c>
    </row>
    <row r="2176">
      <c r="A2176" t="inlineStr">
        <is>
          <t>MAYANCHI ARANDA OSCAR GENARO T0001470.pdf</t>
        </is>
      </c>
      <c r="B2176">
        <f>HYPERLINK("C:\Users\lmonroy\Tema\PLANILLAS\Boletas 1 - 15 Dic\MAYANCHI ARANDA OSCAR GENARO T0001470.pdf", "Link")</f>
        <v/>
      </c>
      <c r="C2176" t="n">
        <v>134302</v>
      </c>
      <c r="D2176" t="inlineStr">
        <is>
          <t>2024-03-27 10:28:32</t>
        </is>
      </c>
      <c r="E2176" t="inlineStr">
        <is>
          <t>2024-03-27 10:22:15</t>
        </is>
      </c>
      <c r="F2176" t="inlineStr">
        <is>
          <t>666</t>
        </is>
      </c>
    </row>
    <row r="2177">
      <c r="A2177" t="inlineStr">
        <is>
          <t>MEJIA MACUSI EFRAIN T0001381.pdf</t>
        </is>
      </c>
      <c r="B2177">
        <f>HYPERLINK("C:\Users\lmonroy\Tema\PLANILLAS\Boletas 1 - 15 Dic\MEJIA MACUSI EFRAIN T0001381.pdf", "Link")</f>
        <v/>
      </c>
      <c r="C2177" t="n">
        <v>134311</v>
      </c>
      <c r="D2177" t="inlineStr">
        <is>
          <t>2024-03-27 10:31:04</t>
        </is>
      </c>
      <c r="E2177" t="inlineStr">
        <is>
          <t>2024-03-27 10:22:57</t>
        </is>
      </c>
      <c r="F2177" t="inlineStr">
        <is>
          <t>666</t>
        </is>
      </c>
    </row>
    <row r="2178">
      <c r="A2178" t="inlineStr">
        <is>
          <t>MELENDEZ FLOREZ ADAN T0001448.pdf</t>
        </is>
      </c>
      <c r="B2178">
        <f>HYPERLINK("C:\Users\lmonroy\Tema\PLANILLAS\Boletas 1 - 15 Dic\MELENDEZ FLOREZ ADAN T0001448.pdf", "Link")</f>
        <v/>
      </c>
      <c r="C2178" t="n">
        <v>134290</v>
      </c>
      <c r="D2178" t="inlineStr">
        <is>
          <t>2024-03-27 10:26:49</t>
        </is>
      </c>
      <c r="E2178" t="inlineStr">
        <is>
          <t>2024-03-27 10:21:29</t>
        </is>
      </c>
      <c r="F2178" t="inlineStr">
        <is>
          <t>666</t>
        </is>
      </c>
    </row>
    <row r="2179">
      <c r="A2179" t="inlineStr">
        <is>
          <t>MEZA MANIHUARI ROMER ABDIAS T0001186.pdf</t>
        </is>
      </c>
      <c r="B2179">
        <f>HYPERLINK("C:\Users\lmonroy\Tema\PLANILLAS\Boletas 1 - 15 Dic\MEZA MANIHUARI ROMER ABDIAS T0001186.pdf", "Link")</f>
        <v/>
      </c>
      <c r="C2179" t="n">
        <v>134292</v>
      </c>
      <c r="D2179" t="inlineStr">
        <is>
          <t>2024-03-27 10:25:57</t>
        </is>
      </c>
      <c r="E2179" t="inlineStr">
        <is>
          <t>2024-03-27 10:25:57</t>
        </is>
      </c>
      <c r="F2179" t="inlineStr">
        <is>
          <t>666</t>
        </is>
      </c>
    </row>
    <row r="2180">
      <c r="A2180" t="inlineStr">
        <is>
          <t>MONTES SANDI ANTONI STEVEN T0001187.pdf</t>
        </is>
      </c>
      <c r="B2180">
        <f>HYPERLINK("C:\Users\lmonroy\Tema\PLANILLAS\Boletas 1 - 15 Dic\MONTES SANDI ANTONI STEVEN T0001187.pdf", "Link")</f>
        <v/>
      </c>
      <c r="C2180" t="n">
        <v>134268</v>
      </c>
      <c r="D2180" t="inlineStr">
        <is>
          <t>2024-03-27 10:29:47</t>
        </is>
      </c>
      <c r="E2180" t="inlineStr">
        <is>
          <t>2024-03-27 10:29:47</t>
        </is>
      </c>
      <c r="F2180" t="inlineStr">
        <is>
          <t>666</t>
        </is>
      </c>
    </row>
    <row r="2181">
      <c r="A2181" t="inlineStr">
        <is>
          <t>MURAYARI MANAJO SEGUNDO ENEMECIO T0001190.pdf</t>
        </is>
      </c>
      <c r="B2181">
        <f>HYPERLINK("C:\Users\lmonroy\Tema\PLANILLAS\Boletas 1 - 15 Dic\MURAYARI MANAJO SEGUNDO ENEMECIO T0001190.pdf", "Link")</f>
        <v/>
      </c>
      <c r="C2181" t="n">
        <v>134377</v>
      </c>
      <c r="D2181" t="inlineStr">
        <is>
          <t>2024-03-27 10:29:48</t>
        </is>
      </c>
      <c r="E2181" t="inlineStr">
        <is>
          <t>2024-03-27 10:29:48</t>
        </is>
      </c>
      <c r="F2181" t="inlineStr">
        <is>
          <t>666</t>
        </is>
      </c>
    </row>
    <row r="2182">
      <c r="A2182" t="inlineStr">
        <is>
          <t>MURAYARI MANIHUARI SEGUNDO  T0001468.pdf</t>
        </is>
      </c>
      <c r="B2182">
        <f>HYPERLINK("C:\Users\lmonroy\Tema\PLANILLAS\Boletas 1 - 15 Dic\MURAYARI MANIHUARI SEGUNDO  T0001468.pdf", "Link")</f>
        <v/>
      </c>
      <c r="C2182" t="n">
        <v>134293</v>
      </c>
      <c r="D2182" t="inlineStr">
        <is>
          <t>2024-03-27 10:28:22</t>
        </is>
      </c>
      <c r="E2182" t="inlineStr">
        <is>
          <t>2024-03-27 10:22:13</t>
        </is>
      </c>
      <c r="F2182" t="inlineStr">
        <is>
          <t>666</t>
        </is>
      </c>
    </row>
    <row r="2183">
      <c r="A2183" t="inlineStr">
        <is>
          <t>MURAYARI MURAYARI GILSER T0001453.pdf</t>
        </is>
      </c>
      <c r="B2183">
        <f>HYPERLINK("C:\Users\lmonroy\Tema\PLANILLAS\Boletas 1 - 15 Dic\MURAYARI MURAYARI GILSER T0001453.pdf", "Link")</f>
        <v/>
      </c>
      <c r="C2183" t="n">
        <v>134279</v>
      </c>
      <c r="D2183" t="inlineStr">
        <is>
          <t>2024-03-27 10:27:22</t>
        </is>
      </c>
      <c r="E2183" t="inlineStr">
        <is>
          <t>2024-03-27 10:21:46</t>
        </is>
      </c>
      <c r="F2183" t="inlineStr">
        <is>
          <t>666</t>
        </is>
      </c>
    </row>
    <row r="2184">
      <c r="A2184" t="inlineStr">
        <is>
          <t>MURAYARI RODRIGUEZ RUSBEL RUDY T0001192.pdf</t>
        </is>
      </c>
      <c r="B2184">
        <f>HYPERLINK("C:\Users\lmonroy\Tema\PLANILLAS\Boletas 1 - 15 Dic\MURAYARI RODRIGUEZ RUSBEL RUDY T0001192.pdf", "Link")</f>
        <v/>
      </c>
      <c r="C2184" t="n">
        <v>134305</v>
      </c>
      <c r="D2184" t="inlineStr">
        <is>
          <t>2024-03-27 10:26:39</t>
        </is>
      </c>
      <c r="E2184" t="inlineStr">
        <is>
          <t>2024-03-27 10:21:27</t>
        </is>
      </c>
      <c r="F2184" t="inlineStr">
        <is>
          <t>666</t>
        </is>
      </c>
    </row>
    <row r="2185">
      <c r="A2185" t="inlineStr">
        <is>
          <t>MURAYARI RODRIGUEZ VICTOR HUGO T0001193.pdf</t>
        </is>
      </c>
      <c r="B2185">
        <f>HYPERLINK("C:\Users\lmonroy\Tema\PLANILLAS\Boletas 1 - 15 Dic\MURAYARI RODRIGUEZ VICTOR HUGO T0001193.pdf", "Link")</f>
        <v/>
      </c>
      <c r="C2185" t="n">
        <v>134347</v>
      </c>
      <c r="D2185" t="inlineStr">
        <is>
          <t>2024-03-27 10:27:52</t>
        </is>
      </c>
      <c r="E2185" t="inlineStr">
        <is>
          <t>2024-03-27 10:27:52</t>
        </is>
      </c>
      <c r="F2185" t="inlineStr">
        <is>
          <t>666</t>
        </is>
      </c>
    </row>
    <row r="2186">
      <c r="A2186" t="inlineStr">
        <is>
          <t>MURAYARI SORIA ELIAS RAFAEL  T0001455.pdf</t>
        </is>
      </c>
      <c r="B2186">
        <f>HYPERLINK("C:\Users\lmonroy\Tema\PLANILLAS\Boletas 1 - 15 Dic\MURAYARI SORIA ELIAS RAFAEL  T0001455.pdf", "Link")</f>
        <v/>
      </c>
      <c r="C2186" t="n">
        <v>134395</v>
      </c>
      <c r="D2186" t="inlineStr">
        <is>
          <t>2024-03-27 10:27:27</t>
        </is>
      </c>
      <c r="E2186" t="inlineStr">
        <is>
          <t>2024-03-27 10:21:50</t>
        </is>
      </c>
      <c r="F2186" t="inlineStr">
        <is>
          <t>666</t>
        </is>
      </c>
    </row>
    <row r="2187">
      <c r="A2187" t="inlineStr">
        <is>
          <t>MUÑOZ PIZANGO DAVID ANTERO T0001188.pdf</t>
        </is>
      </c>
      <c r="B2187">
        <f>HYPERLINK("C:\Users\lmonroy\Tema\PLANILLAS\Boletas 1 - 15 Dic\MUÑOZ PIZANGO DAVID ANTERO T0001188.pdf", "Link")</f>
        <v/>
      </c>
      <c r="C2187" t="n">
        <v>134403</v>
      </c>
      <c r="D2187" t="inlineStr">
        <is>
          <t>2024-03-27 10:27:45</t>
        </is>
      </c>
      <c r="E2187" t="inlineStr">
        <is>
          <t>2024-03-27 10:21:59</t>
        </is>
      </c>
      <c r="F2187" t="inlineStr">
        <is>
          <t>666</t>
        </is>
      </c>
    </row>
    <row r="2188">
      <c r="A2188" t="inlineStr">
        <is>
          <t>NOLORVE TORRES PABLO T0001370.pdf</t>
        </is>
      </c>
      <c r="B2188">
        <f>HYPERLINK("C:\Users\lmonroy\Tema\PLANILLAS\Boletas 1 - 15 Dic\NOLORVE TORRES PABLO T0001370.pdf", "Link")</f>
        <v/>
      </c>
      <c r="C2188" t="n">
        <v>134273</v>
      </c>
      <c r="D2188" t="inlineStr">
        <is>
          <t>2024-03-27 10:30:57</t>
        </is>
      </c>
      <c r="E2188" t="inlineStr">
        <is>
          <t>2024-03-27 10:22:55</t>
        </is>
      </c>
      <c r="F2188" t="inlineStr">
        <is>
          <t>666</t>
        </is>
      </c>
    </row>
    <row r="2189">
      <c r="A2189" t="inlineStr">
        <is>
          <t>NORIBE TARICUARIMA JUAN  T0001195.pdf</t>
        </is>
      </c>
      <c r="B2189">
        <f>HYPERLINK("C:\Users\lmonroy\Tema\PLANILLAS\Boletas 1 - 15 Dic\NORIBE TARICUARIMA JUAN  T0001195.pdf", "Link")</f>
        <v/>
      </c>
      <c r="C2189" t="n">
        <v>134363</v>
      </c>
      <c r="D2189" t="inlineStr">
        <is>
          <t>2024-03-27 10:25:56</t>
        </is>
      </c>
      <c r="E2189" t="inlineStr">
        <is>
          <t>2024-03-27 10:25:56</t>
        </is>
      </c>
      <c r="F2189" t="inlineStr">
        <is>
          <t>666</t>
        </is>
      </c>
    </row>
    <row r="2190">
      <c r="A2190" t="inlineStr">
        <is>
          <t>NORIEGA INUMA LUIS  T0001196.pdf</t>
        </is>
      </c>
      <c r="B2190">
        <f>HYPERLINK("C:\Users\lmonroy\Tema\PLANILLAS\Boletas 1 - 15 Dic\NORIEGA INUMA LUIS  T0001196.pdf", "Link")</f>
        <v/>
      </c>
      <c r="C2190" t="n">
        <v>134240</v>
      </c>
      <c r="D2190" t="inlineStr">
        <is>
          <t>2024-03-27 10:29:49</t>
        </is>
      </c>
      <c r="E2190" t="inlineStr">
        <is>
          <t>2024-03-27 10:29:49</t>
        </is>
      </c>
      <c r="F2190" t="inlineStr">
        <is>
          <t>666</t>
        </is>
      </c>
    </row>
    <row r="2191">
      <c r="A2191" t="inlineStr">
        <is>
          <t>NORIEGA VELA FELIPE T0001197.pdf</t>
        </is>
      </c>
      <c r="B2191">
        <f>HYPERLINK("C:\Users\lmonroy\Tema\PLANILLAS\Boletas 1 - 15 Dic\NORIEGA VELA FELIPE T0001197.pdf", "Link")</f>
        <v/>
      </c>
      <c r="C2191" t="n">
        <v>134273</v>
      </c>
      <c r="D2191" t="inlineStr">
        <is>
          <t>2024-03-27 10:29:50</t>
        </is>
      </c>
      <c r="E2191" t="inlineStr">
        <is>
          <t>2024-03-27 10:29:50</t>
        </is>
      </c>
      <c r="F2191" t="inlineStr">
        <is>
          <t>666</t>
        </is>
      </c>
    </row>
    <row r="2192">
      <c r="A2192" t="inlineStr">
        <is>
          <t>NORIEGA VELA MANUEL  T0001199.pdf</t>
        </is>
      </c>
      <c r="B2192">
        <f>HYPERLINK("C:\Users\lmonroy\Tema\PLANILLAS\Boletas 1 - 15 Dic\NORIEGA VELA MANUEL  T0001199.pdf", "Link")</f>
        <v/>
      </c>
      <c r="C2192" t="n">
        <v>134284</v>
      </c>
      <c r="D2192" t="inlineStr">
        <is>
          <t>2024-03-27 10:29:50</t>
        </is>
      </c>
      <c r="E2192" t="inlineStr">
        <is>
          <t>2024-03-27 10:29:50</t>
        </is>
      </c>
      <c r="F2192" t="inlineStr">
        <is>
          <t>666</t>
        </is>
      </c>
    </row>
    <row r="2193">
      <c r="A2193" t="inlineStr">
        <is>
          <t>NORIEGA VELA POMPILIO  T0001200.pdf</t>
        </is>
      </c>
      <c r="B2193">
        <f>HYPERLINK("C:\Users\lmonroy\Tema\PLANILLAS\Boletas 1 - 15 Dic\NORIEGA VELA POMPILIO  T0001200.pdf", "Link")</f>
        <v/>
      </c>
      <c r="C2193" t="n">
        <v>134287</v>
      </c>
      <c r="D2193" t="inlineStr">
        <is>
          <t>2024-03-27 10:29:51</t>
        </is>
      </c>
      <c r="E2193" t="inlineStr">
        <is>
          <t>2024-03-27 10:29:51</t>
        </is>
      </c>
      <c r="F2193" t="inlineStr">
        <is>
          <t>666</t>
        </is>
      </c>
    </row>
    <row r="2194">
      <c r="A2194" t="inlineStr">
        <is>
          <t>NORIEGA VELA ROBERT  T0001201.pdf</t>
        </is>
      </c>
      <c r="B2194">
        <f>HYPERLINK("C:\Users\lmonroy\Tema\PLANILLAS\Boletas 1 - 15 Dic\NORIEGA VELA ROBERT  T0001201.pdf", "Link")</f>
        <v/>
      </c>
      <c r="C2194" t="n">
        <v>134268</v>
      </c>
      <c r="D2194" t="inlineStr">
        <is>
          <t>2024-03-27 10:29:52</t>
        </is>
      </c>
      <c r="E2194" t="inlineStr">
        <is>
          <t>2024-03-27 10:29:52</t>
        </is>
      </c>
      <c r="F2194" t="inlineStr">
        <is>
          <t>666</t>
        </is>
      </c>
    </row>
    <row r="2195">
      <c r="A2195" t="inlineStr">
        <is>
          <t>NORIEGA VELA WILSON  T0001202.pdf</t>
        </is>
      </c>
      <c r="B2195">
        <f>HYPERLINK("C:\Users\lmonroy\Tema\PLANILLAS\Boletas 1 - 15 Dic\NORIEGA VELA WILSON  T0001202.pdf", "Link")</f>
        <v/>
      </c>
      <c r="C2195" t="n">
        <v>134279</v>
      </c>
      <c r="D2195" t="inlineStr">
        <is>
          <t>2024-03-27 10:29:53</t>
        </is>
      </c>
      <c r="E2195" t="inlineStr">
        <is>
          <t>2024-03-27 10:29:53</t>
        </is>
      </c>
      <c r="F2195" t="inlineStr">
        <is>
          <t>666</t>
        </is>
      </c>
    </row>
    <row r="2196">
      <c r="A2196" t="inlineStr">
        <is>
          <t>NUBE CURICO JOSE LUIS T0001203.pdf</t>
        </is>
      </c>
      <c r="B2196">
        <f>HYPERLINK("C:\Users\lmonroy\Tema\PLANILLAS\Boletas 1 - 15 Dic\NUBE CURICO JOSE LUIS T0001203.pdf", "Link")</f>
        <v/>
      </c>
      <c r="C2196" t="n">
        <v>134372</v>
      </c>
      <c r="D2196" t="inlineStr">
        <is>
          <t>2024-03-27 10:25:52</t>
        </is>
      </c>
      <c r="E2196" t="inlineStr">
        <is>
          <t>2024-03-27 10:25:52</t>
        </is>
      </c>
      <c r="F2196" t="inlineStr">
        <is>
          <t>666</t>
        </is>
      </c>
    </row>
    <row r="2197">
      <c r="A2197" t="inlineStr">
        <is>
          <t>NURIBE ARAHUATE HUMBERTO T0001463.pdf</t>
        </is>
      </c>
      <c r="B2197">
        <f>HYPERLINK("C:\Users\lmonroy\Tema\PLANILLAS\Boletas 1 - 15 Dic\NURIBE ARAHUATE HUMBERTO T0001463.pdf", "Link")</f>
        <v/>
      </c>
      <c r="C2197" t="n">
        <v>134324</v>
      </c>
      <c r="D2197" t="inlineStr">
        <is>
          <t>2024-03-27 10:28:06</t>
        </is>
      </c>
      <c r="E2197" t="inlineStr">
        <is>
          <t>2024-03-27 10:28:06</t>
        </is>
      </c>
      <c r="F2197" t="inlineStr">
        <is>
          <t>666</t>
        </is>
      </c>
    </row>
    <row r="2198">
      <c r="A2198" t="inlineStr">
        <is>
          <t>NURIBE ARAHUATE MANUEL  T0001204.pdf</t>
        </is>
      </c>
      <c r="B2198">
        <f>HYPERLINK("C:\Users\lmonroy\Tema\PLANILLAS\Boletas 1 - 15 Dic\NURIBE ARAHUATE MANUEL  T0001204.pdf", "Link")</f>
        <v/>
      </c>
      <c r="C2198" t="n">
        <v>134388</v>
      </c>
      <c r="D2198" t="inlineStr">
        <is>
          <t>2024-03-27 10:25:35</t>
        </is>
      </c>
      <c r="E2198" t="inlineStr">
        <is>
          <t>2024-03-27 10:20:58</t>
        </is>
      </c>
      <c r="F2198" t="inlineStr">
        <is>
          <t>666</t>
        </is>
      </c>
    </row>
    <row r="2199">
      <c r="A2199" t="inlineStr">
        <is>
          <t>NURIBE INUMA JUAN  T0001205.pdf</t>
        </is>
      </c>
      <c r="B2199">
        <f>HYPERLINK("C:\Users\lmonroy\Tema\PLANILLAS\Boletas 1 - 15 Dic\NURIBE INUMA JUAN  T0001205.pdf", "Link")</f>
        <v/>
      </c>
      <c r="C2199" t="n">
        <v>134285</v>
      </c>
      <c r="D2199" t="inlineStr">
        <is>
          <t>2024-03-27 10:29:54</t>
        </is>
      </c>
      <c r="E2199" t="inlineStr">
        <is>
          <t>2024-03-27 10:22:23</t>
        </is>
      </c>
      <c r="F2199" t="inlineStr">
        <is>
          <t>666</t>
        </is>
      </c>
    </row>
    <row r="2200">
      <c r="A2200" t="inlineStr">
        <is>
          <t>NURIBE JOGUISTA IGNACIO  T0001206.pdf</t>
        </is>
      </c>
      <c r="B2200">
        <f>HYPERLINK("C:\Users\lmonroy\Tema\PLANILLAS\Boletas 1 - 15 Dic\NURIBE JOGUISTA IGNACIO  T0001206.pdf", "Link")</f>
        <v/>
      </c>
      <c r="C2200" t="n">
        <v>134287</v>
      </c>
      <c r="D2200" t="inlineStr">
        <is>
          <t>2024-03-27 10:26:45</t>
        </is>
      </c>
      <c r="E2200" t="inlineStr">
        <is>
          <t>2024-03-27 10:26:45</t>
        </is>
      </c>
      <c r="F2200" t="inlineStr">
        <is>
          <t>666</t>
        </is>
      </c>
    </row>
    <row r="2201">
      <c r="A2201" t="inlineStr">
        <is>
          <t>NURIBE LOPEZ ALEX  T0001207.pdf</t>
        </is>
      </c>
      <c r="B2201">
        <f>HYPERLINK("C:\Users\lmonroy\Tema\PLANILLAS\Boletas 1 - 15 Dic\NURIBE LOPEZ ALEX  T0001207.pdf", "Link")</f>
        <v/>
      </c>
      <c r="C2201" t="n">
        <v>134254</v>
      </c>
      <c r="D2201" t="inlineStr">
        <is>
          <t>2024-03-27 10:29:55</t>
        </is>
      </c>
      <c r="E2201" t="inlineStr">
        <is>
          <t>2024-03-27 10:29:55</t>
        </is>
      </c>
      <c r="F2201" t="inlineStr">
        <is>
          <t>666</t>
        </is>
      </c>
    </row>
    <row r="2202">
      <c r="A2202" t="inlineStr">
        <is>
          <t>NURIBE MACUSI ADAN  T0001208.pdf</t>
        </is>
      </c>
      <c r="B2202">
        <f>HYPERLINK("C:\Users\lmonroy\Tema\PLANILLAS\Boletas 1 - 15 Dic\NURIBE MACUSI ADAN  T0001208.pdf", "Link")</f>
        <v/>
      </c>
      <c r="C2202" t="n">
        <v>134377</v>
      </c>
      <c r="D2202" t="inlineStr">
        <is>
          <t>2024-03-27 10:27:33</t>
        </is>
      </c>
      <c r="E2202" t="inlineStr">
        <is>
          <t>2024-03-27 10:21:55</t>
        </is>
      </c>
      <c r="F2202" t="inlineStr">
        <is>
          <t>666</t>
        </is>
      </c>
    </row>
    <row r="2203">
      <c r="A2203" t="inlineStr">
        <is>
          <t>NURIBE MACUSI ROISER  T0001209.pdf</t>
        </is>
      </c>
      <c r="B2203">
        <f>HYPERLINK("C:\Users\lmonroy\Tema\PLANILLAS\Boletas 1 - 15 Dic\NURIBE MACUSI ROISER  T0001209.pdf", "Link")</f>
        <v/>
      </c>
      <c r="C2203" t="n">
        <v>134287</v>
      </c>
      <c r="D2203" t="inlineStr">
        <is>
          <t>2024-03-27 10:26:53</t>
        </is>
      </c>
      <c r="E2203" t="inlineStr">
        <is>
          <t>2024-03-27 10:21:33</t>
        </is>
      </c>
      <c r="F2203" t="inlineStr">
        <is>
          <t>666</t>
        </is>
      </c>
    </row>
    <row r="2204">
      <c r="A2204" t="inlineStr">
        <is>
          <t>NURIBE NORIEGA JORGE  T0001210.pdf</t>
        </is>
      </c>
      <c r="B2204">
        <f>HYPERLINK("C:\Users\lmonroy\Tema\PLANILLAS\Boletas 1 - 15 Dic\NURIBE NORIEGA JORGE  T0001210.pdf", "Link")</f>
        <v/>
      </c>
      <c r="C2204" t="n">
        <v>134271</v>
      </c>
      <c r="D2204" t="inlineStr">
        <is>
          <t>2024-03-27 10:26:08</t>
        </is>
      </c>
      <c r="E2204" t="inlineStr">
        <is>
          <t>2024-03-27 10:21:12</t>
        </is>
      </c>
      <c r="F2204" t="inlineStr">
        <is>
          <t>666</t>
        </is>
      </c>
    </row>
    <row r="2205">
      <c r="A2205" t="inlineStr">
        <is>
          <t>NURIBE TARICUARIMA LORENZO  T0001211.pdf</t>
        </is>
      </c>
      <c r="B2205">
        <f>HYPERLINK("C:\Users\lmonroy\Tema\PLANILLAS\Boletas 1 - 15 Dic\NURIBE TARICUARIMA LORENZO  T0001211.pdf", "Link")</f>
        <v/>
      </c>
      <c r="C2205" t="n">
        <v>134296</v>
      </c>
      <c r="D2205" t="inlineStr">
        <is>
          <t>2024-03-27 10:29:55</t>
        </is>
      </c>
      <c r="E2205" t="inlineStr">
        <is>
          <t>2024-03-27 10:22:24</t>
        </is>
      </c>
      <c r="F2205" t="inlineStr">
        <is>
          <t>666</t>
        </is>
      </c>
    </row>
    <row r="2206">
      <c r="A2206" t="inlineStr">
        <is>
          <t>OCHOA MONTES SIGFRIDO  T0001212.pdf</t>
        </is>
      </c>
      <c r="B2206">
        <f>HYPERLINK("C:\Users\lmonroy\Tema\PLANILLAS\Boletas 1 - 15 Dic\OCHOA MONTES SIGFRIDO  T0001212.pdf", "Link")</f>
        <v/>
      </c>
      <c r="C2206" t="n">
        <v>134389</v>
      </c>
      <c r="D2206" t="inlineStr">
        <is>
          <t>2024-03-27 10:28:24</t>
        </is>
      </c>
      <c r="E2206" t="inlineStr">
        <is>
          <t>2024-03-27 10:28:24</t>
        </is>
      </c>
      <c r="F2206" t="inlineStr">
        <is>
          <t>666</t>
        </is>
      </c>
    </row>
    <row r="2207">
      <c r="A2207" t="inlineStr">
        <is>
          <t>OCUMBE OJANAMA ANTHONI T0001438.pdf</t>
        </is>
      </c>
      <c r="B2207">
        <f>HYPERLINK("C:\Users\lmonroy\Tema\PLANILLAS\Boletas 1 - 15 Dic\OCUMBE OJANAMA ANTHONI T0001438.pdf", "Link")</f>
        <v/>
      </c>
      <c r="C2207" t="n">
        <v>134385</v>
      </c>
      <c r="D2207" t="inlineStr">
        <is>
          <t>2024-03-27 10:26:13</t>
        </is>
      </c>
      <c r="E2207" t="inlineStr">
        <is>
          <t>2024-03-27 10:21:16</t>
        </is>
      </c>
      <c r="F2207" t="inlineStr">
        <is>
          <t>666</t>
        </is>
      </c>
    </row>
    <row r="2208">
      <c r="A2208" t="inlineStr">
        <is>
          <t>OJAICATE ARAHUATA CARLOS  T0001213.pdf</t>
        </is>
      </c>
      <c r="B2208">
        <f>HYPERLINK("C:\Users\lmonroy\Tema\PLANILLAS\Boletas 1 - 15 Dic\OJAICATE ARAHUATA CARLOS  T0001213.pdf", "Link")</f>
        <v/>
      </c>
      <c r="C2208" t="n">
        <v>134394</v>
      </c>
      <c r="D2208" t="inlineStr">
        <is>
          <t>2024-03-27 10:26:56</t>
        </is>
      </c>
      <c r="E2208" t="inlineStr">
        <is>
          <t>2024-03-27 10:26:56</t>
        </is>
      </c>
      <c r="F2208" t="inlineStr">
        <is>
          <t>666</t>
        </is>
      </c>
    </row>
    <row r="2209">
      <c r="A2209" t="inlineStr">
        <is>
          <t>OJAICATE IGNACIO MARIANO  T0001214.pdf</t>
        </is>
      </c>
      <c r="B2209">
        <f>HYPERLINK("C:\Users\lmonroy\Tema\PLANILLAS\Boletas 1 - 15 Dic\OJAICATE IGNACIO MARIANO  T0001214.pdf", "Link")</f>
        <v/>
      </c>
      <c r="C2209" t="n">
        <v>134296</v>
      </c>
      <c r="D2209" t="inlineStr">
        <is>
          <t>2024-03-27 10:29:56</t>
        </is>
      </c>
      <c r="E2209" t="inlineStr">
        <is>
          <t>2024-03-27 10:22:25</t>
        </is>
      </c>
      <c r="F2209" t="inlineStr">
        <is>
          <t>666</t>
        </is>
      </c>
    </row>
    <row r="2210">
      <c r="A2210" t="inlineStr">
        <is>
          <t>OJAICATE MACUSI MARIANO  T0001391.pdf</t>
        </is>
      </c>
      <c r="B2210">
        <f>HYPERLINK("C:\Users\lmonroy\Tema\PLANILLAS\Boletas 1 - 15 Dic\OJAICATE MACUSI MARIANO  T0001391.pdf", "Link")</f>
        <v/>
      </c>
      <c r="C2210" t="n">
        <v>134262</v>
      </c>
      <c r="D2210" t="inlineStr">
        <is>
          <t>2024-03-27 10:29:57</t>
        </is>
      </c>
      <c r="E2210" t="inlineStr">
        <is>
          <t>2024-03-27 10:29:57</t>
        </is>
      </c>
      <c r="F2210" t="inlineStr">
        <is>
          <t>666</t>
        </is>
      </c>
    </row>
    <row r="2211">
      <c r="A2211" t="inlineStr">
        <is>
          <t>OJAICURO RUIZ MARLON  T0001215.pdf</t>
        </is>
      </c>
      <c r="B2211">
        <f>HYPERLINK("C:\Users\lmonroy\Tema\PLANILLAS\Boletas 1 - 15 Dic\OJAICURO RUIZ MARLON  T0001215.pdf", "Link")</f>
        <v/>
      </c>
      <c r="C2211" t="n">
        <v>134279</v>
      </c>
      <c r="D2211" t="inlineStr">
        <is>
          <t>2024-03-27 10:29:58</t>
        </is>
      </c>
      <c r="E2211" t="inlineStr">
        <is>
          <t>2024-03-27 10:22:26</t>
        </is>
      </c>
      <c r="F2211" t="inlineStr">
        <is>
          <t>666</t>
        </is>
      </c>
    </row>
    <row r="2212">
      <c r="A2212" t="inlineStr">
        <is>
          <t>OJAICURO RUIZ WERLIN  T0001216.pdf</t>
        </is>
      </c>
      <c r="B2212">
        <f>HYPERLINK("C:\Users\lmonroy\Tema\PLANILLAS\Boletas 1 - 15 Dic\OJAICURO RUIZ WERLIN  T0001216.pdf", "Link")</f>
        <v/>
      </c>
      <c r="C2212" t="n">
        <v>134252</v>
      </c>
      <c r="D2212" t="inlineStr">
        <is>
          <t>2024-03-27 10:29:59</t>
        </is>
      </c>
      <c r="E2212" t="inlineStr">
        <is>
          <t>2024-03-27 10:29:59</t>
        </is>
      </c>
      <c r="F2212" t="inlineStr">
        <is>
          <t>666</t>
        </is>
      </c>
    </row>
    <row r="2213">
      <c r="A2213" t="inlineStr">
        <is>
          <t>OJAICURO SUGETA CESAR  T0001217.pdf</t>
        </is>
      </c>
      <c r="B2213">
        <f>HYPERLINK("C:\Users\lmonroy\Tema\PLANILLAS\Boletas 1 - 15 Dic\OJAICURO SUGETA CESAR  T0001217.pdf", "Link")</f>
        <v/>
      </c>
      <c r="C2213" t="n">
        <v>134282</v>
      </c>
      <c r="D2213" t="inlineStr">
        <is>
          <t>2024-03-27 10:30:00</t>
        </is>
      </c>
      <c r="E2213" t="inlineStr">
        <is>
          <t>2024-03-27 10:22:27</t>
        </is>
      </c>
      <c r="F2213" t="inlineStr">
        <is>
          <t>666</t>
        </is>
      </c>
    </row>
    <row r="2214">
      <c r="A2214" t="inlineStr">
        <is>
          <t>OJAICURO SUJETO ROMAN  T0001218.pdf</t>
        </is>
      </c>
      <c r="B2214">
        <f>HYPERLINK("C:\Users\lmonroy\Tema\PLANILLAS\Boletas 1 - 15 Dic\OJAICURO SUJETO ROMAN  T0001218.pdf", "Link")</f>
        <v/>
      </c>
      <c r="C2214" t="n">
        <v>134275</v>
      </c>
      <c r="D2214" t="inlineStr">
        <is>
          <t>2024-03-27 10:30:01</t>
        </is>
      </c>
      <c r="E2214" t="inlineStr">
        <is>
          <t>2024-03-27 10:22:28</t>
        </is>
      </c>
      <c r="F2214" t="inlineStr">
        <is>
          <t>666</t>
        </is>
      </c>
    </row>
    <row r="2215">
      <c r="A2215" t="inlineStr">
        <is>
          <t>OJAICURO VELA ANTONIO  T0001219.pdf</t>
        </is>
      </c>
      <c r="B2215">
        <f>HYPERLINK("C:\Users\lmonroy\Tema\PLANILLAS\Boletas 1 - 15 Dic\OJAICURO VELA ANTONIO  T0001219.pdf", "Link")</f>
        <v/>
      </c>
      <c r="C2215" t="n">
        <v>134293</v>
      </c>
      <c r="D2215" t="inlineStr">
        <is>
          <t>2024-03-27 10:26:53</t>
        </is>
      </c>
      <c r="E2215" t="inlineStr">
        <is>
          <t>2024-03-27 10:21:32</t>
        </is>
      </c>
      <c r="F2215" t="inlineStr">
        <is>
          <t>666</t>
        </is>
      </c>
    </row>
    <row r="2216">
      <c r="A2216" t="inlineStr">
        <is>
          <t>OJAICURO VELA WILDER  T0001220.pdf</t>
        </is>
      </c>
      <c r="B2216">
        <f>HYPERLINK("C:\Users\lmonroy\Tema\PLANILLAS\Boletas 1 - 15 Dic\OJAICURO VELA WILDER  T0001220.pdf", "Link")</f>
        <v/>
      </c>
      <c r="C2216" t="n">
        <v>134299</v>
      </c>
      <c r="D2216" t="inlineStr">
        <is>
          <t>2024-03-27 10:26:52</t>
        </is>
      </c>
      <c r="E2216" t="inlineStr">
        <is>
          <t>2024-03-27 10:21:31</t>
        </is>
      </c>
      <c r="F2216" t="inlineStr">
        <is>
          <t>666</t>
        </is>
      </c>
    </row>
    <row r="2217">
      <c r="A2217" t="inlineStr">
        <is>
          <t>OJECATE OJAICATE JAMES T0001382.pdf</t>
        </is>
      </c>
      <c r="B2217">
        <f>HYPERLINK("C:\Users\lmonroy\Tema\PLANILLAS\Boletas 1 - 15 Dic\OJECATE OJAICATE JAMES T0001382.pdf", "Link")</f>
        <v/>
      </c>
      <c r="C2217" t="n">
        <v>134281</v>
      </c>
      <c r="D2217" t="inlineStr">
        <is>
          <t>2024-03-27 10:31:05</t>
        </is>
      </c>
      <c r="E2217" t="inlineStr">
        <is>
          <t>2024-03-27 10:22:58</t>
        </is>
      </c>
      <c r="F2217" t="inlineStr">
        <is>
          <t>666</t>
        </is>
      </c>
    </row>
    <row r="2218">
      <c r="A2218" t="inlineStr">
        <is>
          <t>OJEICATE ARAHUATA SALOMON T0001385.pdf</t>
        </is>
      </c>
      <c r="B2218">
        <f>HYPERLINK("C:\Users\lmonroy\Tema\PLANILLAS\Boletas 1 - 15 Dic\OJEICATE ARAHUATA SALOMON T0001385.pdf", "Link")</f>
        <v/>
      </c>
      <c r="C2218" t="n">
        <v>134401</v>
      </c>
      <c r="D2218" t="inlineStr">
        <is>
          <t>2024-03-27 10:27:30</t>
        </is>
      </c>
      <c r="E2218" t="inlineStr">
        <is>
          <t>2024-03-27 10:21:52</t>
        </is>
      </c>
      <c r="F2218" t="inlineStr">
        <is>
          <t>666</t>
        </is>
      </c>
    </row>
    <row r="2219">
      <c r="A2219" t="inlineStr">
        <is>
          <t>OJEYCATE INUMA ANGEL T0001221.pdf</t>
        </is>
      </c>
      <c r="B2219">
        <f>HYPERLINK("C:\Users\lmonroy\Tema\PLANILLAS\Boletas 1 - 15 Dic\OJEYCATE INUMA ANGEL T0001221.pdf", "Link")</f>
        <v/>
      </c>
      <c r="C2219" t="n">
        <v>134388</v>
      </c>
      <c r="D2219" t="inlineStr">
        <is>
          <t>2024-03-27 10:27:31</t>
        </is>
      </c>
      <c r="E2219" t="inlineStr">
        <is>
          <t>2024-03-27 10:21:53</t>
        </is>
      </c>
      <c r="F2219" t="inlineStr">
        <is>
          <t>666</t>
        </is>
      </c>
    </row>
    <row r="2220">
      <c r="A2220" t="inlineStr">
        <is>
          <t>OJEYCATE INUMA ENOC  T0001222.pdf</t>
        </is>
      </c>
      <c r="B2220">
        <f>HYPERLINK("C:\Users\lmonroy\Tema\PLANILLAS\Boletas 1 - 15 Dic\OJEYCATE INUMA ENOC  T0001222.pdf", "Link")</f>
        <v/>
      </c>
      <c r="C2220" t="n">
        <v>134384</v>
      </c>
      <c r="D2220" t="inlineStr">
        <is>
          <t>2024-03-27 10:27:32</t>
        </is>
      </c>
      <c r="E2220" t="inlineStr">
        <is>
          <t>2024-03-27 10:21:54</t>
        </is>
      </c>
      <c r="F2220" t="inlineStr">
        <is>
          <t>666</t>
        </is>
      </c>
    </row>
    <row r="2221">
      <c r="A2221" t="inlineStr">
        <is>
          <t>OJEYCATE VELA ERNESTO  T0001223.pdf</t>
        </is>
      </c>
      <c r="B2221">
        <f>HYPERLINK("C:\Users\lmonroy\Tema\PLANILLAS\Boletas 1 - 15 Dic\OJEYCATE VELA ERNESTO  T0001223.pdf", "Link")</f>
        <v/>
      </c>
      <c r="C2221" t="n">
        <v>134300</v>
      </c>
      <c r="D2221" t="inlineStr">
        <is>
          <t>2024-03-27 10:25:38</t>
        </is>
      </c>
      <c r="E2221" t="inlineStr">
        <is>
          <t>2024-03-27 10:21:00</t>
        </is>
      </c>
      <c r="F2221" t="inlineStr">
        <is>
          <t>666</t>
        </is>
      </c>
    </row>
    <row r="2222">
      <c r="A2222" t="inlineStr">
        <is>
          <t>OJEYCATE VELA JACINTO T0001374.pdf</t>
        </is>
      </c>
      <c r="B2222">
        <f>HYPERLINK("C:\Users\lmonroy\Tema\PLANILLAS\Boletas 1 - 15 Dic\OJEYCATE VELA JACINTO T0001374.pdf", "Link")</f>
        <v/>
      </c>
      <c r="C2222" t="n">
        <v>134296</v>
      </c>
      <c r="D2222" t="inlineStr">
        <is>
          <t>2024-03-27 10:25:40</t>
        </is>
      </c>
      <c r="E2222" t="inlineStr">
        <is>
          <t>2024-03-27 10:21:01</t>
        </is>
      </c>
      <c r="F2222" t="inlineStr">
        <is>
          <t>666</t>
        </is>
      </c>
    </row>
    <row r="2223">
      <c r="A2223" t="inlineStr">
        <is>
          <t>PACAYA CURICHIMBA SEGUNDO  T0001224.pdf</t>
        </is>
      </c>
      <c r="B2223">
        <f>HYPERLINK("C:\Users\lmonroy\Tema\PLANILLAS\Boletas 1 - 15 Dic\PACAYA CURICHIMBA SEGUNDO  T0001224.pdf", "Link")</f>
        <v/>
      </c>
      <c r="C2223" t="n">
        <v>134245</v>
      </c>
      <c r="D2223" t="inlineStr">
        <is>
          <t>2024-03-27 10:30:01</t>
        </is>
      </c>
      <c r="E2223" t="inlineStr">
        <is>
          <t>2024-03-27 10:30:01</t>
        </is>
      </c>
      <c r="F2223" t="inlineStr">
        <is>
          <t>666</t>
        </is>
      </c>
    </row>
    <row r="2224">
      <c r="A2224" t="inlineStr">
        <is>
          <t>PACAYA MANAJO JHORVEL KIKE T0001225.pdf</t>
        </is>
      </c>
      <c r="B2224">
        <f>HYPERLINK("C:\Users\lmonroy\Tema\PLANILLAS\Boletas 1 - 15 Dic\PACAYA MANAJO JHORVEL KIKE T0001225.pdf", "Link")</f>
        <v/>
      </c>
      <c r="C2224" t="n">
        <v>134303</v>
      </c>
      <c r="D2224" t="inlineStr">
        <is>
          <t>2024-03-27 10:30:02</t>
        </is>
      </c>
      <c r="E2224" t="inlineStr">
        <is>
          <t>2024-03-27 10:22:29</t>
        </is>
      </c>
      <c r="F2224" t="inlineStr">
        <is>
          <t>666</t>
        </is>
      </c>
    </row>
    <row r="2225">
      <c r="A2225" t="inlineStr">
        <is>
          <t>PACAYA MANAJO LLERSON  T0001226.pdf</t>
        </is>
      </c>
      <c r="B2225">
        <f>HYPERLINK("C:\Users\lmonroy\Tema\PLANILLAS\Boletas 1 - 15 Dic\PACAYA MANAJO LLERSON  T0001226.pdf", "Link")</f>
        <v/>
      </c>
      <c r="C2225" t="n">
        <v>134287</v>
      </c>
      <c r="D2225" t="inlineStr">
        <is>
          <t>2024-03-27 10:26:06</t>
        </is>
      </c>
      <c r="E2225" t="inlineStr">
        <is>
          <t>2024-03-27 10:26:06</t>
        </is>
      </c>
      <c r="F2225" t="inlineStr">
        <is>
          <t>666</t>
        </is>
      </c>
    </row>
    <row r="2226">
      <c r="A2226" t="inlineStr">
        <is>
          <t>PERAZA SANDI SEGUNDO NIVER T0001230.pdf</t>
        </is>
      </c>
      <c r="B2226">
        <f>HYPERLINK("C:\Users\lmonroy\Tema\PLANILLAS\Boletas 1 - 15 Dic\PERAZA SANDI SEGUNDO NIVER T0001230.pdf", "Link")</f>
        <v/>
      </c>
      <c r="C2226" t="n">
        <v>134383</v>
      </c>
      <c r="D2226" t="inlineStr">
        <is>
          <t>2024-03-27 10:26:12</t>
        </is>
      </c>
      <c r="E2226" t="inlineStr">
        <is>
          <t>2024-03-27 10:21:15</t>
        </is>
      </c>
      <c r="F2226" t="inlineStr">
        <is>
          <t>666</t>
        </is>
      </c>
    </row>
    <row r="2227">
      <c r="A2227" t="inlineStr">
        <is>
          <t>PEREA FLORES ANDERSON  T0001231.pdf</t>
        </is>
      </c>
      <c r="B2227">
        <f>HYPERLINK("C:\Users\lmonroy\Tema\PLANILLAS\Boletas 1 - 15 Dic\PEREA FLORES ANDERSON  T0001231.pdf", "Link")</f>
        <v/>
      </c>
      <c r="C2227" t="n">
        <v>134257</v>
      </c>
      <c r="D2227" t="inlineStr">
        <is>
          <t>2024-03-27 10:27:08</t>
        </is>
      </c>
      <c r="E2227" t="inlineStr">
        <is>
          <t>2024-03-27 10:21:42</t>
        </is>
      </c>
      <c r="F2227" t="inlineStr">
        <is>
          <t>666</t>
        </is>
      </c>
    </row>
    <row r="2228">
      <c r="A2228" t="inlineStr">
        <is>
          <t>PEREA ICOMENA EDO  T0001232.pdf</t>
        </is>
      </c>
      <c r="B2228">
        <f>HYPERLINK("C:\Users\lmonroy\Tema\PLANILLAS\Boletas 1 - 15 Dic\PEREA ICOMENA EDO  T0001232.pdf", "Link")</f>
        <v/>
      </c>
      <c r="C2228" t="n">
        <v>134282</v>
      </c>
      <c r="D2228" t="inlineStr">
        <is>
          <t>2024-03-27 10:25:51</t>
        </is>
      </c>
      <c r="E2228" t="inlineStr">
        <is>
          <t>2024-03-27 10:21:05</t>
        </is>
      </c>
      <c r="F2228" t="inlineStr">
        <is>
          <t>666</t>
        </is>
      </c>
    </row>
    <row r="2229">
      <c r="A2229" t="inlineStr">
        <is>
          <t>PEREA ICOMENA HOBLITAS  T0001233.pdf</t>
        </is>
      </c>
      <c r="B2229">
        <f>HYPERLINK("C:\Users\lmonroy\Tema\PLANILLAS\Boletas 1 - 15 Dic\PEREA ICOMENA HOBLITAS  T0001233.pdf", "Link")</f>
        <v/>
      </c>
      <c r="C2229" t="n">
        <v>134290</v>
      </c>
      <c r="D2229" t="inlineStr">
        <is>
          <t>2024-03-27 10:26:02</t>
        </is>
      </c>
      <c r="E2229" t="inlineStr">
        <is>
          <t>2024-03-27 10:21:09</t>
        </is>
      </c>
      <c r="F2229" t="inlineStr">
        <is>
          <t>666</t>
        </is>
      </c>
    </row>
    <row r="2230">
      <c r="A2230" t="inlineStr">
        <is>
          <t>PEREA ICOMENA SICO  T0001234.pdf</t>
        </is>
      </c>
      <c r="B2230">
        <f>HYPERLINK("C:\Users\lmonroy\Tema\PLANILLAS\Boletas 1 - 15 Dic\PEREA ICOMENA SICO  T0001234.pdf", "Link")</f>
        <v/>
      </c>
      <c r="C2230" t="n">
        <v>134257</v>
      </c>
      <c r="D2230" t="inlineStr">
        <is>
          <t>2024-03-27 10:25:50</t>
        </is>
      </c>
      <c r="E2230" t="inlineStr">
        <is>
          <t>2024-03-27 10:21:04</t>
        </is>
      </c>
      <c r="F2230" t="inlineStr">
        <is>
          <t>666</t>
        </is>
      </c>
    </row>
    <row r="2231">
      <c r="A2231" t="inlineStr">
        <is>
          <t>PEREA ICOMENA TIM  T0001235.pdf</t>
        </is>
      </c>
      <c r="B2231">
        <f>HYPERLINK("C:\Users\lmonroy\Tema\PLANILLAS\Boletas 1 - 15 Dic\PEREA ICOMENA TIM  T0001235.pdf", "Link")</f>
        <v/>
      </c>
      <c r="C2231" t="n">
        <v>134282</v>
      </c>
      <c r="D2231" t="inlineStr">
        <is>
          <t>2024-03-27 10:26:03</t>
        </is>
      </c>
      <c r="E2231" t="inlineStr">
        <is>
          <t>2024-03-27 10:21:10</t>
        </is>
      </c>
      <c r="F2231" t="inlineStr">
        <is>
          <t>666</t>
        </is>
      </c>
    </row>
    <row r="2232">
      <c r="A2232" t="inlineStr">
        <is>
          <t>PEREA ICOMENA ZIMIC  T0001236.pdf</t>
        </is>
      </c>
      <c r="B2232">
        <f>HYPERLINK("C:\Users\lmonroy\Tema\PLANILLAS\Boletas 1 - 15 Dic\PEREA ICOMENA ZIMIC  T0001236.pdf", "Link")</f>
        <v/>
      </c>
      <c r="C2232" t="n">
        <v>134288</v>
      </c>
      <c r="D2232" t="inlineStr">
        <is>
          <t>2024-03-27 10:25:37</t>
        </is>
      </c>
      <c r="E2232" t="inlineStr">
        <is>
          <t>2024-03-27 10:20:59</t>
        </is>
      </c>
      <c r="F2232" t="inlineStr">
        <is>
          <t>666</t>
        </is>
      </c>
    </row>
    <row r="2233">
      <c r="A2233" t="inlineStr">
        <is>
          <t>PEREA PEREYRA DANI DEYVIS T0001237.pdf</t>
        </is>
      </c>
      <c r="B2233">
        <f>HYPERLINK("C:\Users\lmonroy\Tema\PLANILLAS\Boletas 1 - 15 Dic\PEREA PEREYRA DANI DEYVIS T0001237.pdf", "Link")</f>
        <v/>
      </c>
      <c r="C2233" t="n">
        <v>134385</v>
      </c>
      <c r="D2233" t="inlineStr">
        <is>
          <t>2024-03-27 10:27:05</t>
        </is>
      </c>
      <c r="E2233" t="inlineStr">
        <is>
          <t>2024-03-27 10:27:05</t>
        </is>
      </c>
      <c r="F2233" t="inlineStr">
        <is>
          <t>666</t>
        </is>
      </c>
    </row>
    <row r="2234">
      <c r="A2234" t="inlineStr">
        <is>
          <t>PEREIRA SORIA JAIRO  T0001239.pdf</t>
        </is>
      </c>
      <c r="B2234">
        <f>HYPERLINK("C:\Users\lmonroy\Tema\PLANILLAS\Boletas 1 - 15 Dic\PEREIRA SORIA JAIRO  T0001239.pdf", "Link")</f>
        <v/>
      </c>
      <c r="C2234" t="n">
        <v>134380</v>
      </c>
      <c r="D2234" t="inlineStr">
        <is>
          <t>2024-03-27 10:25:58</t>
        </is>
      </c>
      <c r="E2234" t="inlineStr">
        <is>
          <t>2024-03-27 10:25:58</t>
        </is>
      </c>
      <c r="F2234" t="inlineStr">
        <is>
          <t>666</t>
        </is>
      </c>
    </row>
    <row r="2235">
      <c r="A2235" t="inlineStr">
        <is>
          <t>PEREIRA VARGAS CARLOS ORLANDO T0001240.pdf</t>
        </is>
      </c>
      <c r="B2235">
        <f>HYPERLINK("C:\Users\lmonroy\Tema\PLANILLAS\Boletas 1 - 15 Dic\PEREIRA VARGAS CARLOS ORLANDO T0001240.pdf", "Link")</f>
        <v/>
      </c>
      <c r="C2235" t="n">
        <v>134276</v>
      </c>
      <c r="D2235" t="inlineStr">
        <is>
          <t>2024-03-27 10:27:07</t>
        </is>
      </c>
      <c r="E2235" t="inlineStr">
        <is>
          <t>2024-03-27 10:21:41</t>
        </is>
      </c>
      <c r="F2235" t="inlineStr">
        <is>
          <t>666</t>
        </is>
      </c>
    </row>
    <row r="2236">
      <c r="A2236" t="inlineStr">
        <is>
          <t>PEREYRA PEREZ MAGNO ALBERTO T0001238.pdf</t>
        </is>
      </c>
      <c r="B2236">
        <f>HYPERLINK("C:\Users\lmonroy\Tema\PLANILLAS\Boletas 1 - 15 Dic\PEREYRA PEREZ MAGNO ALBERTO T0001238.pdf", "Link")</f>
        <v/>
      </c>
      <c r="C2236" t="n">
        <v>134325</v>
      </c>
      <c r="D2236" t="inlineStr">
        <is>
          <t>2024-03-27 10:28:43</t>
        </is>
      </c>
      <c r="E2236" t="inlineStr">
        <is>
          <t>2024-03-27 10:28:43</t>
        </is>
      </c>
      <c r="F2236" t="inlineStr">
        <is>
          <t>666</t>
        </is>
      </c>
    </row>
    <row r="2237">
      <c r="A2237" t="inlineStr">
        <is>
          <t>PEREZ FALCON CESAR MANUEL T0001241.pdf</t>
        </is>
      </c>
      <c r="B2237">
        <f>HYPERLINK("C:\Users\lmonroy\Tema\PLANILLAS\Boletas 1 - 15 Dic\PEREZ FALCON CESAR MANUEL T0001241.pdf", "Link")</f>
        <v/>
      </c>
      <c r="C2237" t="n">
        <v>134389</v>
      </c>
      <c r="D2237" t="inlineStr">
        <is>
          <t>2024-03-27 10:27:12</t>
        </is>
      </c>
      <c r="E2237" t="inlineStr">
        <is>
          <t>2024-03-27 10:27:12</t>
        </is>
      </c>
      <c r="F2237" t="inlineStr">
        <is>
          <t>666</t>
        </is>
      </c>
    </row>
    <row r="2238">
      <c r="A2238" t="inlineStr">
        <is>
          <t>PEREZ FALCON DAVID  T0001242.pdf</t>
        </is>
      </c>
      <c r="B2238">
        <f>HYPERLINK("C:\Users\lmonroy\Tema\PLANILLAS\Boletas 1 - 15 Dic\PEREZ FALCON DAVID  T0001242.pdf", "Link")</f>
        <v/>
      </c>
      <c r="C2238" t="n">
        <v>134383</v>
      </c>
      <c r="D2238" t="inlineStr">
        <is>
          <t>2024-03-27 10:27:00</t>
        </is>
      </c>
      <c r="E2238" t="inlineStr">
        <is>
          <t>2024-03-27 10:21:37</t>
        </is>
      </c>
      <c r="F2238" t="inlineStr">
        <is>
          <t>666</t>
        </is>
      </c>
    </row>
    <row r="2239">
      <c r="A2239" t="inlineStr">
        <is>
          <t>PISCO TORRES JORDAN ARAN T0001243.pdf</t>
        </is>
      </c>
      <c r="B2239">
        <f>HYPERLINK("C:\Users\lmonroy\Tema\PLANILLAS\Boletas 1 - 15 Dic\PISCO TORRES JORDAN ARAN T0001243.pdf", "Link")</f>
        <v/>
      </c>
      <c r="C2239" t="n">
        <v>134394</v>
      </c>
      <c r="D2239" t="inlineStr">
        <is>
          <t>2024-03-27 10:26:41</t>
        </is>
      </c>
      <c r="E2239" t="inlineStr">
        <is>
          <t>2024-03-27 10:21:28</t>
        </is>
      </c>
      <c r="F2239" t="inlineStr">
        <is>
          <t>666</t>
        </is>
      </c>
    </row>
    <row r="2240">
      <c r="A2240" t="inlineStr">
        <is>
          <t>PIZANGO PACAYA KELVIN T0001443.pdf</t>
        </is>
      </c>
      <c r="B2240">
        <f>HYPERLINK("C:\Users\lmonroy\Tema\PLANILLAS\Boletas 1 - 15 Dic\PIZANGO PACAYA KELVIN T0001443.pdf", "Link")</f>
        <v/>
      </c>
      <c r="C2240" t="n">
        <v>134295</v>
      </c>
      <c r="D2240" t="inlineStr">
        <is>
          <t>2024-03-27 10:26:32</t>
        </is>
      </c>
      <c r="E2240" t="inlineStr">
        <is>
          <t>2024-03-27 10:21:23</t>
        </is>
      </c>
      <c r="F2240" t="inlineStr">
        <is>
          <t>666</t>
        </is>
      </c>
    </row>
    <row r="2241">
      <c r="A2241" t="inlineStr">
        <is>
          <t>POETIZA CARITIMARI JAKER  T0001368.pdf</t>
        </is>
      </c>
      <c r="B2241">
        <f>HYPERLINK("C:\Users\lmonroy\Tema\PLANILLAS\Boletas 1 - 15 Dic\POETIZA CARITIMARI JAKER  T0001368.pdf", "Link")</f>
        <v/>
      </c>
      <c r="C2241" t="n">
        <v>134397</v>
      </c>
      <c r="D2241" t="inlineStr">
        <is>
          <t>2024-03-27 10:27:13</t>
        </is>
      </c>
      <c r="E2241" t="inlineStr">
        <is>
          <t>2024-03-27 10:21:44</t>
        </is>
      </c>
      <c r="F2241" t="inlineStr">
        <is>
          <t>666</t>
        </is>
      </c>
    </row>
    <row r="2242">
      <c r="A2242" t="inlineStr">
        <is>
          <t>POETIZA PANAIFO FREDY JONNY T0001246.pdf</t>
        </is>
      </c>
      <c r="B2242">
        <f>HYPERLINK("C:\Users\lmonroy\Tema\PLANILLAS\Boletas 1 - 15 Dic\POETIZA PANAIFO FREDY JONNY T0001246.pdf", "Link")</f>
        <v/>
      </c>
      <c r="C2242" t="n">
        <v>134308</v>
      </c>
      <c r="D2242" t="inlineStr">
        <is>
          <t>2024-03-27 10:26:11</t>
        </is>
      </c>
      <c r="E2242" t="inlineStr">
        <is>
          <t>2024-03-27 10:21:13</t>
        </is>
      </c>
      <c r="F2242" t="inlineStr">
        <is>
          <t>666</t>
        </is>
      </c>
    </row>
    <row r="2243">
      <c r="A2243" t="inlineStr">
        <is>
          <t>PROAÑO MANIZARI DESIDERIO  T0001247.pdf</t>
        </is>
      </c>
      <c r="B2243">
        <f>HYPERLINK("C:\Users\lmonroy\Tema\PLANILLAS\Boletas 1 - 15 Dic\PROAÑO MANIZARI DESIDERIO  T0001247.pdf", "Link")</f>
        <v/>
      </c>
      <c r="C2243" t="n">
        <v>134372</v>
      </c>
      <c r="D2243" t="inlineStr">
        <is>
          <t>2024-03-27 10:30:03</t>
        </is>
      </c>
      <c r="E2243" t="inlineStr">
        <is>
          <t>2024-03-27 10:30:03</t>
        </is>
      </c>
      <c r="F2243" t="inlineStr">
        <is>
          <t>666</t>
        </is>
      </c>
    </row>
    <row r="2244">
      <c r="A2244" t="inlineStr">
        <is>
          <t>QUISTO INUMA DANIEL  T0001248.pdf</t>
        </is>
      </c>
      <c r="B2244">
        <f>HYPERLINK("C:\Users\lmonroy\Tema\PLANILLAS\Boletas 1 - 15 Dic\QUISTO INUMA DANIEL  T0001248.pdf", "Link")</f>
        <v/>
      </c>
      <c r="C2244" t="n">
        <v>134377</v>
      </c>
      <c r="D2244" t="inlineStr">
        <is>
          <t>2024-03-27 10:30:04</t>
        </is>
      </c>
      <c r="E2244" t="inlineStr">
        <is>
          <t>2024-03-27 10:22:30</t>
        </is>
      </c>
      <c r="F2244" t="inlineStr">
        <is>
          <t>666</t>
        </is>
      </c>
    </row>
    <row r="2245">
      <c r="A2245" t="inlineStr">
        <is>
          <t>QUISTO INUMA JACINTO  T0001249.pdf</t>
        </is>
      </c>
      <c r="B2245">
        <f>HYPERLINK("C:\Users\lmonroy\Tema\PLANILLAS\Boletas 1 - 15 Dic\QUISTO INUMA JACINTO  T0001249.pdf", "Link")</f>
        <v/>
      </c>
      <c r="C2245" t="n">
        <v>134274</v>
      </c>
      <c r="D2245" t="inlineStr">
        <is>
          <t>2024-03-27 10:30:05</t>
        </is>
      </c>
      <c r="E2245" t="inlineStr">
        <is>
          <t>2024-03-27 10:30:05</t>
        </is>
      </c>
      <c r="F2245" t="inlineStr">
        <is>
          <t>666</t>
        </is>
      </c>
    </row>
    <row r="2246">
      <c r="A2246" t="inlineStr">
        <is>
          <t>QUISTO INUMA MANUEL  T0001250.pdf</t>
        </is>
      </c>
      <c r="B2246">
        <f>HYPERLINK("C:\Users\lmonroy\Tema\PLANILLAS\Boletas 1 - 15 Dic\QUISTO INUMA MANUEL  T0001250.pdf", "Link")</f>
        <v/>
      </c>
      <c r="C2246" t="n">
        <v>134388</v>
      </c>
      <c r="D2246" t="inlineStr">
        <is>
          <t>2024-03-27 10:30:06</t>
        </is>
      </c>
      <c r="E2246" t="inlineStr">
        <is>
          <t>2024-03-27 10:22:31</t>
        </is>
      </c>
      <c r="F2246" t="inlineStr">
        <is>
          <t>666</t>
        </is>
      </c>
    </row>
    <row r="2247">
      <c r="A2247" t="inlineStr">
        <is>
          <t>QUISTO JOGUISTA ROBINSON  T0001251.pdf</t>
        </is>
      </c>
      <c r="B2247">
        <f>HYPERLINK("C:\Users\lmonroy\Tema\PLANILLAS\Boletas 1 - 15 Dic\QUISTO JOGUISTA ROBINSON  T0001251.pdf", "Link")</f>
        <v/>
      </c>
      <c r="C2247" t="n">
        <v>134295</v>
      </c>
      <c r="D2247" t="inlineStr">
        <is>
          <t>2024-03-27 10:26:55</t>
        </is>
      </c>
      <c r="E2247" t="inlineStr">
        <is>
          <t>2024-03-27 10:21:35</t>
        </is>
      </c>
      <c r="F2247" t="inlineStr">
        <is>
          <t>666</t>
        </is>
      </c>
    </row>
    <row r="2248">
      <c r="A2248" t="inlineStr">
        <is>
          <t>QUISTO MACUSI FERNANDO  T0001252.pdf</t>
        </is>
      </c>
      <c r="B2248">
        <f>HYPERLINK("C:\Users\lmonroy\Tema\PLANILLAS\Boletas 1 - 15 Dic\QUISTO MACUSI FERNANDO  T0001252.pdf", "Link")</f>
        <v/>
      </c>
      <c r="C2248" t="n">
        <v>134395</v>
      </c>
      <c r="D2248" t="inlineStr">
        <is>
          <t>2024-03-27 10:26:36</t>
        </is>
      </c>
      <c r="E2248" t="inlineStr">
        <is>
          <t>2024-03-27 10:21:25</t>
        </is>
      </c>
      <c r="F2248" t="inlineStr">
        <is>
          <t>666</t>
        </is>
      </c>
    </row>
    <row r="2249">
      <c r="A2249" t="inlineStr">
        <is>
          <t>QUISTO MACUSI SEGUNDO  T0001253.pdf</t>
        </is>
      </c>
      <c r="B2249">
        <f>HYPERLINK("C:\Users\lmonroy\Tema\PLANILLAS\Boletas 1 - 15 Dic\QUISTO MACUSI SEGUNDO  T0001253.pdf", "Link")</f>
        <v/>
      </c>
      <c r="C2249" t="n">
        <v>134257</v>
      </c>
      <c r="D2249" t="inlineStr">
        <is>
          <t>2024-03-27 10:30:07</t>
        </is>
      </c>
      <c r="E2249" t="inlineStr">
        <is>
          <t>2024-03-27 10:30:07</t>
        </is>
      </c>
      <c r="F2249" t="inlineStr">
        <is>
          <t>666</t>
        </is>
      </c>
    </row>
    <row r="2250">
      <c r="A2250" t="inlineStr">
        <is>
          <t>QUISTO VELA JORGE  T0001254.pdf</t>
        </is>
      </c>
      <c r="B2250">
        <f>HYPERLINK("C:\Users\lmonroy\Tema\PLANILLAS\Boletas 1 - 15 Dic\QUISTO VELA JORGE  T0001254.pdf", "Link")</f>
        <v/>
      </c>
      <c r="C2250" t="n">
        <v>134287</v>
      </c>
      <c r="D2250" t="inlineStr">
        <is>
          <t>2024-03-27 10:26:29</t>
        </is>
      </c>
      <c r="E2250" t="inlineStr">
        <is>
          <t>2024-03-27 10:21:22</t>
        </is>
      </c>
      <c r="F2250" t="inlineStr">
        <is>
          <t>666</t>
        </is>
      </c>
    </row>
    <row r="2251">
      <c r="A2251" t="inlineStr">
        <is>
          <t>RAMIREZ HIDALGO NELVIN MANUEL  T0001255.pdf</t>
        </is>
      </c>
      <c r="B2251">
        <f>HYPERLINK("C:\Users\lmonroy\Tema\PLANILLAS\Boletas 1 - 15 Dic\RAMIREZ HIDALGO NELVIN MANUEL  T0001255.pdf", "Link")</f>
        <v/>
      </c>
      <c r="C2251" t="n">
        <v>134308</v>
      </c>
      <c r="D2251" t="inlineStr">
        <is>
          <t>2024-03-27 10:27:20</t>
        </is>
      </c>
      <c r="E2251" t="inlineStr">
        <is>
          <t>2024-03-27 10:27:20</t>
        </is>
      </c>
      <c r="F2251" t="inlineStr">
        <is>
          <t>666</t>
        </is>
      </c>
    </row>
    <row r="2252">
      <c r="A2252" t="inlineStr">
        <is>
          <t>RAMIREZ PANDURO MANUEL T0001451.pdf</t>
        </is>
      </c>
      <c r="B2252">
        <f>HYPERLINK("C:\Users\lmonroy\Tema\PLANILLAS\Boletas 1 - 15 Dic\RAMIREZ PANDURO MANUEL T0001451.pdf", "Link")</f>
        <v/>
      </c>
      <c r="C2252" t="n">
        <v>134294</v>
      </c>
      <c r="D2252" t="inlineStr">
        <is>
          <t>2024-03-27 10:27:09</t>
        </is>
      </c>
      <c r="E2252" t="inlineStr">
        <is>
          <t>2024-03-27 10:21:42</t>
        </is>
      </c>
      <c r="F2252" t="inlineStr">
        <is>
          <t>666</t>
        </is>
      </c>
    </row>
    <row r="2253">
      <c r="A2253" t="inlineStr">
        <is>
          <t>RAMIREZ TORRES MANUEL  T0001257.pdf</t>
        </is>
      </c>
      <c r="B2253">
        <f>HYPERLINK("C:\Users\lmonroy\Tema\PLANILLAS\Boletas 1 - 15 Dic\RAMIREZ TORRES MANUEL  T0001257.pdf", "Link")</f>
        <v/>
      </c>
      <c r="C2253" t="n">
        <v>134295</v>
      </c>
      <c r="D2253" t="inlineStr">
        <is>
          <t>2024-03-27 10:28:23</t>
        </is>
      </c>
      <c r="E2253" t="inlineStr">
        <is>
          <t>2024-03-27 10:22:14</t>
        </is>
      </c>
      <c r="F2253" t="inlineStr">
        <is>
          <t>666</t>
        </is>
      </c>
    </row>
    <row r="2254">
      <c r="A2254" t="inlineStr">
        <is>
          <t>RAMON INUMA JUAN  T0001258.pdf</t>
        </is>
      </c>
      <c r="B2254">
        <f>HYPERLINK("C:\Users\lmonroy\Tema\PLANILLAS\Boletas 1 - 15 Dic\RAMON INUMA JUAN  T0001258.pdf", "Link")</f>
        <v/>
      </c>
      <c r="C2254" t="n">
        <v>134380</v>
      </c>
      <c r="D2254" t="inlineStr">
        <is>
          <t>2024-03-27 10:27:50</t>
        </is>
      </c>
      <c r="E2254" t="inlineStr">
        <is>
          <t>2024-03-27 10:27:50</t>
        </is>
      </c>
      <c r="F2254" t="inlineStr">
        <is>
          <t>666</t>
        </is>
      </c>
    </row>
    <row r="2255">
      <c r="A2255" t="inlineStr">
        <is>
          <t>RENGIFO GARATE JHONY T0001259.pdf</t>
        </is>
      </c>
      <c r="B2255">
        <f>HYPERLINK("C:\Users\lmonroy\Tema\PLANILLAS\Boletas 1 - 15 Dic\RENGIFO GARATE JHONY T0001259.pdf", "Link")</f>
        <v/>
      </c>
      <c r="C2255" t="n">
        <v>134277</v>
      </c>
      <c r="D2255" t="inlineStr">
        <is>
          <t>2024-03-27 10:30:07</t>
        </is>
      </c>
      <c r="E2255" t="inlineStr">
        <is>
          <t>2024-03-27 10:30:07</t>
        </is>
      </c>
      <c r="F2255" t="inlineStr">
        <is>
          <t>666</t>
        </is>
      </c>
    </row>
    <row r="2256">
      <c r="A2256" t="inlineStr">
        <is>
          <t>RIOJA QUIROZ FRANCISCO EDWIN T0001261.pdf</t>
        </is>
      </c>
      <c r="B2256">
        <f>HYPERLINK("C:\Users\lmonroy\Tema\PLANILLAS\Boletas 1 - 15 Dic\RIOJA QUIROZ FRANCISCO EDWIN T0001261.pdf", "Link")</f>
        <v/>
      </c>
      <c r="C2256" t="n">
        <v>134384</v>
      </c>
      <c r="D2256" t="inlineStr">
        <is>
          <t>2024-03-27 10:27:58</t>
        </is>
      </c>
      <c r="E2256" t="inlineStr">
        <is>
          <t>2024-03-27 10:22:05</t>
        </is>
      </c>
      <c r="F2256" t="inlineStr">
        <is>
          <t>666</t>
        </is>
      </c>
    </row>
    <row r="2257">
      <c r="A2257" t="inlineStr">
        <is>
          <t>RIOS LOMAS WESEMBER  T0001263.pdf</t>
        </is>
      </c>
      <c r="B2257">
        <f>HYPERLINK("C:\Users\lmonroy\Tema\PLANILLAS\Boletas 1 - 15 Dic\RIOS LOMAS WESEMBER  T0001263.pdf", "Link")</f>
        <v/>
      </c>
      <c r="C2257" t="n">
        <v>134291</v>
      </c>
      <c r="D2257" t="inlineStr">
        <is>
          <t>2024-03-27 10:27:27</t>
        </is>
      </c>
      <c r="E2257" t="inlineStr">
        <is>
          <t>2024-03-27 10:21:49</t>
        </is>
      </c>
      <c r="F2257" t="inlineStr">
        <is>
          <t>666</t>
        </is>
      </c>
    </row>
    <row r="2258">
      <c r="A2258" t="inlineStr">
        <is>
          <t>RIOS MORI NIXON JANOBER T0001264.pdf</t>
        </is>
      </c>
      <c r="B2258">
        <f>HYPERLINK("C:\Users\lmonroy\Tema\PLANILLAS\Boletas 1 - 15 Dic\RIOS MORI NIXON JANOBER T0001264.pdf", "Link")</f>
        <v/>
      </c>
      <c r="C2258" t="n">
        <v>134274</v>
      </c>
      <c r="D2258" t="inlineStr">
        <is>
          <t>2024-03-27 10:25:29</t>
        </is>
      </c>
      <c r="E2258" t="inlineStr">
        <is>
          <t>2024-03-27 10:20:57</t>
        </is>
      </c>
      <c r="F2258" t="inlineStr">
        <is>
          <t>666</t>
        </is>
      </c>
    </row>
    <row r="2259">
      <c r="A2259" t="inlineStr">
        <is>
          <t>RIOS MORI ORLANDO MICHAEL T0001265.pdf</t>
        </is>
      </c>
      <c r="B2259">
        <f>HYPERLINK("C:\Users\lmonroy\Tema\PLANILLAS\Boletas 1 - 15 Dic\RIOS MORI ORLANDO MICHAEL T0001265.pdf", "Link")</f>
        <v/>
      </c>
      <c r="C2259" t="n">
        <v>134384</v>
      </c>
      <c r="D2259" t="inlineStr">
        <is>
          <t>2024-03-27 10:26:38</t>
        </is>
      </c>
      <c r="E2259" t="inlineStr">
        <is>
          <t>2024-03-27 10:21:26</t>
        </is>
      </c>
      <c r="F2259" t="inlineStr">
        <is>
          <t>666</t>
        </is>
      </c>
    </row>
    <row r="2260">
      <c r="A2260" t="inlineStr">
        <is>
          <t>RIOS MURAYARI MELVIN T0001266.pdf</t>
        </is>
      </c>
      <c r="B2260">
        <f>HYPERLINK("C:\Users\lmonroy\Tema\PLANILLAS\Boletas 1 - 15 Dic\RIOS MURAYARI MELVIN T0001266.pdf", "Link")</f>
        <v/>
      </c>
      <c r="C2260" t="n">
        <v>134295</v>
      </c>
      <c r="D2260" t="inlineStr">
        <is>
          <t>2024-03-27 10:28:35</t>
        </is>
      </c>
      <c r="E2260" t="inlineStr">
        <is>
          <t>2024-03-27 10:22:16</t>
        </is>
      </c>
      <c r="F2260" t="inlineStr">
        <is>
          <t>666</t>
        </is>
      </c>
    </row>
    <row r="2261">
      <c r="A2261" t="inlineStr">
        <is>
          <t>RIOS MURAYARI WAGNER  T0001267.pdf</t>
        </is>
      </c>
      <c r="B2261">
        <f>HYPERLINK("C:\Users\lmonroy\Tema\PLANILLAS\Boletas 1 - 15 Dic\RIOS MURAYARI WAGNER  T0001267.pdf", "Link")</f>
        <v/>
      </c>
      <c r="C2261" t="n">
        <v>134250</v>
      </c>
      <c r="D2261" t="inlineStr">
        <is>
          <t>2024-03-27 10:30:08</t>
        </is>
      </c>
      <c r="E2261" t="inlineStr">
        <is>
          <t>2024-03-27 10:30:08</t>
        </is>
      </c>
      <c r="F2261" t="inlineStr">
        <is>
          <t>666</t>
        </is>
      </c>
    </row>
    <row r="2262">
      <c r="A2262" t="inlineStr">
        <is>
          <t>RIOS PROAÑO ALCI  T0001268.pdf</t>
        </is>
      </c>
      <c r="B2262">
        <f>HYPERLINK("C:\Users\lmonroy\Tema\PLANILLAS\Boletas 1 - 15 Dic\RIOS PROAÑO ALCI  T0001268.pdf", "Link")</f>
        <v/>
      </c>
      <c r="C2262" t="n">
        <v>134343</v>
      </c>
      <c r="D2262" t="inlineStr">
        <is>
          <t>2024-03-27 10:30:09</t>
        </is>
      </c>
      <c r="E2262" t="inlineStr">
        <is>
          <t>2024-03-27 10:30:09</t>
        </is>
      </c>
      <c r="F2262" t="inlineStr">
        <is>
          <t>666</t>
        </is>
      </c>
    </row>
    <row r="2263">
      <c r="A2263" t="inlineStr">
        <is>
          <t>RIOS RIOS FREDY  T0001269.pdf</t>
        </is>
      </c>
      <c r="B2263">
        <f>HYPERLINK("C:\Users\lmonroy\Tema\PLANILLAS\Boletas 1 - 15 Dic\RIOS RIOS FREDY  T0001269.pdf", "Link")</f>
        <v/>
      </c>
      <c r="C2263" t="n">
        <v>134251</v>
      </c>
      <c r="D2263" t="inlineStr">
        <is>
          <t>2024-03-27 10:30:10</t>
        </is>
      </c>
      <c r="E2263" t="inlineStr">
        <is>
          <t>2024-03-27 10:30:10</t>
        </is>
      </c>
      <c r="F2263" t="inlineStr">
        <is>
          <t>666</t>
        </is>
      </c>
    </row>
    <row r="2264">
      <c r="A2264" t="inlineStr">
        <is>
          <t>RIOS RIOS JHON LELIS T0001270.pdf</t>
        </is>
      </c>
      <c r="B2264">
        <f>HYPERLINK("C:\Users\lmonroy\Tema\PLANILLAS\Boletas 1 - 15 Dic\RIOS RIOS JHON LELIS T0001270.pdf", "Link")</f>
        <v/>
      </c>
      <c r="C2264" t="n">
        <v>134293</v>
      </c>
      <c r="D2264" t="inlineStr">
        <is>
          <t>2024-03-27 10:30:11</t>
        </is>
      </c>
      <c r="E2264" t="inlineStr">
        <is>
          <t>2024-03-27 10:22:32</t>
        </is>
      </c>
      <c r="F2264" t="inlineStr">
        <is>
          <t>666</t>
        </is>
      </c>
    </row>
    <row r="2265">
      <c r="A2265" t="inlineStr">
        <is>
          <t>RIOS RIOS SEGUNDO NICANOR T0001271.pdf</t>
        </is>
      </c>
      <c r="B2265">
        <f>HYPERLINK("C:\Users\lmonroy\Tema\PLANILLAS\Boletas 1 - 15 Dic\RIOS RIOS SEGUNDO NICANOR T0001271.pdf", "Link")</f>
        <v/>
      </c>
      <c r="C2265" t="n">
        <v>134271</v>
      </c>
      <c r="D2265" t="inlineStr">
        <is>
          <t>2024-03-27 10:30:12</t>
        </is>
      </c>
      <c r="E2265" t="inlineStr">
        <is>
          <t>2024-03-27 10:22:33</t>
        </is>
      </c>
      <c r="F2265" t="inlineStr">
        <is>
          <t>666</t>
        </is>
      </c>
    </row>
    <row r="2266">
      <c r="A2266" t="inlineStr">
        <is>
          <t>RODRIGUEZ RIOS FRANK  T0001272.pdf</t>
        </is>
      </c>
      <c r="B2266">
        <f>HYPERLINK("C:\Users\lmonroy\Tema\PLANILLAS\Boletas 1 - 15 Dic\RODRIGUEZ RIOS FRANK  T0001272.pdf", "Link")</f>
        <v/>
      </c>
      <c r="C2266" t="n">
        <v>134249</v>
      </c>
      <c r="D2266" t="inlineStr">
        <is>
          <t>2024-03-27 10:30:12</t>
        </is>
      </c>
      <c r="E2266" t="inlineStr">
        <is>
          <t>2024-03-27 10:30:12</t>
        </is>
      </c>
      <c r="F2266" t="inlineStr">
        <is>
          <t>666</t>
        </is>
      </c>
    </row>
    <row r="2267">
      <c r="A2267" t="inlineStr">
        <is>
          <t>ROFINO QUISTO PEDRO  T0001278.pdf</t>
        </is>
      </c>
      <c r="B2267">
        <f>HYPERLINK("C:\Users\lmonroy\Tema\PLANILLAS\Boletas 1 - 15 Dic\ROFINO QUISTO PEDRO  T0001278.pdf", "Link")</f>
        <v/>
      </c>
      <c r="C2267" t="n">
        <v>134377</v>
      </c>
      <c r="D2267" t="inlineStr">
        <is>
          <t>2024-03-27 10:30:17</t>
        </is>
      </c>
      <c r="E2267" t="inlineStr">
        <is>
          <t>2024-03-27 10:30:17</t>
        </is>
      </c>
      <c r="F2267" t="inlineStr">
        <is>
          <t>666</t>
        </is>
      </c>
    </row>
    <row r="2268">
      <c r="A2268" t="inlineStr">
        <is>
          <t>ROJAS INUMA JULIO CESAR T0001273.pdf</t>
        </is>
      </c>
      <c r="B2268">
        <f>HYPERLINK("C:\Users\lmonroy\Tema\PLANILLAS\Boletas 1 - 15 Dic\ROJAS INUMA JULIO CESAR T0001273.pdf", "Link")</f>
        <v/>
      </c>
      <c r="C2268" t="n">
        <v>134298</v>
      </c>
      <c r="D2268" t="inlineStr">
        <is>
          <t>2024-03-27 10:30:13</t>
        </is>
      </c>
      <c r="E2268" t="inlineStr">
        <is>
          <t>2024-03-27 10:30:13</t>
        </is>
      </c>
      <c r="F2268" t="inlineStr">
        <is>
          <t>666</t>
        </is>
      </c>
    </row>
    <row r="2269">
      <c r="A2269" t="inlineStr">
        <is>
          <t>ROJAS INUMA SEGUNDO MANUEL T0001274.pdf</t>
        </is>
      </c>
      <c r="B2269">
        <f>HYPERLINK("C:\Users\lmonroy\Tema\PLANILLAS\Boletas 1 - 15 Dic\ROJAS INUMA SEGUNDO MANUEL T0001274.pdf", "Link")</f>
        <v/>
      </c>
      <c r="C2269" t="n">
        <v>134380</v>
      </c>
      <c r="D2269" t="inlineStr">
        <is>
          <t>2024-03-27 10:30:14</t>
        </is>
      </c>
      <c r="E2269" t="inlineStr">
        <is>
          <t>2024-03-27 10:30:14</t>
        </is>
      </c>
      <c r="F2269" t="inlineStr">
        <is>
          <t>666</t>
        </is>
      </c>
    </row>
    <row r="2270">
      <c r="A2270" t="inlineStr">
        <is>
          <t>ROJAS JOGUISTA JULIAN  T0001275.pdf</t>
        </is>
      </c>
      <c r="B2270">
        <f>HYPERLINK("C:\Users\lmonroy\Tema\PLANILLAS\Boletas 1 - 15 Dic\ROJAS JOGUISTA JULIAN  T0001275.pdf", "Link")</f>
        <v/>
      </c>
      <c r="C2270" t="n">
        <v>134275</v>
      </c>
      <c r="D2270" t="inlineStr">
        <is>
          <t>2024-03-27 10:28:02</t>
        </is>
      </c>
      <c r="E2270" t="inlineStr">
        <is>
          <t>2024-03-27 10:22:06</t>
        </is>
      </c>
      <c r="F2270" t="inlineStr">
        <is>
          <t>666</t>
        </is>
      </c>
    </row>
    <row r="2271">
      <c r="A2271" t="inlineStr">
        <is>
          <t>ROJAS SHUÑA JHONATAN T0001430.pdf</t>
        </is>
      </c>
      <c r="B2271">
        <f>HYPERLINK("C:\Users\lmonroy\Tema\PLANILLAS\Boletas 1 - 15 Dic\ROJAS SHUÑA JHONATAN T0001430.pdf", "Link")</f>
        <v/>
      </c>
      <c r="C2271" t="n">
        <v>134346</v>
      </c>
      <c r="D2271" t="inlineStr">
        <is>
          <t>2024-03-27 10:25:33</t>
        </is>
      </c>
      <c r="E2271" t="inlineStr">
        <is>
          <t>2024-03-27 10:25:33</t>
        </is>
      </c>
      <c r="F2271" t="inlineStr">
        <is>
          <t>666</t>
        </is>
      </c>
    </row>
    <row r="2272">
      <c r="A2272" t="inlineStr">
        <is>
          <t>ROMERO MACUSI DANIEL  T0001276.pdf</t>
        </is>
      </c>
      <c r="B2272">
        <f>HYPERLINK("C:\Users\lmonroy\Tema\PLANILLAS\Boletas 1 - 15 Dic\ROMERO MACUSI DANIEL  T0001276.pdf", "Link")</f>
        <v/>
      </c>
      <c r="C2272" t="n">
        <v>134252</v>
      </c>
      <c r="D2272" t="inlineStr">
        <is>
          <t>2024-03-27 10:30:15</t>
        </is>
      </c>
      <c r="E2272" t="inlineStr">
        <is>
          <t>2024-03-27 10:30:15</t>
        </is>
      </c>
      <c r="F2272" t="inlineStr">
        <is>
          <t>666</t>
        </is>
      </c>
    </row>
    <row r="2273">
      <c r="A2273" t="inlineStr">
        <is>
          <t>RUFINO MACUSI ANTONIO  T0001277.pdf</t>
        </is>
      </c>
      <c r="B2273">
        <f>HYPERLINK("C:\Users\lmonroy\Tema\PLANILLAS\Boletas 1 - 15 Dic\RUFINO MACUSI ANTONIO  T0001277.pdf", "Link")</f>
        <v/>
      </c>
      <c r="C2273" t="n">
        <v>134367</v>
      </c>
      <c r="D2273" t="inlineStr">
        <is>
          <t>2024-03-27 10:30:16</t>
        </is>
      </c>
      <c r="E2273" t="inlineStr">
        <is>
          <t>2024-03-27 10:30:16</t>
        </is>
      </c>
      <c r="F2273" t="inlineStr">
        <is>
          <t>666</t>
        </is>
      </c>
    </row>
    <row r="2274">
      <c r="A2274" t="inlineStr">
        <is>
          <t>RUIZ CHANCHARI SEGUNDO  T0001279.pdf</t>
        </is>
      </c>
      <c r="B2274">
        <f>HYPERLINK("C:\Users\lmonroy\Tema\PLANILLAS\Boletas 1 - 15 Dic\RUIZ CHANCHARI SEGUNDO  T0001279.pdf", "Link")</f>
        <v/>
      </c>
      <c r="C2274" t="n">
        <v>134334</v>
      </c>
      <c r="D2274" t="inlineStr">
        <is>
          <t>2024-03-27 10:30:17</t>
        </is>
      </c>
      <c r="E2274" t="inlineStr">
        <is>
          <t>2024-03-27 10:30:17</t>
        </is>
      </c>
      <c r="F2274" t="inlineStr">
        <is>
          <t>666</t>
        </is>
      </c>
    </row>
    <row r="2275">
      <c r="A2275" t="inlineStr">
        <is>
          <t>RUIZ JOGUISTA GABRIEL  T0001280.pdf</t>
        </is>
      </c>
      <c r="B2275">
        <f>HYPERLINK("C:\Users\lmonroy\Tema\PLANILLAS\Boletas 1 - 15 Dic\RUIZ JOGUISTA GABRIEL  T0001280.pdf", "Link")</f>
        <v/>
      </c>
      <c r="C2275" t="n">
        <v>134295</v>
      </c>
      <c r="D2275" t="inlineStr">
        <is>
          <t>2024-03-27 10:30:18</t>
        </is>
      </c>
      <c r="E2275" t="inlineStr">
        <is>
          <t>2024-03-27 10:22:34</t>
        </is>
      </c>
      <c r="F2275" t="inlineStr">
        <is>
          <t>666</t>
        </is>
      </c>
    </row>
    <row r="2276">
      <c r="A2276" t="inlineStr">
        <is>
          <t>RUIZ JOGUISTA HUMBERTO  T0001281.pdf</t>
        </is>
      </c>
      <c r="B2276">
        <f>HYPERLINK("C:\Users\lmonroy\Tema\PLANILLAS\Boletas 1 - 15 Dic\RUIZ JOGUISTA HUMBERTO  T0001281.pdf", "Link")</f>
        <v/>
      </c>
      <c r="C2276" t="n">
        <v>134244</v>
      </c>
      <c r="D2276" t="inlineStr">
        <is>
          <t>2024-03-27 10:26:18</t>
        </is>
      </c>
      <c r="E2276" t="inlineStr">
        <is>
          <t>2024-03-27 10:26:18</t>
        </is>
      </c>
      <c r="F2276" t="inlineStr">
        <is>
          <t>666</t>
        </is>
      </c>
    </row>
    <row r="2277">
      <c r="A2277" t="inlineStr">
        <is>
          <t>RUIZ JOGUISTA JOSE  T0001282.pdf</t>
        </is>
      </c>
      <c r="B2277">
        <f>HYPERLINK("C:\Users\lmonroy\Tema\PLANILLAS\Boletas 1 - 15 Dic\RUIZ JOGUISTA JOSE  T0001282.pdf", "Link")</f>
        <v/>
      </c>
      <c r="C2277" t="n">
        <v>134354</v>
      </c>
      <c r="D2277" t="inlineStr">
        <is>
          <t>2024-03-27 10:30:19</t>
        </is>
      </c>
      <c r="E2277" t="inlineStr">
        <is>
          <t>2024-03-27 10:30:19</t>
        </is>
      </c>
      <c r="F2277" t="inlineStr">
        <is>
          <t>666</t>
        </is>
      </c>
    </row>
    <row r="2278">
      <c r="A2278" t="inlineStr">
        <is>
          <t>RUIZ JOGUISTA RICHER  T0001283.pdf</t>
        </is>
      </c>
      <c r="B2278">
        <f>HYPERLINK("C:\Users\lmonroy\Tema\PLANILLAS\Boletas 1 - 15 Dic\RUIZ JOGUISTA RICHER  T0001283.pdf", "Link")</f>
        <v/>
      </c>
      <c r="C2278" t="n">
        <v>134382</v>
      </c>
      <c r="D2278" t="inlineStr">
        <is>
          <t>2024-03-27 10:30:20</t>
        </is>
      </c>
      <c r="E2278" t="inlineStr">
        <is>
          <t>2024-03-27 10:22:35</t>
        </is>
      </c>
      <c r="F2278" t="inlineStr">
        <is>
          <t>666</t>
        </is>
      </c>
    </row>
    <row r="2279">
      <c r="A2279" t="inlineStr">
        <is>
          <t>RUIZ LA TORRE DINGER  T0001284.pdf</t>
        </is>
      </c>
      <c r="B2279">
        <f>HYPERLINK("C:\Users\lmonroy\Tema\PLANILLAS\Boletas 1 - 15 Dic\RUIZ LA TORRE DINGER  T0001284.pdf", "Link")</f>
        <v/>
      </c>
      <c r="C2279" t="n">
        <v>134389</v>
      </c>
      <c r="D2279" t="inlineStr">
        <is>
          <t>2024-03-27 10:28:25</t>
        </is>
      </c>
      <c r="E2279" t="inlineStr">
        <is>
          <t>2024-03-27 10:28:25</t>
        </is>
      </c>
      <c r="F2279" t="inlineStr">
        <is>
          <t>666</t>
        </is>
      </c>
    </row>
    <row r="2280">
      <c r="A2280" t="inlineStr">
        <is>
          <t>RUIZ LOPEZ ALBERTO  T0001285.pdf</t>
        </is>
      </c>
      <c r="B2280">
        <f>HYPERLINK("C:\Users\lmonroy\Tema\PLANILLAS\Boletas 1 - 15 Dic\RUIZ LOPEZ ALBERTO  T0001285.pdf", "Link")</f>
        <v/>
      </c>
      <c r="C2280" t="n">
        <v>134269</v>
      </c>
      <c r="D2280" t="inlineStr">
        <is>
          <t>2024-03-27 10:27:55</t>
        </is>
      </c>
      <c r="E2280" t="inlineStr">
        <is>
          <t>2024-03-27 10:22:03</t>
        </is>
      </c>
      <c r="F2280" t="inlineStr">
        <is>
          <t>666</t>
        </is>
      </c>
    </row>
    <row r="2281">
      <c r="A2281" t="inlineStr">
        <is>
          <t>RUIZ MACUSI JOSE  T0001286.pdf</t>
        </is>
      </c>
      <c r="B2281">
        <f>HYPERLINK("C:\Users\lmonroy\Tema\PLANILLAS\Boletas 1 - 15 Dic\RUIZ MACUSI JOSE  T0001286.pdf", "Link")</f>
        <v/>
      </c>
      <c r="C2281" t="n">
        <v>134276</v>
      </c>
      <c r="D2281" t="inlineStr">
        <is>
          <t>2024-03-27 10:30:21</t>
        </is>
      </c>
      <c r="E2281" t="inlineStr">
        <is>
          <t>2024-03-27 10:22:36</t>
        </is>
      </c>
      <c r="F2281" t="inlineStr">
        <is>
          <t>666</t>
        </is>
      </c>
    </row>
    <row r="2282">
      <c r="A2282" t="inlineStr">
        <is>
          <t>RUIZ MACUSI NIXON  T0001287.pdf</t>
        </is>
      </c>
      <c r="B2282">
        <f>HYPERLINK("C:\Users\lmonroy\Tema\PLANILLAS\Boletas 1 - 15 Dic\RUIZ MACUSI NIXON  T0001287.pdf", "Link")</f>
        <v/>
      </c>
      <c r="C2282" t="n">
        <v>134254</v>
      </c>
      <c r="D2282" t="inlineStr">
        <is>
          <t>2024-03-27 10:30:22</t>
        </is>
      </c>
      <c r="E2282" t="inlineStr">
        <is>
          <t>2024-03-27 10:30:22</t>
        </is>
      </c>
      <c r="F2282" t="inlineStr">
        <is>
          <t>666</t>
        </is>
      </c>
    </row>
    <row r="2283">
      <c r="A2283" t="inlineStr">
        <is>
          <t>RUIZ MACUSI RIGOBERTO  T0001288.pdf</t>
        </is>
      </c>
      <c r="B2283">
        <f>HYPERLINK("C:\Users\lmonroy\Tema\PLANILLAS\Boletas 1 - 15 Dic\RUIZ MACUSI RIGOBERTO  T0001288.pdf", "Link")</f>
        <v/>
      </c>
      <c r="C2283" t="n">
        <v>134366</v>
      </c>
      <c r="D2283" t="inlineStr">
        <is>
          <t>2024-03-27 10:27:44</t>
        </is>
      </c>
      <c r="E2283" t="inlineStr">
        <is>
          <t>2024-03-27 10:21:58</t>
        </is>
      </c>
      <c r="F2283" t="inlineStr">
        <is>
          <t>666</t>
        </is>
      </c>
    </row>
    <row r="2284">
      <c r="A2284" t="inlineStr">
        <is>
          <t>RUIZ MACUSI WILMER  T0001289.pdf</t>
        </is>
      </c>
      <c r="B2284">
        <f>HYPERLINK("C:\Users\lmonroy\Tema\PLANILLAS\Boletas 1 - 15 Dic\RUIZ MACUSI WILMER  T0001289.pdf", "Link")</f>
        <v/>
      </c>
      <c r="C2284" t="n">
        <v>134274</v>
      </c>
      <c r="D2284" t="inlineStr">
        <is>
          <t>2024-03-27 10:27:11</t>
        </is>
      </c>
      <c r="E2284" t="inlineStr">
        <is>
          <t>2024-03-27 10:21:43</t>
        </is>
      </c>
      <c r="F2284" t="inlineStr">
        <is>
          <t>666</t>
        </is>
      </c>
    </row>
    <row r="2285">
      <c r="A2285" t="inlineStr">
        <is>
          <t>RUIZ RAMON JOSE  T0001290.pdf</t>
        </is>
      </c>
      <c r="B2285">
        <f>HYPERLINK("C:\Users\lmonroy\Tema\PLANILLAS\Boletas 1 - 15 Dic\RUIZ RAMON JOSE  T0001290.pdf", "Link")</f>
        <v/>
      </c>
      <c r="C2285" t="n">
        <v>134266</v>
      </c>
      <c r="D2285" t="inlineStr">
        <is>
          <t>2024-03-27 10:28:08</t>
        </is>
      </c>
      <c r="E2285" t="inlineStr">
        <is>
          <t>2024-03-27 10:22:07</t>
        </is>
      </c>
      <c r="F2285" t="inlineStr">
        <is>
          <t>666</t>
        </is>
      </c>
    </row>
    <row r="2286">
      <c r="A2286" t="inlineStr">
        <is>
          <t>RUIZ RIOS OSCAR  T0001291.pdf</t>
        </is>
      </c>
      <c r="B2286">
        <f>HYPERLINK("C:\Users\lmonroy\Tema\PLANILLAS\Boletas 1 - 15 Dic\RUIZ RIOS OSCAR  T0001291.pdf", "Link")</f>
        <v/>
      </c>
      <c r="C2286" t="n">
        <v>134283</v>
      </c>
      <c r="D2286" t="inlineStr">
        <is>
          <t>2024-03-27 10:25:42</t>
        </is>
      </c>
      <c r="E2286" t="inlineStr">
        <is>
          <t>2024-03-27 10:21:02</t>
        </is>
      </c>
      <c r="F2286" t="inlineStr">
        <is>
          <t>666</t>
        </is>
      </c>
    </row>
    <row r="2287">
      <c r="A2287" t="inlineStr">
        <is>
          <t>RUIZ TABORGA LANDER PALERMO T0001292.pdf</t>
        </is>
      </c>
      <c r="B2287">
        <f>HYPERLINK("C:\Users\lmonroy\Tema\PLANILLAS\Boletas 1 - 15 Dic\RUIZ TABORGA LANDER PALERMO T0001292.pdf", "Link")</f>
        <v/>
      </c>
      <c r="C2287" t="n">
        <v>134301</v>
      </c>
      <c r="D2287" t="inlineStr">
        <is>
          <t>2024-03-27 10:27:02</t>
        </is>
      </c>
      <c r="E2287" t="inlineStr">
        <is>
          <t>2024-03-27 10:21:38</t>
        </is>
      </c>
      <c r="F2287" t="inlineStr">
        <is>
          <t>666</t>
        </is>
      </c>
    </row>
    <row r="2288">
      <c r="A2288" t="inlineStr">
        <is>
          <t>SAAVEDRA SANTA MARIA RIMMER  T0001293.pdf</t>
        </is>
      </c>
      <c r="B2288">
        <f>HYPERLINK("C:\Users\lmonroy\Tema\PLANILLAS\Boletas 1 - 15 Dic\SAAVEDRA SANTA MARIA RIMMER  T0001293.pdf", "Link")</f>
        <v/>
      </c>
      <c r="C2288" t="n">
        <v>134369</v>
      </c>
      <c r="D2288" t="inlineStr">
        <is>
          <t>2024-03-27 10:30:23</t>
        </is>
      </c>
      <c r="E2288" t="inlineStr">
        <is>
          <t>2024-03-27 10:30:23</t>
        </is>
      </c>
      <c r="F2288" t="inlineStr">
        <is>
          <t>666</t>
        </is>
      </c>
    </row>
    <row r="2289">
      <c r="A2289" t="inlineStr">
        <is>
          <t>SAIRO DASILVA WALDIR  T0001294.pdf</t>
        </is>
      </c>
      <c r="B2289">
        <f>HYPERLINK("C:\Users\lmonroy\Tema\PLANILLAS\Boletas 1 - 15 Dic\SAIRO DASILVA WALDIR  T0001294.pdf", "Link")</f>
        <v/>
      </c>
      <c r="C2289" t="n">
        <v>134378</v>
      </c>
      <c r="D2289" t="inlineStr">
        <is>
          <t>2024-03-27 10:30:23</t>
        </is>
      </c>
      <c r="E2289" t="inlineStr">
        <is>
          <t>2024-03-27 10:30:23</t>
        </is>
      </c>
      <c r="F2289" t="inlineStr">
        <is>
          <t>666</t>
        </is>
      </c>
    </row>
    <row r="2290">
      <c r="A2290" t="inlineStr">
        <is>
          <t>SAIRO SABOYA JORGE  T0001295.pdf</t>
        </is>
      </c>
      <c r="B2290">
        <f>HYPERLINK("C:\Users\lmonroy\Tema\PLANILLAS\Boletas 1 - 15 Dic\SAIRO SABOYA JORGE  T0001295.pdf", "Link")</f>
        <v/>
      </c>
      <c r="C2290" t="n">
        <v>134261</v>
      </c>
      <c r="D2290" t="inlineStr">
        <is>
          <t>2024-03-27 10:30:24</t>
        </is>
      </c>
      <c r="E2290" t="inlineStr">
        <is>
          <t>2024-03-27 10:22:37</t>
        </is>
      </c>
      <c r="F2290" t="inlineStr">
        <is>
          <t>666</t>
        </is>
      </c>
    </row>
    <row r="2291">
      <c r="A2291" t="inlineStr">
        <is>
          <t>SANCHEZ MACA GIN ALEX T0001459.pdf</t>
        </is>
      </c>
      <c r="B2291">
        <f>HYPERLINK("C:\Users\lmonroy\Tema\PLANILLAS\Boletas 1 - 15 Dic\SANCHEZ MACA GIN ALEX T0001459.pdf", "Link")</f>
        <v/>
      </c>
      <c r="C2291" t="n">
        <v>134291</v>
      </c>
      <c r="D2291" t="inlineStr">
        <is>
          <t>2024-03-27 10:27:41</t>
        </is>
      </c>
      <c r="E2291" t="inlineStr">
        <is>
          <t>2024-03-27 10:21:56</t>
        </is>
      </c>
      <c r="F2291" t="inlineStr">
        <is>
          <t>666</t>
        </is>
      </c>
    </row>
    <row r="2292">
      <c r="A2292" t="inlineStr">
        <is>
          <t>SANDI CARIAJANO PEDRO T0001431.pdf</t>
        </is>
      </c>
      <c r="B2292">
        <f>HYPERLINK("C:\Users\lmonroy\Tema\PLANILLAS\Boletas 1 - 15 Dic\SANDI CARIAJANO PEDRO T0001431.pdf", "Link")</f>
        <v/>
      </c>
      <c r="C2292" t="n">
        <v>134384</v>
      </c>
      <c r="D2292" t="inlineStr">
        <is>
          <t>2024-03-27 10:25:44</t>
        </is>
      </c>
      <c r="E2292" t="inlineStr">
        <is>
          <t>2024-03-27 10:21:03</t>
        </is>
      </c>
      <c r="F2292" t="inlineStr">
        <is>
          <t>666</t>
        </is>
      </c>
    </row>
    <row r="2293">
      <c r="A2293" t="inlineStr">
        <is>
          <t>SANDI TARICUARIMA ANDRES  T0001297.pdf</t>
        </is>
      </c>
      <c r="B2293">
        <f>HYPERLINK("C:\Users\lmonroy\Tema\PLANILLAS\Boletas 1 - 15 Dic\SANDI TARICUARIMA ANDRES  T0001297.pdf", "Link")</f>
        <v/>
      </c>
      <c r="C2293" t="n">
        <v>134266</v>
      </c>
      <c r="D2293" t="inlineStr">
        <is>
          <t>2024-03-27 10:30:25</t>
        </is>
      </c>
      <c r="E2293" t="inlineStr">
        <is>
          <t>2024-03-27 10:22:38</t>
        </is>
      </c>
      <c r="F2293" t="inlineStr">
        <is>
          <t>666</t>
        </is>
      </c>
    </row>
    <row r="2294">
      <c r="A2294" t="inlineStr">
        <is>
          <t>SANDI TARICUARIMA ROQUI T0001298.pdf</t>
        </is>
      </c>
      <c r="B2294">
        <f>HYPERLINK("C:\Users\lmonroy\Tema\PLANILLAS\Boletas 1 - 15 Dic\SANDI TARICUARIMA ROQUI T0001298.pdf", "Link")</f>
        <v/>
      </c>
      <c r="C2294" t="n">
        <v>134293</v>
      </c>
      <c r="D2294" t="inlineStr">
        <is>
          <t>2024-03-27 10:30:26</t>
        </is>
      </c>
      <c r="E2294" t="inlineStr">
        <is>
          <t>2024-03-27 10:30:26</t>
        </is>
      </c>
      <c r="F2294" t="inlineStr">
        <is>
          <t>666</t>
        </is>
      </c>
    </row>
    <row r="2295">
      <c r="A2295" t="inlineStr">
        <is>
          <t>SHAHUANO INUACARI ERIXSON MARCELO T0001300.pdf</t>
        </is>
      </c>
      <c r="B2295">
        <f>HYPERLINK("C:\Users\lmonroy\Tema\PLANILLAS\Boletas 1 - 15 Dic\SHAHUANO INUACARI ERIXSON MARCELO T0001300.pdf", "Link")</f>
        <v/>
      </c>
      <c r="C2295" t="n">
        <v>134310</v>
      </c>
      <c r="D2295" t="inlineStr">
        <is>
          <t>2024-03-27 10:26:23</t>
        </is>
      </c>
      <c r="E2295" t="inlineStr">
        <is>
          <t>2024-03-27 10:21:18</t>
        </is>
      </c>
      <c r="F2295" t="inlineStr">
        <is>
          <t>666</t>
        </is>
      </c>
    </row>
    <row r="2296">
      <c r="A2296" t="inlineStr">
        <is>
          <t>SHAPIAMA COQUINCHE MARCIAL PAOLO T0001301.pdf</t>
        </is>
      </c>
      <c r="B2296">
        <f>HYPERLINK("C:\Users\lmonroy\Tema\PLANILLAS\Boletas 1 - 15 Dic\SHAPIAMA COQUINCHE MARCIAL PAOLO T0001301.pdf", "Link")</f>
        <v/>
      </c>
      <c r="C2296" t="n">
        <v>134298</v>
      </c>
      <c r="D2296" t="inlineStr">
        <is>
          <t>2024-03-27 10:30:27</t>
        </is>
      </c>
      <c r="E2296" t="inlineStr">
        <is>
          <t>2024-03-27 10:30:27</t>
        </is>
      </c>
      <c r="F2296" t="inlineStr">
        <is>
          <t>666</t>
        </is>
      </c>
    </row>
    <row r="2297">
      <c r="A2297" t="inlineStr">
        <is>
          <t>SORIA RODRIGUEZ LEYSER AGUSTIN T0001460.pdf</t>
        </is>
      </c>
      <c r="B2297">
        <f>HYPERLINK("C:\Users\lmonroy\Tema\PLANILLAS\Boletas 1 - 15 Dic\SORIA RODRIGUEZ LEYSER AGUSTIN T0001460.pdf", "Link")</f>
        <v/>
      </c>
      <c r="C2297" t="n">
        <v>134304</v>
      </c>
      <c r="D2297" t="inlineStr">
        <is>
          <t>2024-03-27 10:27:45</t>
        </is>
      </c>
      <c r="E2297" t="inlineStr">
        <is>
          <t>2024-03-27 10:22:00</t>
        </is>
      </c>
      <c r="F2297" t="inlineStr">
        <is>
          <t>666</t>
        </is>
      </c>
    </row>
    <row r="2298">
      <c r="A2298" t="inlineStr">
        <is>
          <t>SPOZZITTO YAÑEZ MIGUEL ANGEL T0001302.pdf</t>
        </is>
      </c>
      <c r="B2298">
        <f>HYPERLINK("C:\Users\lmonroy\Tema\PLANILLAS\Boletas 1 - 15 Dic\SPOZZITTO YAÑEZ MIGUEL ANGEL T0001302.pdf", "Link")</f>
        <v/>
      </c>
      <c r="C2298" t="n">
        <v>134399</v>
      </c>
      <c r="D2298" t="inlineStr">
        <is>
          <t>2024-03-27 10:25:34</t>
        </is>
      </c>
      <c r="E2298" t="inlineStr">
        <is>
          <t>2024-03-27 10:25:34</t>
        </is>
      </c>
      <c r="F2298" t="inlineStr">
        <is>
          <t>666</t>
        </is>
      </c>
    </row>
    <row r="2299">
      <c r="A2299" t="inlineStr">
        <is>
          <t>SUJETO MACUSI JOSE  T0001303.pdf</t>
        </is>
      </c>
      <c r="B2299">
        <f>HYPERLINK("C:\Users\lmonroy\Tema\PLANILLAS\Boletas 1 - 15 Dic\SUJETO MACUSI JOSE  T0001303.pdf", "Link")</f>
        <v/>
      </c>
      <c r="C2299" t="n">
        <v>134252</v>
      </c>
      <c r="D2299" t="inlineStr">
        <is>
          <t>2024-03-27 10:30:28</t>
        </is>
      </c>
      <c r="E2299" t="inlineStr">
        <is>
          <t>2024-03-27 10:22:39</t>
        </is>
      </c>
      <c r="F2299" t="inlineStr">
        <is>
          <t>666</t>
        </is>
      </c>
    </row>
    <row r="2300">
      <c r="A2300" t="inlineStr">
        <is>
          <t>SUJETO MACUSI LINO  T0001304.pdf</t>
        </is>
      </c>
      <c r="B2300">
        <f>HYPERLINK("C:\Users\lmonroy\Tema\PLANILLAS\Boletas 1 - 15 Dic\SUJETO MACUSI LINO  T0001304.pdf", "Link")</f>
        <v/>
      </c>
      <c r="C2300" t="n">
        <v>134334</v>
      </c>
      <c r="D2300" t="inlineStr">
        <is>
          <t>2024-03-27 10:30:28</t>
        </is>
      </c>
      <c r="E2300" t="inlineStr">
        <is>
          <t>2024-03-27 10:30:28</t>
        </is>
      </c>
      <c r="F2300" t="inlineStr">
        <is>
          <t>666</t>
        </is>
      </c>
    </row>
    <row r="2301">
      <c r="A2301" t="inlineStr">
        <is>
          <t>TAPAYURI PEREYRA SEGUNDO SAMUEL  T0001450.pdf</t>
        </is>
      </c>
      <c r="B2301">
        <f>HYPERLINK("C:\Users\lmonroy\Tema\PLANILLAS\Boletas 1 - 15 Dic\TAPAYURI PEREYRA SEGUNDO SAMUEL  T0001450.pdf", "Link")</f>
        <v/>
      </c>
      <c r="C2301" t="n">
        <v>134305</v>
      </c>
      <c r="D2301" t="inlineStr">
        <is>
          <t>2024-03-27 10:27:06</t>
        </is>
      </c>
      <c r="E2301" t="inlineStr">
        <is>
          <t>2024-03-27 10:21:40</t>
        </is>
      </c>
      <c r="F2301" t="inlineStr">
        <is>
          <t>666</t>
        </is>
      </c>
    </row>
    <row r="2302">
      <c r="A2302" t="inlineStr">
        <is>
          <t>TARICUARIMA OJAICURO RENE T0001384.pdf</t>
        </is>
      </c>
      <c r="B2302">
        <f>HYPERLINK("C:\Users\lmonroy\Tema\PLANILLAS\Boletas 1 - 15 Dic\TARICUARIMA OJAICURO RENE T0001384.pdf", "Link")</f>
        <v/>
      </c>
      <c r="C2302" t="n">
        <v>134398</v>
      </c>
      <c r="D2302" t="inlineStr">
        <is>
          <t>2024-03-27 10:31:06</t>
        </is>
      </c>
      <c r="E2302" t="inlineStr">
        <is>
          <t>2024-03-27 10:22:58</t>
        </is>
      </c>
      <c r="F2302" t="inlineStr">
        <is>
          <t>666</t>
        </is>
      </c>
    </row>
    <row r="2303">
      <c r="A2303" t="inlineStr">
        <is>
          <t>TIHUAIRO MURAYARI JORGE LUIS T0001308.pdf</t>
        </is>
      </c>
      <c r="B2303">
        <f>HYPERLINK("C:\Users\lmonroy\Tema\PLANILLAS\Boletas 1 - 15 Dic\TIHUAIRO MURAYARI JORGE LUIS T0001308.pdf", "Link")</f>
        <v/>
      </c>
      <c r="C2303" t="n">
        <v>134303</v>
      </c>
      <c r="D2303" t="inlineStr">
        <is>
          <t>2024-03-27 10:28:37</t>
        </is>
      </c>
      <c r="E2303" t="inlineStr">
        <is>
          <t>2024-03-27 10:28:37</t>
        </is>
      </c>
      <c r="F2303" t="inlineStr">
        <is>
          <t>666</t>
        </is>
      </c>
    </row>
    <row r="2304">
      <c r="A2304" t="inlineStr">
        <is>
          <t>TORRES INGA LIMBER DAVID T0001309.pdf</t>
        </is>
      </c>
      <c r="B2304">
        <f>HYPERLINK("C:\Users\lmonroy\Tema\PLANILLAS\Boletas 1 - 15 Dic\TORRES INGA LIMBER DAVID T0001309.pdf", "Link")</f>
        <v/>
      </c>
      <c r="C2304" t="n">
        <v>134276</v>
      </c>
      <c r="D2304" t="inlineStr">
        <is>
          <t>2024-03-27 10:30:29</t>
        </is>
      </c>
      <c r="E2304" t="inlineStr">
        <is>
          <t>2024-03-27 10:22:40</t>
        </is>
      </c>
      <c r="F2304" t="inlineStr">
        <is>
          <t>666</t>
        </is>
      </c>
    </row>
    <row r="2305">
      <c r="A2305" t="inlineStr">
        <is>
          <t>TORRES SANDOVAL ADONIAS  T0001310.pdf</t>
        </is>
      </c>
      <c r="B2305">
        <f>HYPERLINK("C:\Users\lmonroy\Tema\PLANILLAS\Boletas 1 - 15 Dic\TORRES SANDOVAL ADONIAS  T0001310.pdf", "Link")</f>
        <v/>
      </c>
      <c r="C2305" t="n">
        <v>134377</v>
      </c>
      <c r="D2305" t="inlineStr">
        <is>
          <t>2024-03-27 10:30:30</t>
        </is>
      </c>
      <c r="E2305" t="inlineStr">
        <is>
          <t>2024-03-27 10:30:30</t>
        </is>
      </c>
      <c r="F2305" t="inlineStr">
        <is>
          <t>666</t>
        </is>
      </c>
    </row>
    <row r="2306">
      <c r="A2306" t="inlineStr">
        <is>
          <t>TORRES SANDOVAL DAVID  T0001311.pdf</t>
        </is>
      </c>
      <c r="B2306">
        <f>HYPERLINK("C:\Users\lmonroy\Tema\PLANILLAS\Boletas 1 - 15 Dic\TORRES SANDOVAL DAVID  T0001311.pdf", "Link")</f>
        <v/>
      </c>
      <c r="C2306" t="n">
        <v>134369</v>
      </c>
      <c r="D2306" t="inlineStr">
        <is>
          <t>2024-03-27 10:30:31</t>
        </is>
      </c>
      <c r="E2306" t="inlineStr">
        <is>
          <t>2024-03-27 10:22:41</t>
        </is>
      </c>
      <c r="F2306" t="inlineStr">
        <is>
          <t>666</t>
        </is>
      </c>
    </row>
    <row r="2307">
      <c r="A2307" t="inlineStr">
        <is>
          <t>TUANAMA CANAYO HERMOGENES  T0001312.pdf</t>
        </is>
      </c>
      <c r="B2307">
        <f>HYPERLINK("C:\Users\lmonroy\Tema\PLANILLAS\Boletas 1 - 15 Dic\TUANAMA CANAYO HERMOGENES  T0001312.pdf", "Link")</f>
        <v/>
      </c>
      <c r="C2307" t="n">
        <v>134242</v>
      </c>
      <c r="D2307" t="inlineStr">
        <is>
          <t>2024-03-27 10:26:05</t>
        </is>
      </c>
      <c r="E2307" t="inlineStr">
        <is>
          <t>2024-03-27 10:26:05</t>
        </is>
      </c>
      <c r="F2307" t="inlineStr">
        <is>
          <t>666</t>
        </is>
      </c>
    </row>
    <row r="2308">
      <c r="A2308" t="inlineStr">
        <is>
          <t>TUANAMA IRARICA HERMOGENES CURTI T0001313.pdf</t>
        </is>
      </c>
      <c r="B2308">
        <f>HYPERLINK("C:\Users\lmonroy\Tema\PLANILLAS\Boletas 1 - 15 Dic\TUANAMA IRARICA HERMOGENES CURTI T0001313.pdf", "Link")</f>
        <v/>
      </c>
      <c r="C2308" t="n">
        <v>134305</v>
      </c>
      <c r="D2308" t="inlineStr">
        <is>
          <t>2024-03-27 10:27:22</t>
        </is>
      </c>
      <c r="E2308" t="inlineStr">
        <is>
          <t>2024-03-27 10:27:22</t>
        </is>
      </c>
      <c r="F2308" t="inlineStr">
        <is>
          <t>666</t>
        </is>
      </c>
    </row>
    <row r="2309">
      <c r="A2309" t="inlineStr">
        <is>
          <t>TUANAMA IRARICA JAVAN  T0001392.pdf</t>
        </is>
      </c>
      <c r="B2309">
        <f>HYPERLINK("C:\Users\lmonroy\Tema\PLANILLAS\Boletas 1 - 15 Dic\TUANAMA IRARICA JAVAN  T0001392.pdf", "Link")</f>
        <v/>
      </c>
      <c r="C2309" t="n">
        <v>134265</v>
      </c>
      <c r="D2309" t="inlineStr">
        <is>
          <t>2024-03-27 10:27:21</t>
        </is>
      </c>
      <c r="E2309" t="inlineStr">
        <is>
          <t>2024-03-27 10:27:21</t>
        </is>
      </c>
      <c r="F2309" t="inlineStr">
        <is>
          <t>666</t>
        </is>
      </c>
    </row>
    <row r="2310">
      <c r="A2310" t="inlineStr">
        <is>
          <t>TUANAMA MURAYARI HUGO  T0001314.pdf</t>
        </is>
      </c>
      <c r="B2310">
        <f>HYPERLINK("C:\Users\lmonroy\Tema\PLANILLAS\Boletas 1 - 15 Dic\TUANAMA MURAYARI HUGO  T0001314.pdf", "Link")</f>
        <v/>
      </c>
      <c r="C2310" t="n">
        <v>134289</v>
      </c>
      <c r="D2310" t="inlineStr">
        <is>
          <t>2024-03-27 10:25:59</t>
        </is>
      </c>
      <c r="E2310" t="inlineStr">
        <is>
          <t>2024-03-27 10:25:59</t>
        </is>
      </c>
      <c r="F2310" t="inlineStr">
        <is>
          <t>666</t>
        </is>
      </c>
    </row>
    <row r="2311">
      <c r="A2311" t="inlineStr">
        <is>
          <t>TUANAMA MURAYARI SAMUEL  T0001316.pdf</t>
        </is>
      </c>
      <c r="B2311">
        <f>HYPERLINK("C:\Users\lmonroy\Tema\PLANILLAS\Boletas 1 - 15 Dic\TUANAMA MURAYARI SAMUEL  T0001316.pdf", "Link")</f>
        <v/>
      </c>
      <c r="C2311" t="n">
        <v>134394</v>
      </c>
      <c r="D2311" t="inlineStr">
        <is>
          <t>2024-03-27 10:27:54</t>
        </is>
      </c>
      <c r="E2311" t="inlineStr">
        <is>
          <t>2024-03-27 10:27:54</t>
        </is>
      </c>
      <c r="F2311" t="inlineStr">
        <is>
          <t>666</t>
        </is>
      </c>
    </row>
    <row r="2312">
      <c r="A2312" t="inlineStr">
        <is>
          <t>TUESTA ACHING MARCO ANTONIO T0001317.pdf</t>
        </is>
      </c>
      <c r="B2312">
        <f>HYPERLINK("C:\Users\lmonroy\Tema\PLANILLAS\Boletas 1 - 15 Dic\TUESTA ACHING MARCO ANTONIO T0001317.pdf", "Link")</f>
        <v/>
      </c>
      <c r="C2312" t="n">
        <v>134397</v>
      </c>
      <c r="D2312" t="inlineStr">
        <is>
          <t>2024-03-27 10:28:26</t>
        </is>
      </c>
      <c r="E2312" t="inlineStr">
        <is>
          <t>2024-03-27 10:28:26</t>
        </is>
      </c>
      <c r="F2312" t="inlineStr">
        <is>
          <t>666</t>
        </is>
      </c>
    </row>
    <row r="2313">
      <c r="A2313" t="inlineStr">
        <is>
          <t>URQUIA SALAS MARCIO LORENZO T0001318.pdf</t>
        </is>
      </c>
      <c r="B2313">
        <f>HYPERLINK("C:\Users\lmonroy\Tema\PLANILLAS\Boletas 1 - 15 Dic\URQUIA SALAS MARCIO LORENZO T0001318.pdf", "Link")</f>
        <v/>
      </c>
      <c r="C2313" t="n">
        <v>134274</v>
      </c>
      <c r="D2313" t="inlineStr">
        <is>
          <t>2024-03-27 10:28:21</t>
        </is>
      </c>
      <c r="E2313" t="inlineStr">
        <is>
          <t>2024-03-27 10:28:21</t>
        </is>
      </c>
      <c r="F2313" t="inlineStr">
        <is>
          <t>666</t>
        </is>
      </c>
    </row>
    <row r="2314">
      <c r="A2314" t="inlineStr">
        <is>
          <t>VALDERRAMA MACUYAMA ERICK  T0001319.pdf</t>
        </is>
      </c>
      <c r="B2314">
        <f>HYPERLINK("C:\Users\lmonroy\Tema\PLANILLAS\Boletas 1 - 15 Dic\VALDERRAMA MACUYAMA ERICK  T0001319.pdf", "Link")</f>
        <v/>
      </c>
      <c r="C2314" t="n">
        <v>134284</v>
      </c>
      <c r="D2314" t="inlineStr">
        <is>
          <t>2024-03-27 10:30:32</t>
        </is>
      </c>
      <c r="E2314" t="inlineStr">
        <is>
          <t>2024-03-27 10:30:32</t>
        </is>
      </c>
      <c r="F2314" t="inlineStr">
        <is>
          <t>666</t>
        </is>
      </c>
    </row>
    <row r="2315">
      <c r="A2315" t="inlineStr">
        <is>
          <t>VASQUEZ DEL CASTILLO WILDER  T0001320.pdf</t>
        </is>
      </c>
      <c r="B2315">
        <f>HYPERLINK("C:\Users\lmonroy\Tema\PLANILLAS\Boletas 1 - 15 Dic\VASQUEZ DEL CASTILLO WILDER  T0001320.pdf", "Link")</f>
        <v/>
      </c>
      <c r="C2315" t="n">
        <v>134269</v>
      </c>
      <c r="D2315" t="inlineStr">
        <is>
          <t>2024-03-27 10:30:33</t>
        </is>
      </c>
      <c r="E2315" t="inlineStr">
        <is>
          <t>2024-03-27 10:30:33</t>
        </is>
      </c>
      <c r="F2315" t="inlineStr">
        <is>
          <t>666</t>
        </is>
      </c>
    </row>
    <row r="2316">
      <c r="A2316" t="inlineStr">
        <is>
          <t>VASQUEZ OJAICURO GILBERTO  T0001321.pdf</t>
        </is>
      </c>
      <c r="B2316">
        <f>HYPERLINK("C:\Users\lmonroy\Tema\PLANILLAS\Boletas 1 - 15 Dic\VASQUEZ OJAICURO GILBERTO  T0001321.pdf", "Link")</f>
        <v/>
      </c>
      <c r="C2316" t="n">
        <v>134300</v>
      </c>
      <c r="D2316" t="inlineStr">
        <is>
          <t>2024-03-27 10:27:08</t>
        </is>
      </c>
      <c r="E2316" t="inlineStr">
        <is>
          <t>2024-03-27 10:27:08</t>
        </is>
      </c>
      <c r="F2316" t="inlineStr">
        <is>
          <t>666</t>
        </is>
      </c>
    </row>
    <row r="2317">
      <c r="A2317" t="inlineStr">
        <is>
          <t>VASQUEZ OJAICURO GUILLERMO  T0001322.pdf</t>
        </is>
      </c>
      <c r="B2317">
        <f>HYPERLINK("C:\Users\lmonroy\Tema\PLANILLAS\Boletas 1 - 15 Dic\VASQUEZ OJAICURO GUILLERMO  T0001322.pdf", "Link")</f>
        <v/>
      </c>
      <c r="C2317" t="n">
        <v>134302</v>
      </c>
      <c r="D2317" t="inlineStr">
        <is>
          <t>2024-03-27 10:27:35</t>
        </is>
      </c>
      <c r="E2317" t="inlineStr">
        <is>
          <t>2024-03-27 10:27:35</t>
        </is>
      </c>
      <c r="F2317" t="inlineStr">
        <is>
          <t>666</t>
        </is>
      </c>
    </row>
    <row r="2318">
      <c r="A2318" t="inlineStr">
        <is>
          <t>VASQUEZ OJAICURO MIGUEL  T0001323.pdf</t>
        </is>
      </c>
      <c r="B2318">
        <f>HYPERLINK("C:\Users\lmonroy\Tema\PLANILLAS\Boletas 1 - 15 Dic\VASQUEZ OJAICURO MIGUEL  T0001323.pdf", "Link")</f>
        <v/>
      </c>
      <c r="C2318" t="n">
        <v>134397</v>
      </c>
      <c r="D2318" t="inlineStr">
        <is>
          <t>2024-03-27 10:27:36</t>
        </is>
      </c>
      <c r="E2318" t="inlineStr">
        <is>
          <t>2024-03-27 10:27:36</t>
        </is>
      </c>
      <c r="F2318" t="inlineStr">
        <is>
          <t>666</t>
        </is>
      </c>
    </row>
    <row r="2319">
      <c r="A2319" t="inlineStr">
        <is>
          <t>VASQUEZ OJAICURO ROGER  T0001324.pdf</t>
        </is>
      </c>
      <c r="B2319">
        <f>HYPERLINK("C:\Users\lmonroy\Tema\PLANILLAS\Boletas 1 - 15 Dic\VASQUEZ OJAICURO ROGER  T0001324.pdf", "Link")</f>
        <v/>
      </c>
      <c r="C2319" t="n">
        <v>134300</v>
      </c>
      <c r="D2319" t="inlineStr">
        <is>
          <t>2024-03-27 10:28:40</t>
        </is>
      </c>
      <c r="E2319" t="inlineStr">
        <is>
          <t>2024-03-27 10:28:40</t>
        </is>
      </c>
      <c r="F2319" t="inlineStr">
        <is>
          <t>666</t>
        </is>
      </c>
    </row>
    <row r="2320">
      <c r="A2320" t="inlineStr">
        <is>
          <t>VELA  NURIBE JORGE  T0001325.pdf</t>
        </is>
      </c>
      <c r="B2320">
        <f>HYPERLINK("C:\Users\lmonroy\Tema\PLANILLAS\Boletas 1 - 15 Dic\VELA  NURIBE JORGE  T0001325.pdf", "Link")</f>
        <v/>
      </c>
      <c r="C2320" t="n">
        <v>134357</v>
      </c>
      <c r="D2320" t="inlineStr">
        <is>
          <t>2024-03-27 10:30:34</t>
        </is>
      </c>
      <c r="E2320" t="inlineStr">
        <is>
          <t>2024-03-27 10:30:34</t>
        </is>
      </c>
      <c r="F2320" t="inlineStr">
        <is>
          <t>666</t>
        </is>
      </c>
    </row>
    <row r="2321">
      <c r="A2321" t="inlineStr">
        <is>
          <t>VELA CLEMENTE FREDI  T0001326.pdf</t>
        </is>
      </c>
      <c r="B2321">
        <f>HYPERLINK("C:\Users\lmonroy\Tema\PLANILLAS\Boletas 1 - 15 Dic\VELA CLEMENTE FREDI  T0001326.pdf", "Link")</f>
        <v/>
      </c>
      <c r="C2321" t="n">
        <v>134363</v>
      </c>
      <c r="D2321" t="inlineStr">
        <is>
          <t>2024-03-27 10:30:34</t>
        </is>
      </c>
      <c r="E2321" t="inlineStr">
        <is>
          <t>2024-03-27 10:22:41</t>
        </is>
      </c>
      <c r="F2321" t="inlineStr">
        <is>
          <t>666</t>
        </is>
      </c>
    </row>
    <row r="2322">
      <c r="A2322" t="inlineStr">
        <is>
          <t>VELA CUNAYA EMERSON T0001467.pdf</t>
        </is>
      </c>
      <c r="B2322">
        <f>HYPERLINK("C:\Users\lmonroy\Tema\PLANILLAS\Boletas 1 - 15 Dic\VELA CUNAYA EMERSON T0001467.pdf", "Link")</f>
        <v/>
      </c>
      <c r="C2322" t="n">
        <v>134285</v>
      </c>
      <c r="D2322" t="inlineStr">
        <is>
          <t>2024-03-27 10:28:20</t>
        </is>
      </c>
      <c r="E2322" t="inlineStr">
        <is>
          <t>2024-03-27 10:28:20</t>
        </is>
      </c>
      <c r="F2322" t="inlineStr">
        <is>
          <t>666</t>
        </is>
      </c>
    </row>
    <row r="2323">
      <c r="A2323" t="inlineStr">
        <is>
          <t>VELA CUNAYA ROBINSON  T0001327.pdf</t>
        </is>
      </c>
      <c r="B2323">
        <f>HYPERLINK("C:\Users\lmonroy\Tema\PLANILLAS\Boletas 1 - 15 Dic\VELA CUNAYA ROBINSON  T0001327.pdf", "Link")</f>
        <v/>
      </c>
      <c r="C2323" t="n">
        <v>134294</v>
      </c>
      <c r="D2323" t="inlineStr">
        <is>
          <t>2024-03-27 10:27:16</t>
        </is>
      </c>
      <c r="E2323" t="inlineStr">
        <is>
          <t>2024-03-27 10:27:16</t>
        </is>
      </c>
      <c r="F2323" t="inlineStr">
        <is>
          <t>666</t>
        </is>
      </c>
    </row>
    <row r="2324">
      <c r="A2324" t="inlineStr">
        <is>
          <t>VELA FATAMA ALBERTO  T0001328.pdf</t>
        </is>
      </c>
      <c r="B2324">
        <f>HYPERLINK("C:\Users\lmonroy\Tema\PLANILLAS\Boletas 1 - 15 Dic\VELA FATAMA ALBERTO  T0001328.pdf", "Link")</f>
        <v/>
      </c>
      <c r="C2324" t="n">
        <v>134377</v>
      </c>
      <c r="D2324" t="inlineStr">
        <is>
          <t>2024-03-27 10:26:28</t>
        </is>
      </c>
      <c r="E2324" t="inlineStr">
        <is>
          <t>2024-03-27 10:26:28</t>
        </is>
      </c>
      <c r="F2324" t="inlineStr">
        <is>
          <t>666</t>
        </is>
      </c>
    </row>
    <row r="2325">
      <c r="A2325" t="inlineStr">
        <is>
          <t>VELA INUMA ANDRES  T0001329.pdf</t>
        </is>
      </c>
      <c r="B2325">
        <f>HYPERLINK("C:\Users\lmonroy\Tema\PLANILLAS\Boletas 1 - 15 Dic\VELA INUMA ANDRES  T0001329.pdf", "Link")</f>
        <v/>
      </c>
      <c r="C2325" t="n">
        <v>134232</v>
      </c>
      <c r="D2325" t="inlineStr">
        <is>
          <t>2024-03-27 10:30:35</t>
        </is>
      </c>
      <c r="E2325" t="inlineStr">
        <is>
          <t>2024-03-27 10:30:35</t>
        </is>
      </c>
      <c r="F2325" t="inlineStr">
        <is>
          <t>666</t>
        </is>
      </c>
    </row>
    <row r="2326">
      <c r="A2326" t="inlineStr">
        <is>
          <t>VELA INUMA ARTEMIO  T0001330.pdf</t>
        </is>
      </c>
      <c r="B2326">
        <f>HYPERLINK("C:\Users\lmonroy\Tema\PLANILLAS\Boletas 1 - 15 Dic\VELA INUMA ARTEMIO  T0001330.pdf", "Link")</f>
        <v/>
      </c>
      <c r="C2326" t="n">
        <v>134272</v>
      </c>
      <c r="D2326" t="inlineStr">
        <is>
          <t>2024-03-27 10:30:36</t>
        </is>
      </c>
      <c r="E2326" t="inlineStr">
        <is>
          <t>2024-03-27 10:22:42</t>
        </is>
      </c>
      <c r="F2326" t="inlineStr">
        <is>
          <t>666</t>
        </is>
      </c>
    </row>
    <row r="2327">
      <c r="A2327" t="inlineStr">
        <is>
          <t>VELA INUMA EDINSON  T0001454.pdf</t>
        </is>
      </c>
      <c r="B2327">
        <f>HYPERLINK("C:\Users\lmonroy\Tema\PLANILLAS\Boletas 1 - 15 Dic\VELA INUMA EDINSON  T0001454.pdf", "Link")</f>
        <v/>
      </c>
      <c r="C2327" t="n">
        <v>134290</v>
      </c>
      <c r="D2327" t="inlineStr">
        <is>
          <t>2024-03-27 10:27:26</t>
        </is>
      </c>
      <c r="E2327" t="inlineStr">
        <is>
          <t>2024-03-27 10:21:48</t>
        </is>
      </c>
      <c r="F2327" t="inlineStr">
        <is>
          <t>666</t>
        </is>
      </c>
    </row>
    <row r="2328">
      <c r="A2328" t="inlineStr">
        <is>
          <t>VELA INUMA JOSE  T0001331.pdf</t>
        </is>
      </c>
      <c r="B2328">
        <f>HYPERLINK("C:\Users\lmonroy\Tema\PLANILLAS\Boletas 1 - 15 Dic\VELA INUMA JOSE  T0001331.pdf", "Link")</f>
        <v/>
      </c>
      <c r="C2328" t="n">
        <v>134240</v>
      </c>
      <c r="D2328" t="inlineStr">
        <is>
          <t>2024-03-27 10:30:37</t>
        </is>
      </c>
      <c r="E2328" t="inlineStr">
        <is>
          <t>2024-03-27 10:30:37</t>
        </is>
      </c>
      <c r="F2328" t="inlineStr">
        <is>
          <t>666</t>
        </is>
      </c>
    </row>
    <row r="2329">
      <c r="A2329" t="inlineStr">
        <is>
          <t>VELA INUMA MANUEL  T0001332.pdf</t>
        </is>
      </c>
      <c r="B2329">
        <f>HYPERLINK("C:\Users\lmonroy\Tema\PLANILLAS\Boletas 1 - 15 Dic\VELA INUMA MANUEL  T0001332.pdf", "Link")</f>
        <v/>
      </c>
      <c r="C2329" t="n">
        <v>134231</v>
      </c>
      <c r="D2329" t="inlineStr">
        <is>
          <t>2024-03-27 10:30:38</t>
        </is>
      </c>
      <c r="E2329" t="inlineStr">
        <is>
          <t>2024-03-27 10:30:38</t>
        </is>
      </c>
      <c r="F2329" t="inlineStr">
        <is>
          <t>666</t>
        </is>
      </c>
    </row>
    <row r="2330">
      <c r="A2330" t="inlineStr">
        <is>
          <t>VELA INUMA RICARDO  T0001333.pdf</t>
        </is>
      </c>
      <c r="B2330">
        <f>HYPERLINK("C:\Users\lmonroy\Tema\PLANILLAS\Boletas 1 - 15 Dic\VELA INUMA RICARDO  T0001333.pdf", "Link")</f>
        <v/>
      </c>
      <c r="C2330" t="n">
        <v>134268</v>
      </c>
      <c r="D2330" t="inlineStr">
        <is>
          <t>2024-03-27 10:30:39</t>
        </is>
      </c>
      <c r="E2330" t="inlineStr">
        <is>
          <t>2024-03-27 10:22:43</t>
        </is>
      </c>
      <c r="F2330" t="inlineStr">
        <is>
          <t>666</t>
        </is>
      </c>
    </row>
    <row r="2331">
      <c r="A2331" t="inlineStr">
        <is>
          <t>VELA JOGUISTA MANUEL  T0001334.pdf</t>
        </is>
      </c>
      <c r="B2331">
        <f>HYPERLINK("C:\Users\lmonroy\Tema\PLANILLAS\Boletas 1 - 15 Dic\VELA JOGUISTA MANUEL  T0001334.pdf", "Link")</f>
        <v/>
      </c>
      <c r="C2331" t="n">
        <v>134250</v>
      </c>
      <c r="D2331" t="inlineStr">
        <is>
          <t>2024-03-27 10:30:39</t>
        </is>
      </c>
      <c r="E2331" t="inlineStr">
        <is>
          <t>2024-03-27 10:30:39</t>
        </is>
      </c>
      <c r="F2331" t="inlineStr">
        <is>
          <t>666</t>
        </is>
      </c>
    </row>
    <row r="2332">
      <c r="A2332" t="inlineStr">
        <is>
          <t>VELA JUGUISTA NOLVERTO  T0001335.pdf</t>
        </is>
      </c>
      <c r="B2332">
        <f>HYPERLINK("C:\Users\lmonroy\Tema\PLANILLAS\Boletas 1 - 15 Dic\VELA JUGUISTA NOLVERTO  T0001335.pdf", "Link")</f>
        <v/>
      </c>
      <c r="C2332" t="n">
        <v>134281</v>
      </c>
      <c r="D2332" t="inlineStr">
        <is>
          <t>2024-03-27 10:30:40</t>
        </is>
      </c>
      <c r="E2332" t="inlineStr">
        <is>
          <t>2024-03-27 10:30:40</t>
        </is>
      </c>
      <c r="F2332" t="inlineStr">
        <is>
          <t>666</t>
        </is>
      </c>
    </row>
    <row r="2333">
      <c r="A2333" t="inlineStr">
        <is>
          <t>VELA MACUSI DARVIN  T0001336.pdf</t>
        </is>
      </c>
      <c r="B2333">
        <f>HYPERLINK("C:\Users\lmonroy\Tema\PLANILLAS\Boletas 1 - 15 Dic\VELA MACUSI DARVIN  T0001336.pdf", "Link")</f>
        <v/>
      </c>
      <c r="C2333" t="n">
        <v>134363</v>
      </c>
      <c r="D2333" t="inlineStr">
        <is>
          <t>2024-03-27 10:30:41</t>
        </is>
      </c>
      <c r="E2333" t="inlineStr">
        <is>
          <t>2024-03-27 10:22:44</t>
        </is>
      </c>
      <c r="F2333" t="inlineStr">
        <is>
          <t>666</t>
        </is>
      </c>
    </row>
    <row r="2334">
      <c r="A2334" t="inlineStr">
        <is>
          <t>VELA MACUSI ELVIS  T0001337.pdf</t>
        </is>
      </c>
      <c r="B2334">
        <f>HYPERLINK("C:\Users\lmonroy\Tema\PLANILLAS\Boletas 1 - 15 Dic\VELA MACUSI ELVIS  T0001337.pdf", "Link")</f>
        <v/>
      </c>
      <c r="C2334" t="n">
        <v>134264</v>
      </c>
      <c r="D2334" t="inlineStr">
        <is>
          <t>2024-03-27 10:30:42</t>
        </is>
      </c>
      <c r="E2334" t="inlineStr">
        <is>
          <t>2024-03-27 10:22:45</t>
        </is>
      </c>
      <c r="F2334" t="inlineStr">
        <is>
          <t>666</t>
        </is>
      </c>
    </row>
    <row r="2335">
      <c r="A2335" t="inlineStr">
        <is>
          <t>VELA MACUSI IGNACIO  T0001338.pdf</t>
        </is>
      </c>
      <c r="B2335">
        <f>HYPERLINK("C:\Users\lmonroy\Tema\PLANILLAS\Boletas 1 - 15 Dic\VELA MACUSI IGNACIO  T0001338.pdf", "Link")</f>
        <v/>
      </c>
      <c r="C2335" t="n">
        <v>134285</v>
      </c>
      <c r="D2335" t="inlineStr">
        <is>
          <t>2024-03-27 10:30:43</t>
        </is>
      </c>
      <c r="E2335" t="inlineStr">
        <is>
          <t>2024-03-27 10:22:46</t>
        </is>
      </c>
      <c r="F2335" t="inlineStr">
        <is>
          <t>666</t>
        </is>
      </c>
    </row>
    <row r="2336">
      <c r="A2336" t="inlineStr">
        <is>
          <t>VELA MACUSI JULIO  T0001339.pdf</t>
        </is>
      </c>
      <c r="B2336">
        <f>HYPERLINK("C:\Users\lmonroy\Tema\PLANILLAS\Boletas 1 - 15 Dic\VELA MACUSI JULIO  T0001339.pdf", "Link")</f>
        <v/>
      </c>
      <c r="C2336" t="n">
        <v>134261</v>
      </c>
      <c r="D2336" t="inlineStr">
        <is>
          <t>2024-03-27 10:30:44</t>
        </is>
      </c>
      <c r="E2336" t="inlineStr">
        <is>
          <t>2024-03-27 10:22:47</t>
        </is>
      </c>
      <c r="F2336" t="inlineStr">
        <is>
          <t>666</t>
        </is>
      </c>
    </row>
    <row r="2337">
      <c r="A2337" t="inlineStr">
        <is>
          <t>VELA MACUSI MANUEL  T0001340.pdf</t>
        </is>
      </c>
      <c r="B2337">
        <f>HYPERLINK("C:\Users\lmonroy\Tema\PLANILLAS\Boletas 1 - 15 Dic\VELA MACUSI MANUEL  T0001340.pdf", "Link")</f>
        <v/>
      </c>
      <c r="C2337" t="n">
        <v>134268</v>
      </c>
      <c r="D2337" t="inlineStr">
        <is>
          <t>2024-03-27 10:30:44</t>
        </is>
      </c>
      <c r="E2337" t="inlineStr">
        <is>
          <t>2024-03-27 10:22:48</t>
        </is>
      </c>
      <c r="F2337" t="inlineStr">
        <is>
          <t>666</t>
        </is>
      </c>
    </row>
    <row r="2338">
      <c r="A2338" t="inlineStr">
        <is>
          <t>VELA MANISARI SEGUNDO  T0001341.pdf</t>
        </is>
      </c>
      <c r="B2338">
        <f>HYPERLINK("C:\Users\lmonroy\Tema\PLANILLAS\Boletas 1 - 15 Dic\VELA MANISARI SEGUNDO  T0001341.pdf", "Link")</f>
        <v/>
      </c>
      <c r="C2338" t="n">
        <v>134251</v>
      </c>
      <c r="D2338" t="inlineStr">
        <is>
          <t>2024-03-27 10:26:46</t>
        </is>
      </c>
      <c r="E2338" t="inlineStr">
        <is>
          <t>2024-03-27 10:26:46</t>
        </is>
      </c>
      <c r="F2338" t="inlineStr">
        <is>
          <t>666</t>
        </is>
      </c>
    </row>
    <row r="2339">
      <c r="A2339" t="inlineStr">
        <is>
          <t>VELA MURAYARI SAMUEL  T0001342.pdf</t>
        </is>
      </c>
      <c r="B2339">
        <f>HYPERLINK("C:\Users\lmonroy\Tema\PLANILLAS\Boletas 1 - 15 Dic\VELA MURAYARI SAMUEL  T0001342.pdf", "Link")</f>
        <v/>
      </c>
      <c r="C2339" t="n">
        <v>134292</v>
      </c>
      <c r="D2339" t="inlineStr">
        <is>
          <t>2024-03-27 10:28:27</t>
        </is>
      </c>
      <c r="E2339" t="inlineStr">
        <is>
          <t>2024-03-27 10:28:27</t>
        </is>
      </c>
      <c r="F2339" t="inlineStr">
        <is>
          <t>666</t>
        </is>
      </c>
    </row>
    <row r="2340">
      <c r="A2340" t="inlineStr">
        <is>
          <t>VELA NORIEGA EDINSON  T0001343.pdf</t>
        </is>
      </c>
      <c r="B2340">
        <f>HYPERLINK("C:\Users\lmonroy\Tema\PLANILLAS\Boletas 1 - 15 Dic\VELA NORIEGA EDINSON  T0001343.pdf", "Link")</f>
        <v/>
      </c>
      <c r="C2340" t="n">
        <v>134384</v>
      </c>
      <c r="D2340" t="inlineStr">
        <is>
          <t>2024-03-27 10:30:45</t>
        </is>
      </c>
      <c r="E2340" t="inlineStr">
        <is>
          <t>2024-03-27 10:22:49</t>
        </is>
      </c>
      <c r="F2340" t="inlineStr">
        <is>
          <t>666</t>
        </is>
      </c>
    </row>
    <row r="2341">
      <c r="A2341" t="inlineStr">
        <is>
          <t>VELA NORIEGA RISBELTO  T0001344.pdf</t>
        </is>
      </c>
      <c r="B2341">
        <f>HYPERLINK("C:\Users\lmonroy\Tema\PLANILLAS\Boletas 1 - 15 Dic\VELA NORIEGA RISBELTO  T0001344.pdf", "Link")</f>
        <v/>
      </c>
      <c r="C2341" t="n">
        <v>134272</v>
      </c>
      <c r="D2341" t="inlineStr">
        <is>
          <t>2024-03-27 10:30:46</t>
        </is>
      </c>
      <c r="E2341" t="inlineStr">
        <is>
          <t>2024-03-27 10:22:50</t>
        </is>
      </c>
      <c r="F2341" t="inlineStr">
        <is>
          <t>666</t>
        </is>
      </c>
    </row>
    <row r="2342">
      <c r="A2342" t="inlineStr">
        <is>
          <t>VELA NURIBE DANIEL  T0001345.pdf</t>
        </is>
      </c>
      <c r="B2342">
        <f>HYPERLINK("C:\Users\lmonroy\Tema\PLANILLAS\Boletas 1 - 15 Dic\VELA NURIBE DANIEL  T0001345.pdf", "Link")</f>
        <v/>
      </c>
      <c r="C2342" t="n">
        <v>134252</v>
      </c>
      <c r="D2342" t="inlineStr">
        <is>
          <t>2024-03-27 10:30:47</t>
        </is>
      </c>
      <c r="E2342" t="inlineStr">
        <is>
          <t>2024-03-27 10:30:47</t>
        </is>
      </c>
      <c r="F2342" t="inlineStr">
        <is>
          <t>666</t>
        </is>
      </c>
    </row>
    <row r="2343">
      <c r="A2343" t="inlineStr">
        <is>
          <t>VELA NURIBE VICTOR  T0001346.pdf</t>
        </is>
      </c>
      <c r="B2343">
        <f>HYPERLINK("C:\Users\lmonroy\Tema\PLANILLAS\Boletas 1 - 15 Dic\VELA NURIBE VICTOR  T0001346.pdf", "Link")</f>
        <v/>
      </c>
      <c r="C2343" t="n">
        <v>134380</v>
      </c>
      <c r="D2343" t="inlineStr">
        <is>
          <t>2024-03-27 10:27:18</t>
        </is>
      </c>
      <c r="E2343" t="inlineStr">
        <is>
          <t>2024-03-27 10:27:18</t>
        </is>
      </c>
      <c r="F2343" t="inlineStr">
        <is>
          <t>666</t>
        </is>
      </c>
    </row>
    <row r="2344">
      <c r="A2344" t="inlineStr">
        <is>
          <t>VELA OJAICATE GILBERTO  T0001347.pdf</t>
        </is>
      </c>
      <c r="B2344">
        <f>HYPERLINK("C:\Users\lmonroy\Tema\PLANILLAS\Boletas 1 - 15 Dic\VELA OJAICATE GILBERTO  T0001347.pdf", "Link")</f>
        <v/>
      </c>
      <c r="C2344" t="n">
        <v>134339</v>
      </c>
      <c r="D2344" t="inlineStr">
        <is>
          <t>2024-03-27 10:30:48</t>
        </is>
      </c>
      <c r="E2344" t="inlineStr">
        <is>
          <t>2024-03-27 10:30:48</t>
        </is>
      </c>
      <c r="F2344" t="inlineStr">
        <is>
          <t>666</t>
        </is>
      </c>
    </row>
    <row r="2345">
      <c r="A2345" t="inlineStr">
        <is>
          <t>VELA OJAICURO CARLOS  T0001348.pdf</t>
        </is>
      </c>
      <c r="B2345">
        <f>HYPERLINK("C:\Users\lmonroy\Tema\PLANILLAS\Boletas 1 - 15 Dic\VELA OJAICURO CARLOS  T0001348.pdf", "Link")</f>
        <v/>
      </c>
      <c r="C2345" t="n">
        <v>134273</v>
      </c>
      <c r="D2345" t="inlineStr">
        <is>
          <t>2024-03-27 10:30:49</t>
        </is>
      </c>
      <c r="E2345" t="inlineStr">
        <is>
          <t>2024-03-27 10:22:51</t>
        </is>
      </c>
      <c r="F2345" t="inlineStr">
        <is>
          <t>666</t>
        </is>
      </c>
    </row>
    <row r="2346">
      <c r="A2346" t="inlineStr">
        <is>
          <t>VELA OJAICURO ROY  T0001349.pdf</t>
        </is>
      </c>
      <c r="B2346">
        <f>HYPERLINK("C:\Users\lmonroy\Tema\PLANILLAS\Boletas 1 - 15 Dic\VELA OJAICURO ROY  T0001349.pdf", "Link")</f>
        <v/>
      </c>
      <c r="C2346" t="n">
        <v>134280</v>
      </c>
      <c r="D2346" t="inlineStr">
        <is>
          <t>2024-03-27 10:30:50</t>
        </is>
      </c>
      <c r="E2346" t="inlineStr">
        <is>
          <t>2024-03-27 10:22:52</t>
        </is>
      </c>
      <c r="F2346" t="inlineStr">
        <is>
          <t>666</t>
        </is>
      </c>
    </row>
    <row r="2347">
      <c r="A2347" t="inlineStr">
        <is>
          <t>VELA OJEYCATE ENRIQUE  T0001350.pdf</t>
        </is>
      </c>
      <c r="B2347">
        <f>HYPERLINK("C:\Users\lmonroy\Tema\PLANILLAS\Boletas 1 - 15 Dic\VELA OJEYCATE ENRIQUE  T0001350.pdf", "Link")</f>
        <v/>
      </c>
      <c r="C2347" t="n">
        <v>134260</v>
      </c>
      <c r="D2347" t="inlineStr">
        <is>
          <t>2024-03-27 10:30:51</t>
        </is>
      </c>
      <c r="E2347" t="inlineStr">
        <is>
          <t>2024-03-27 10:30:51</t>
        </is>
      </c>
      <c r="F2347" t="inlineStr">
        <is>
          <t>666</t>
        </is>
      </c>
    </row>
    <row r="2348">
      <c r="A2348" t="inlineStr">
        <is>
          <t>VELA OJEYCATE WILDER  T0001351.pdf</t>
        </is>
      </c>
      <c r="B2348">
        <f>HYPERLINK("C:\Users\lmonroy\Tema\PLANILLAS\Boletas 1 - 15 Dic\VELA OJEYCATE WILDER  T0001351.pdf", "Link")</f>
        <v/>
      </c>
      <c r="C2348" t="n">
        <v>134307</v>
      </c>
      <c r="D2348" t="inlineStr">
        <is>
          <t>2024-03-27 10:27:25</t>
        </is>
      </c>
      <c r="E2348" t="inlineStr">
        <is>
          <t>2024-03-27 10:27:25</t>
        </is>
      </c>
      <c r="F2348" t="inlineStr">
        <is>
          <t>666</t>
        </is>
      </c>
    </row>
    <row r="2349">
      <c r="A2349" t="inlineStr">
        <is>
          <t>VELA TARICUARIMA EDGAR  T0001352.pdf</t>
        </is>
      </c>
      <c r="B2349">
        <f>HYPERLINK("C:\Users\lmonroy\Tema\PLANILLAS\Boletas 1 - 15 Dic\VELA TARICUARIMA EDGAR  T0001352.pdf", "Link")</f>
        <v/>
      </c>
      <c r="C2349" t="n">
        <v>134277</v>
      </c>
      <c r="D2349" t="inlineStr">
        <is>
          <t>2024-03-27 10:30:51</t>
        </is>
      </c>
      <c r="E2349" t="inlineStr">
        <is>
          <t>2024-03-27 10:22:53</t>
        </is>
      </c>
      <c r="F2349" t="inlineStr">
        <is>
          <t>666</t>
        </is>
      </c>
    </row>
    <row r="2350">
      <c r="A2350" t="inlineStr">
        <is>
          <t>VELA TORRES LLEVERSON  T0001353.pdf</t>
        </is>
      </c>
      <c r="B2350">
        <f>HYPERLINK("C:\Users\lmonroy\Tema\PLANILLAS\Boletas 1 - 15 Dic\VELA TORRES LLEVERSON  T0001353.pdf", "Link")</f>
        <v/>
      </c>
      <c r="C2350" t="n">
        <v>134373</v>
      </c>
      <c r="D2350" t="inlineStr">
        <is>
          <t>2024-03-27 10:27:49</t>
        </is>
      </c>
      <c r="E2350" t="inlineStr">
        <is>
          <t>2024-03-27 10:27:49</t>
        </is>
      </c>
      <c r="F2350" t="inlineStr">
        <is>
          <t>666</t>
        </is>
      </c>
    </row>
    <row r="2351">
      <c r="A2351" t="inlineStr">
        <is>
          <t>VELA TORRES RONY MANASES T0001354.pdf</t>
        </is>
      </c>
      <c r="B2351">
        <f>HYPERLINK("C:\Users\lmonroy\Tema\PLANILLAS\Boletas 1 - 15 Dic\VELA TORRES RONY MANASES T0001354.pdf", "Link")</f>
        <v/>
      </c>
      <c r="C2351" t="n">
        <v>134284</v>
      </c>
      <c r="D2351" t="inlineStr">
        <is>
          <t>2024-03-27 10:27:19</t>
        </is>
      </c>
      <c r="E2351" t="inlineStr">
        <is>
          <t>2024-03-27 10:27:19</t>
        </is>
      </c>
      <c r="F2351" t="inlineStr">
        <is>
          <t>666</t>
        </is>
      </c>
    </row>
    <row r="2352">
      <c r="A2352" t="inlineStr">
        <is>
          <t>VELA TORRES SAMUEL  T0001355.pdf</t>
        </is>
      </c>
      <c r="B2352">
        <f>HYPERLINK("C:\Users\lmonroy\Tema\PLANILLAS\Boletas 1 - 15 Dic\VELA TORRES SAMUEL  T0001355.pdf", "Link")</f>
        <v/>
      </c>
      <c r="C2352" t="n">
        <v>134287</v>
      </c>
      <c r="D2352" t="inlineStr">
        <is>
          <t>2024-03-27 10:26:30</t>
        </is>
      </c>
      <c r="E2352" t="inlineStr">
        <is>
          <t>2024-03-27 10:26:30</t>
        </is>
      </c>
      <c r="F2352" t="inlineStr">
        <is>
          <t>666</t>
        </is>
      </c>
    </row>
    <row r="2353">
      <c r="A2353" t="inlineStr">
        <is>
          <t>VELASQUEZ RODRIGUEZ ROMEL T0001462.pdf</t>
        </is>
      </c>
      <c r="B2353">
        <f>HYPERLINK("C:\Users\lmonroy\Tema\PLANILLAS\Boletas 1 - 15 Dic\VELASQUEZ RODRIGUEZ ROMEL T0001462.pdf", "Link")</f>
        <v/>
      </c>
      <c r="C2353" t="n">
        <v>134292</v>
      </c>
      <c r="D2353" t="inlineStr">
        <is>
          <t>2024-03-27 10:27:57</t>
        </is>
      </c>
      <c r="E2353" t="inlineStr">
        <is>
          <t>2024-03-27 10:27:57</t>
        </is>
      </c>
      <c r="F2353" t="inlineStr">
        <is>
          <t>666</t>
        </is>
      </c>
    </row>
    <row r="2354">
      <c r="A2354" t="inlineStr">
        <is>
          <t>VELASQUEZ TAPULLIMA ELDER T0001435.pdf</t>
        </is>
      </c>
      <c r="B2354">
        <f>HYPERLINK("C:\Users\lmonroy\Tema\PLANILLAS\Boletas 1 - 15 Dic\VELASQUEZ TAPULLIMA ELDER T0001435.pdf", "Link")</f>
        <v/>
      </c>
      <c r="C2354" t="n">
        <v>134392</v>
      </c>
      <c r="D2354" t="inlineStr">
        <is>
          <t>2024-03-27 10:25:55</t>
        </is>
      </c>
      <c r="E2354" t="inlineStr">
        <is>
          <t>2024-03-27 10:25:55</t>
        </is>
      </c>
      <c r="F2354" t="inlineStr">
        <is>
          <t>666</t>
        </is>
      </c>
    </row>
    <row r="2355">
      <c r="A2355" t="inlineStr">
        <is>
          <t>VICENTE AHUITE JUAN  T0001356.pdf</t>
        </is>
      </c>
      <c r="B2355">
        <f>HYPERLINK("C:\Users\lmonroy\Tema\PLANILLAS\Boletas 1 - 15 Dic\VICENTE AHUITE JUAN  T0001356.pdf", "Link")</f>
        <v/>
      </c>
      <c r="C2355" t="n">
        <v>134285</v>
      </c>
      <c r="D2355" t="inlineStr">
        <is>
          <t>2024-03-27 10:30:52</t>
        </is>
      </c>
      <c r="E2355" t="inlineStr">
        <is>
          <t>2024-03-27 10:30:52</t>
        </is>
      </c>
      <c r="F2355" t="inlineStr">
        <is>
          <t>666</t>
        </is>
      </c>
    </row>
    <row r="2356">
      <c r="A2356" t="inlineStr">
        <is>
          <t>VICENTE AHUITE SANTIAGO T0001369.pdf</t>
        </is>
      </c>
      <c r="B2356">
        <f>HYPERLINK("C:\Users\lmonroy\Tema\PLANILLAS\Boletas 1 - 15 Dic\VICENTE AHUITE SANTIAGO T0001369.pdf", "Link")</f>
        <v/>
      </c>
      <c r="C2356" t="n">
        <v>134281</v>
      </c>
      <c r="D2356" t="inlineStr">
        <is>
          <t>2024-03-27 10:30:57</t>
        </is>
      </c>
      <c r="E2356" t="inlineStr">
        <is>
          <t>2024-03-27 10:30:57</t>
        </is>
      </c>
      <c r="F2356" t="inlineStr">
        <is>
          <t>666</t>
        </is>
      </c>
    </row>
    <row r="2357">
      <c r="A2357" t="inlineStr">
        <is>
          <t>VICTORIANO AHUITE MANUEL  T0001357.pdf</t>
        </is>
      </c>
      <c r="B2357">
        <f>HYPERLINK("C:\Users\lmonroy\Tema\PLANILLAS\Boletas 1 - 15 Dic\VICTORIANO AHUITE MANUEL  T0001357.pdf", "Link")</f>
        <v/>
      </c>
      <c r="C2357" t="n">
        <v>134275</v>
      </c>
      <c r="D2357" t="inlineStr">
        <is>
          <t>2024-03-27 10:25:43</t>
        </is>
      </c>
      <c r="E2357" t="inlineStr">
        <is>
          <t>2024-03-27 10:25:43</t>
        </is>
      </c>
      <c r="F2357" t="inlineStr">
        <is>
          <t>666</t>
        </is>
      </c>
    </row>
    <row r="2358">
      <c r="A2358" t="inlineStr">
        <is>
          <t>VILCA RAMIREZ PEDRO  T0001358.pdf</t>
        </is>
      </c>
      <c r="B2358">
        <f>HYPERLINK("C:\Users\lmonroy\Tema\PLANILLAS\Boletas 1 - 15 Dic\VILCA RAMIREZ PEDRO  T0001358.pdf", "Link")</f>
        <v/>
      </c>
      <c r="C2358" t="n">
        <v>134363</v>
      </c>
      <c r="D2358" t="inlineStr">
        <is>
          <t>2024-03-27 10:30:53</t>
        </is>
      </c>
      <c r="E2358" t="inlineStr">
        <is>
          <t>2024-03-27 10:22:54</t>
        </is>
      </c>
      <c r="F2358" t="inlineStr">
        <is>
          <t>666</t>
        </is>
      </c>
    </row>
    <row r="2359">
      <c r="A2359" t="inlineStr">
        <is>
          <t>VILCA RIOS EMANUEL  T0001359.pdf</t>
        </is>
      </c>
      <c r="B2359">
        <f>HYPERLINK("C:\Users\lmonroy\Tema\PLANILLAS\Boletas 1 - 15 Dic\VILCA RIOS EMANUEL  T0001359.pdf", "Link")</f>
        <v/>
      </c>
      <c r="C2359" t="n">
        <v>134269</v>
      </c>
      <c r="D2359" t="inlineStr">
        <is>
          <t>2024-03-27 10:30:54</t>
        </is>
      </c>
      <c r="E2359" t="inlineStr">
        <is>
          <t>2024-03-27 10:30:54</t>
        </is>
      </c>
      <c r="F2359" t="inlineStr">
        <is>
          <t>666</t>
        </is>
      </c>
    </row>
    <row r="2360">
      <c r="A2360" t="inlineStr">
        <is>
          <t>VILLACORTA OLIVEIRA KILER  T0001360.pdf</t>
        </is>
      </c>
      <c r="B2360">
        <f>HYPERLINK("C:\Users\lmonroy\Tema\PLANILLAS\Boletas 1 - 15 Dic\VILLACORTA OLIVEIRA KILER  T0001360.pdf", "Link")</f>
        <v/>
      </c>
      <c r="C2360" t="n">
        <v>134299</v>
      </c>
      <c r="D2360" t="inlineStr">
        <is>
          <t>2024-03-27 10:27:42</t>
        </is>
      </c>
      <c r="E2360" t="inlineStr">
        <is>
          <t>2024-03-27 10:27:42</t>
        </is>
      </c>
      <c r="F2360" t="inlineStr">
        <is>
          <t>666</t>
        </is>
      </c>
    </row>
    <row r="2361">
      <c r="A2361" t="inlineStr">
        <is>
          <t>YAHUARCANI SILVA MAGNER  T0001361.pdf</t>
        </is>
      </c>
      <c r="B2361">
        <f>HYPERLINK("C:\Users\lmonroy\Tema\PLANILLAS\Boletas 1 - 15 Dic\YAHUARCANI SILVA MAGNER  T0001361.pdf", "Link")</f>
        <v/>
      </c>
      <c r="C2361" t="n">
        <v>134296</v>
      </c>
      <c r="D2361" t="inlineStr">
        <is>
          <t>2024-03-27 10:26:17</t>
        </is>
      </c>
      <c r="E2361" t="inlineStr">
        <is>
          <t>2024-03-27 10:26:17</t>
        </is>
      </c>
      <c r="F2361" t="inlineStr">
        <is>
          <t>666</t>
        </is>
      </c>
    </row>
    <row r="2362">
      <c r="A2362" t="inlineStr">
        <is>
          <t>YAHUARCANI SILVA WILDER EDUARDO T0001362.pdf</t>
        </is>
      </c>
      <c r="B2362">
        <f>HYPERLINK("C:\Users\lmonroy\Tema\PLANILLAS\Boletas 1 - 15 Dic\YAHUARCANI SILVA WILDER EDUARDO T0001362.pdf", "Link")</f>
        <v/>
      </c>
      <c r="C2362" t="n">
        <v>134290</v>
      </c>
      <c r="D2362" t="inlineStr">
        <is>
          <t>2024-03-27 10:26:50</t>
        </is>
      </c>
      <c r="E2362" t="inlineStr">
        <is>
          <t>2024-03-27 10:26:50</t>
        </is>
      </c>
      <c r="F2362" t="inlineStr">
        <is>
          <t>666</t>
        </is>
      </c>
    </row>
    <row r="2363">
      <c r="A2363" t="inlineStr">
        <is>
          <t>YAICATE CLEMENTE MARIO  T0001363.pdf</t>
        </is>
      </c>
      <c r="B2363">
        <f>HYPERLINK("C:\Users\lmonroy\Tema\PLANILLAS\Boletas 1 - 15 Dic\YAICATE CLEMENTE MARIO  T0001363.pdf", "Link")</f>
        <v/>
      </c>
      <c r="C2363" t="n">
        <v>134279</v>
      </c>
      <c r="D2363" t="inlineStr">
        <is>
          <t>2024-03-27 10:30:55</t>
        </is>
      </c>
      <c r="E2363" t="inlineStr">
        <is>
          <t>2024-03-27 10:30:55</t>
        </is>
      </c>
      <c r="F2363" t="inlineStr">
        <is>
          <t>666</t>
        </is>
      </c>
    </row>
    <row r="2364">
      <c r="A2364" t="inlineStr">
        <is>
          <t>YAICATE CUNAYAPA NEMESIO  T0001365.pdf</t>
        </is>
      </c>
      <c r="B2364">
        <f>HYPERLINK("C:\Users\lmonroy\Tema\PLANILLAS\Boletas 1 - 15 Dic\YAICATE CUNAYAPA NEMESIO  T0001365.pdf", "Link")</f>
        <v/>
      </c>
      <c r="C2364" t="n">
        <v>134245</v>
      </c>
      <c r="D2364" t="inlineStr">
        <is>
          <t>2024-03-27 10:30:56</t>
        </is>
      </c>
      <c r="E2364" t="inlineStr">
        <is>
          <t>2024-03-27 10:30:56</t>
        </is>
      </c>
      <c r="F2364" t="inlineStr">
        <is>
          <t>666</t>
        </is>
      </c>
    </row>
    <row r="2365">
      <c r="A2365" t="inlineStr">
        <is>
          <t>YAICATE CURICO MOISES  T0001366.pdf</t>
        </is>
      </c>
      <c r="B2365">
        <f>HYPERLINK("C:\Users\lmonroy\Tema\PLANILLAS\Boletas 1 - 15 Dic\YAICATE CURICO MOISES  T0001366.pdf", "Link")</f>
        <v/>
      </c>
      <c r="C2365" t="n">
        <v>134295</v>
      </c>
      <c r="D2365" t="inlineStr">
        <is>
          <t>2024-03-27 10:26:17</t>
        </is>
      </c>
      <c r="E2365" t="inlineStr">
        <is>
          <t>2024-03-27 10:26:17</t>
        </is>
      </c>
      <c r="F2365" t="inlineStr">
        <is>
          <t>666</t>
        </is>
      </c>
    </row>
    <row r="2366">
      <c r="A2366" t="inlineStr">
        <is>
          <t>YALTA TORRES ROBERTO PLACIDO T0001367.pdf</t>
        </is>
      </c>
      <c r="B2366">
        <f>HYPERLINK("C:\Users\lmonroy\Tema\PLANILLAS\Boletas 1 - 15 Dic\YALTA TORRES ROBERTO PLACIDO T0001367.pdf", "Link")</f>
        <v/>
      </c>
      <c r="C2366" t="n">
        <v>134394</v>
      </c>
      <c r="D2366" t="inlineStr">
        <is>
          <t>2024-03-27 10:28:44</t>
        </is>
      </c>
      <c r="E2366" t="inlineStr">
        <is>
          <t>2024-03-27 10:28:44</t>
        </is>
      </c>
      <c r="F2366" t="inlineStr">
        <is>
          <t>666</t>
        </is>
      </c>
    </row>
    <row r="2367">
      <c r="A2367" t="inlineStr">
        <is>
          <t>YUYARIMA CANAQUIRI GINER T0001446.pdf</t>
        </is>
      </c>
      <c r="B2367">
        <f>HYPERLINK("C:\Users\lmonroy\Tema\PLANILLAS\Boletas 1 - 15 Dic\YUYARIMA CANAQUIRI GINER T0001446.pdf", "Link")</f>
        <v/>
      </c>
      <c r="C2367" t="n">
        <v>134239</v>
      </c>
      <c r="D2367" t="inlineStr">
        <is>
          <t>2024-03-27 10:26:42</t>
        </is>
      </c>
      <c r="E2367" t="inlineStr">
        <is>
          <t>2024-03-27 10:26:42</t>
        </is>
      </c>
      <c r="F2367" t="inlineStr">
        <is>
          <t>666</t>
        </is>
      </c>
    </row>
    <row r="2368">
      <c r="A2368" t="inlineStr">
        <is>
          <t>AHUANARI ASPAJO JOSE _T0001015.pdf</t>
        </is>
      </c>
      <c r="B2368">
        <f>HYPERLINK("C:\Users\lmonroy\Tema\PLANILLAS\Boletas 16 - 31 Dic\AHUANARI ASPAJO JOSE _T0001015.pdf", "Link")</f>
        <v/>
      </c>
      <c r="C2368" t="n">
        <v>166293</v>
      </c>
      <c r="D2368" t="inlineStr">
        <is>
          <t>2024-03-27 10:19:13</t>
        </is>
      </c>
      <c r="E2368" t="inlineStr">
        <is>
          <t>2024-03-27 10:07:58</t>
        </is>
      </c>
      <c r="F2368" t="inlineStr">
        <is>
          <t>666</t>
        </is>
      </c>
    </row>
    <row r="2369">
      <c r="A2369" t="inlineStr">
        <is>
          <t>AHUANARI MANAJO MILLER _T0001016.pdf</t>
        </is>
      </c>
      <c r="B2369">
        <f>HYPERLINK("C:\Users\lmonroy\Tema\PLANILLAS\Boletas 16 - 31 Dic\AHUANARI MANAJO MILLER _T0001016.pdf", "Link")</f>
        <v/>
      </c>
      <c r="C2369" t="n">
        <v>166127</v>
      </c>
      <c r="D2369" t="inlineStr">
        <is>
          <t>2024-03-27 10:15:47</t>
        </is>
      </c>
      <c r="E2369" t="inlineStr">
        <is>
          <t>2024-03-27 10:04:32</t>
        </is>
      </c>
      <c r="F2369" t="inlineStr">
        <is>
          <t>666</t>
        </is>
      </c>
    </row>
    <row r="2370">
      <c r="A2370" t="inlineStr">
        <is>
          <t>AHUITE CACHIRICO ARTEMIO_T0001492.pdf</t>
        </is>
      </c>
      <c r="B2370">
        <f>HYPERLINK("C:\Users\lmonroy\Tema\PLANILLAS\Boletas 16 - 31 Dic\AHUITE CACHIRICO ARTEMIO_T0001492.pdf", "Link")</f>
        <v/>
      </c>
      <c r="C2370" t="n">
        <v>166294</v>
      </c>
      <c r="D2370" t="inlineStr">
        <is>
          <t>2024-03-27 10:18:25</t>
        </is>
      </c>
      <c r="E2370" t="inlineStr">
        <is>
          <t>2024-03-27 10:07:08</t>
        </is>
      </c>
      <c r="F2370" t="inlineStr">
        <is>
          <t>666</t>
        </is>
      </c>
    </row>
    <row r="2371">
      <c r="A2371" t="inlineStr">
        <is>
          <t>AHUITE MACUSI LUIS _T0001018.pdf</t>
        </is>
      </c>
      <c r="B2371">
        <f>HYPERLINK("C:\Users\lmonroy\Tema\PLANILLAS\Boletas 16 - 31 Dic\AHUITE MACUSI LUIS _T0001018.pdf", "Link")</f>
        <v/>
      </c>
      <c r="C2371" t="n">
        <v>166142</v>
      </c>
      <c r="D2371" t="inlineStr">
        <is>
          <t>2024-03-27 10:19:21</t>
        </is>
      </c>
      <c r="E2371" t="inlineStr">
        <is>
          <t>2024-03-27 10:08:06</t>
        </is>
      </c>
      <c r="F2371" t="inlineStr">
        <is>
          <t>666</t>
        </is>
      </c>
    </row>
    <row r="2372">
      <c r="A2372" t="inlineStr">
        <is>
          <t>AHUITE MACUSI SEGUNDO _T0001019.pdf</t>
        </is>
      </c>
      <c r="B2372">
        <f>HYPERLINK("C:\Users\lmonroy\Tema\PLANILLAS\Boletas 16 - 31 Dic\AHUITE MACUSI SEGUNDO _T0001019.pdf", "Link")</f>
        <v/>
      </c>
      <c r="C2372" t="n">
        <v>166142</v>
      </c>
      <c r="D2372" t="inlineStr">
        <is>
          <t>2024-03-27 10:13:12</t>
        </is>
      </c>
      <c r="E2372" t="inlineStr">
        <is>
          <t>2024-03-27 10:02:24</t>
        </is>
      </c>
      <c r="F2372" t="inlineStr">
        <is>
          <t>666</t>
        </is>
      </c>
    </row>
    <row r="2373">
      <c r="A2373" t="inlineStr">
        <is>
          <t>AHUITE MANIZARI JUAN_T0001493.pdf</t>
        </is>
      </c>
      <c r="B2373">
        <f>HYPERLINK("C:\Users\lmonroy\Tema\PLANILLAS\Boletas 16 - 31 Dic\AHUITE MANIZARI JUAN_T0001493.pdf", "Link")</f>
        <v/>
      </c>
      <c r="C2373" t="n">
        <v>166311</v>
      </c>
      <c r="D2373" t="inlineStr">
        <is>
          <t>2024-03-27 10:18:19</t>
        </is>
      </c>
      <c r="E2373" t="inlineStr">
        <is>
          <t>2024-03-27 10:07:02</t>
        </is>
      </c>
      <c r="F2373" t="inlineStr">
        <is>
          <t>666</t>
        </is>
      </c>
    </row>
    <row r="2374">
      <c r="A2374" t="inlineStr">
        <is>
          <t>AHUITE TARICUARIMA ARTEMIO _T0001022.pdf</t>
        </is>
      </c>
      <c r="B2374">
        <f>HYPERLINK("C:\Users\lmonroy\Tema\PLANILLAS\Boletas 16 - 31 Dic\AHUITE TARICUARIMA ARTEMIO _T0001022.pdf", "Link")</f>
        <v/>
      </c>
      <c r="C2374" t="n">
        <v>166027</v>
      </c>
      <c r="D2374" t="inlineStr">
        <is>
          <t>2024-03-27 10:18:24</t>
        </is>
      </c>
      <c r="E2374" t="inlineStr">
        <is>
          <t>2024-03-27 10:07:07</t>
        </is>
      </c>
      <c r="F2374" t="inlineStr">
        <is>
          <t>666</t>
        </is>
      </c>
    </row>
    <row r="2375">
      <c r="A2375" t="inlineStr">
        <is>
          <t>AJEICATE ARAHUATE CELSO _T0001023.pdf</t>
        </is>
      </c>
      <c r="B2375">
        <f>HYPERLINK("C:\Users\lmonroy\Tema\PLANILLAS\Boletas 16 - 31 Dic\AJEICATE ARAHUATE CELSO _T0001023.pdf", "Link")</f>
        <v/>
      </c>
      <c r="C2375" t="n">
        <v>166332</v>
      </c>
      <c r="D2375" t="inlineStr">
        <is>
          <t>2024-03-27 10:13:02</t>
        </is>
      </c>
      <c r="E2375" t="inlineStr">
        <is>
          <t>2024-03-27 10:02:16</t>
        </is>
      </c>
      <c r="F2375" t="inlineStr">
        <is>
          <t>666</t>
        </is>
      </c>
    </row>
    <row r="2376">
      <c r="A2376" t="inlineStr">
        <is>
          <t>AMARINGO NAVARRO GUNDER _T0001024.pdf</t>
        </is>
      </c>
      <c r="B2376">
        <f>HYPERLINK("C:\Users\lmonroy\Tema\PLANILLAS\Boletas 16 - 31 Dic\AMARINGO NAVARRO GUNDER _T0001024.pdf", "Link")</f>
        <v/>
      </c>
      <c r="C2376" t="n">
        <v>166132</v>
      </c>
      <c r="D2376" t="inlineStr">
        <is>
          <t>2024-03-27 10:19:05</t>
        </is>
      </c>
      <c r="E2376" t="inlineStr">
        <is>
          <t>2024-03-27 10:07:50</t>
        </is>
      </c>
      <c r="F2376" t="inlineStr">
        <is>
          <t>666</t>
        </is>
      </c>
    </row>
    <row r="2377">
      <c r="A2377" t="inlineStr">
        <is>
          <t>AMARINGO RUIZ LUIS WIDER_T0001025.pdf</t>
        </is>
      </c>
      <c r="B2377">
        <f>HYPERLINK("C:\Users\lmonroy\Tema\PLANILLAS\Boletas 16 - 31 Dic\AMARINGO RUIZ LUIS WIDER_T0001025.pdf", "Link")</f>
        <v/>
      </c>
      <c r="C2377" t="n">
        <v>166321</v>
      </c>
      <c r="D2377" t="inlineStr">
        <is>
          <t>2024-03-27 10:12:37</t>
        </is>
      </c>
      <c r="E2377" t="inlineStr">
        <is>
          <t>2024-03-27 10:01:54</t>
        </is>
      </c>
      <c r="F2377" t="inlineStr">
        <is>
          <t>666</t>
        </is>
      </c>
    </row>
    <row r="2378">
      <c r="A2378" t="inlineStr">
        <is>
          <t>AMARINGO VASQUEZ DIRSEO _T0001026.pdf</t>
        </is>
      </c>
      <c r="B2378">
        <f>HYPERLINK("C:\Users\lmonroy\Tema\PLANILLAS\Boletas 16 - 31 Dic\AMARINGO VASQUEZ DIRSEO _T0001026.pdf", "Link")</f>
        <v/>
      </c>
      <c r="C2378" t="n">
        <v>166327</v>
      </c>
      <c r="D2378" t="inlineStr">
        <is>
          <t>2024-03-27 10:19:19</t>
        </is>
      </c>
      <c r="E2378" t="inlineStr">
        <is>
          <t>2024-03-27 10:08:03</t>
        </is>
      </c>
      <c r="F2378" t="inlineStr">
        <is>
          <t>666</t>
        </is>
      </c>
    </row>
    <row r="2379">
      <c r="A2379" t="inlineStr">
        <is>
          <t>ANDRADE NUÑEZ ARTI LEO_T0001437.pdf</t>
        </is>
      </c>
      <c r="B2379">
        <f>HYPERLINK("C:\Users\lmonroy\Tema\PLANILLAS\Boletas 16 - 31 Dic\ANDRADE NUÑEZ ARTI LEO_T0001437.pdf", "Link")</f>
        <v/>
      </c>
      <c r="C2379" t="n">
        <v>166324</v>
      </c>
      <c r="D2379" t="inlineStr">
        <is>
          <t>2024-03-27 10:17:16</t>
        </is>
      </c>
      <c r="E2379" t="inlineStr">
        <is>
          <t>2024-03-27 10:05:55</t>
        </is>
      </c>
      <c r="F2379" t="inlineStr">
        <is>
          <t>666</t>
        </is>
      </c>
    </row>
    <row r="2380">
      <c r="A2380" t="inlineStr">
        <is>
          <t>APAGUEÑO OJANAMA MELVIN_T0001485.pdf</t>
        </is>
      </c>
      <c r="B2380">
        <f>HYPERLINK("C:\Users\lmonroy\Tema\PLANILLAS\Boletas 16 - 31 Dic\APAGUEÑO OJANAMA MELVIN_T0001485.pdf", "Link")</f>
        <v/>
      </c>
      <c r="C2380" t="n">
        <v>166333</v>
      </c>
      <c r="D2380" t="inlineStr">
        <is>
          <t>2024-03-27 10:13:11</t>
        </is>
      </c>
      <c r="E2380" t="inlineStr">
        <is>
          <t>2024-03-27 10:02:23</t>
        </is>
      </c>
      <c r="F2380" t="inlineStr">
        <is>
          <t>666</t>
        </is>
      </c>
    </row>
    <row r="2381">
      <c r="A2381" t="inlineStr">
        <is>
          <t>APAGÜEÑO CURITIMA AVENAMAR _T0001389.pdf</t>
        </is>
      </c>
      <c r="B2381">
        <f>HYPERLINK("C:\Users\lmonroy\Tema\PLANILLAS\Boletas 16 - 31 Dic\APAGÜEÑO CURITIMA AVENAMAR _T0001389.pdf", "Link")</f>
        <v/>
      </c>
      <c r="C2381" t="n">
        <v>166169</v>
      </c>
      <c r="D2381" t="inlineStr">
        <is>
          <t>2024-03-27 10:17:39</t>
        </is>
      </c>
      <c r="E2381" t="inlineStr">
        <is>
          <t>2024-03-27 10:06:19</t>
        </is>
      </c>
      <c r="F2381" t="inlineStr">
        <is>
          <t>666</t>
        </is>
      </c>
    </row>
    <row r="2382">
      <c r="A2382" t="inlineStr">
        <is>
          <t>ARAHUATA AHUITE ESTEBAN_T0001494.pdf</t>
        </is>
      </c>
      <c r="B2382">
        <f>HYPERLINK("C:\Users\lmonroy\Tema\PLANILLAS\Boletas 16 - 31 Dic\ARAHUATA AHUITE ESTEBAN_T0001494.pdf", "Link")</f>
        <v/>
      </c>
      <c r="C2382" t="n">
        <v>166291</v>
      </c>
      <c r="D2382" t="inlineStr">
        <is>
          <t>2024-03-27 10:17:13</t>
        </is>
      </c>
      <c r="E2382" t="inlineStr">
        <is>
          <t>2024-03-27 10:05:51</t>
        </is>
      </c>
      <c r="F2382" t="inlineStr">
        <is>
          <t>666</t>
        </is>
      </c>
    </row>
    <row r="2383">
      <c r="A2383" t="inlineStr">
        <is>
          <t>ARAHUATA MANIZARI VICENTE_T0001495.pdf</t>
        </is>
      </c>
      <c r="B2383">
        <f>HYPERLINK("C:\Users\lmonroy\Tema\PLANILLAS\Boletas 16 - 31 Dic\ARAHUATA MANIZARI VICENTE_T0001495.pdf", "Link")</f>
        <v/>
      </c>
      <c r="C2383" t="n">
        <v>166303</v>
      </c>
      <c r="D2383" t="inlineStr">
        <is>
          <t>2024-03-27 10:19:08</t>
        </is>
      </c>
      <c r="E2383" t="inlineStr">
        <is>
          <t>2024-03-27 10:07:53</t>
        </is>
      </c>
      <c r="F2383" t="inlineStr">
        <is>
          <t>666</t>
        </is>
      </c>
    </row>
    <row r="2384">
      <c r="A2384" t="inlineStr">
        <is>
          <t>ARIMUYA MURAYARI RIDER_T0001481.pdf</t>
        </is>
      </c>
      <c r="B2384">
        <f>HYPERLINK("C:\Users\lmonroy\Tema\PLANILLAS\Boletas 16 - 31 Dic\ARIMUYA MURAYARI RIDER_T0001481.pdf", "Link")</f>
        <v/>
      </c>
      <c r="C2384" t="n">
        <v>166323</v>
      </c>
      <c r="D2384" t="inlineStr">
        <is>
          <t>2024-03-27 10:13:25</t>
        </is>
      </c>
      <c r="E2384" t="inlineStr">
        <is>
          <t>2024-03-27 10:02:35</t>
        </is>
      </c>
      <c r="F2384" t="inlineStr">
        <is>
          <t>666</t>
        </is>
      </c>
    </row>
    <row r="2385">
      <c r="A2385" t="inlineStr">
        <is>
          <t>ARIRAMA CANAQUIRI OCTAVIO_T0001438.pdf</t>
        </is>
      </c>
      <c r="B2385">
        <f>HYPERLINK("C:\Users\lmonroy\Tema\PLANILLAS\Boletas 16 - 31 Dic\ARIRAMA CANAQUIRI OCTAVIO_T0001438.pdf", "Link")</f>
        <v/>
      </c>
      <c r="C2385" t="n">
        <v>166150</v>
      </c>
      <c r="D2385" t="inlineStr">
        <is>
          <t>2024-03-27 10:18:12</t>
        </is>
      </c>
      <c r="E2385" t="inlineStr">
        <is>
          <t>2024-03-27 10:06:54</t>
        </is>
      </c>
      <c r="F2385" t="inlineStr">
        <is>
          <t>666</t>
        </is>
      </c>
    </row>
    <row r="2386">
      <c r="A2386" t="inlineStr">
        <is>
          <t>ARIRAMA DOÑE FRANCISCO JAVIER_T0001033.pdf</t>
        </is>
      </c>
      <c r="B2386">
        <f>HYPERLINK("C:\Users\lmonroy\Tema\PLANILLAS\Boletas 16 - 31 Dic\ARIRAMA DOÑE FRANCISCO JAVIER_T0001033.pdf", "Link")</f>
        <v/>
      </c>
      <c r="C2386" t="n">
        <v>166145</v>
      </c>
      <c r="D2386" t="inlineStr">
        <is>
          <t>2024-03-27 10:17:37</t>
        </is>
      </c>
      <c r="E2386" t="inlineStr">
        <is>
          <t>2024-03-27 10:06:17</t>
        </is>
      </c>
      <c r="F2386" t="inlineStr">
        <is>
          <t>666</t>
        </is>
      </c>
    </row>
    <row r="2387">
      <c r="A2387" t="inlineStr">
        <is>
          <t>ARIRAMA SANDI FELIX_T0001439.pdf</t>
        </is>
      </c>
      <c r="B2387">
        <f>HYPERLINK("C:\Users\lmonroy\Tema\PLANILLAS\Boletas 16 - 31 Dic\ARIRAMA SANDI FELIX_T0001439.pdf", "Link")</f>
        <v/>
      </c>
      <c r="C2387" t="n">
        <v>166319</v>
      </c>
      <c r="D2387" t="inlineStr">
        <is>
          <t>2024-03-27 10:13:58</t>
        </is>
      </c>
      <c r="E2387" t="inlineStr">
        <is>
          <t>2024-03-27 10:03:02</t>
        </is>
      </c>
      <c r="F2387" t="inlineStr">
        <is>
          <t>666</t>
        </is>
      </c>
    </row>
    <row r="2388">
      <c r="A2388" t="inlineStr">
        <is>
          <t>ASIPALI IRARICA TULIO LUIS_T0001489.pdf</t>
        </is>
      </c>
      <c r="B2388">
        <f>HYPERLINK("C:\Users\lmonroy\Tema\PLANILLAS\Boletas 16 - 31 Dic\ASIPALI IRARICA TULIO LUIS_T0001489.pdf", "Link")</f>
        <v/>
      </c>
      <c r="C2388" t="n">
        <v>166282</v>
      </c>
      <c r="D2388" t="inlineStr">
        <is>
          <t>2024-03-27 10:12:17</t>
        </is>
      </c>
      <c r="E2388" t="inlineStr">
        <is>
          <t>2024-03-27 10:01:37</t>
        </is>
      </c>
      <c r="F2388" t="inlineStr">
        <is>
          <t>666</t>
        </is>
      </c>
    </row>
    <row r="2389">
      <c r="A2389" t="inlineStr">
        <is>
          <t>AYAMBO IJUMA FRANK DUX_T0001035.pdf</t>
        </is>
      </c>
      <c r="B2389">
        <f>HYPERLINK("C:\Users\lmonroy\Tema\PLANILLAS\Boletas 16 - 31 Dic\AYAMBO IJUMA FRANK DUX_T0001035.pdf", "Link")</f>
        <v/>
      </c>
      <c r="C2389" t="n">
        <v>166174</v>
      </c>
      <c r="D2389" t="inlineStr">
        <is>
          <t>2024-03-27 10:16:45</t>
        </is>
      </c>
      <c r="E2389" t="inlineStr">
        <is>
          <t>2024-03-27 10:05:22</t>
        </is>
      </c>
      <c r="F2389" t="inlineStr">
        <is>
          <t>666</t>
        </is>
      </c>
    </row>
    <row r="2390">
      <c r="A2390" t="inlineStr">
        <is>
          <t>AYAMBO IJUMA JARRY _T0001036.pdf</t>
        </is>
      </c>
      <c r="B2390">
        <f>HYPERLINK("C:\Users\lmonroy\Tema\PLANILLAS\Boletas 16 - 31 Dic\AYAMBO IJUMA JARRY _T0001036.pdf", "Link")</f>
        <v/>
      </c>
      <c r="C2390" t="n">
        <v>166375</v>
      </c>
      <c r="D2390" t="inlineStr">
        <is>
          <t>2024-03-27 10:14:16</t>
        </is>
      </c>
      <c r="E2390" t="inlineStr">
        <is>
          <t>2024-03-27 10:03:18</t>
        </is>
      </c>
      <c r="F2390" t="inlineStr">
        <is>
          <t>666</t>
        </is>
      </c>
    </row>
    <row r="2391">
      <c r="A2391" t="inlineStr">
        <is>
          <t>AYAMBO TORRES MANUEL _T0001037.pdf</t>
        </is>
      </c>
      <c r="B2391">
        <f>HYPERLINK("C:\Users\lmonroy\Tema\PLANILLAS\Boletas 16 - 31 Dic\AYAMBO TORRES MANUEL _T0001037.pdf", "Link")</f>
        <v/>
      </c>
      <c r="C2391" t="n">
        <v>166167</v>
      </c>
      <c r="D2391" t="inlineStr">
        <is>
          <t>2024-03-27 10:19:03</t>
        </is>
      </c>
      <c r="E2391" t="inlineStr">
        <is>
          <t>2024-03-27 10:07:48</t>
        </is>
      </c>
      <c r="F2391" t="inlineStr">
        <is>
          <t>666</t>
        </is>
      </c>
    </row>
    <row r="2392">
      <c r="A2392" t="inlineStr">
        <is>
          <t>BARDALES CLEMENTE GILBERTO _T0001038.pdf</t>
        </is>
      </c>
      <c r="B2392">
        <f>HYPERLINK("C:\Users\lmonroy\Tema\PLANILLAS\Boletas 16 - 31 Dic\BARDALES CLEMENTE GILBERTO _T0001038.pdf", "Link")</f>
        <v/>
      </c>
      <c r="C2392" t="n">
        <v>166134</v>
      </c>
      <c r="D2392" t="inlineStr">
        <is>
          <t>2024-03-27 10:15:15</t>
        </is>
      </c>
      <c r="E2392" t="inlineStr">
        <is>
          <t>2024-03-27 10:04:05</t>
        </is>
      </c>
      <c r="F2392" t="inlineStr">
        <is>
          <t>666</t>
        </is>
      </c>
    </row>
    <row r="2393">
      <c r="A2393" t="inlineStr">
        <is>
          <t>BARDALES MACUSI SEGUNDO _T0001039.pdf</t>
        </is>
      </c>
      <c r="B2393">
        <f>HYPERLINK("C:\Users\lmonroy\Tema\PLANILLAS\Boletas 16 - 31 Dic\BARDALES MACUSI SEGUNDO _T0001039.pdf", "Link")</f>
        <v/>
      </c>
      <c r="C2393" t="n">
        <v>166142</v>
      </c>
      <c r="D2393" t="inlineStr">
        <is>
          <t>2024-03-27 10:15:13</t>
        </is>
      </c>
      <c r="E2393" t="inlineStr">
        <is>
          <t>2024-03-27 10:04:04</t>
        </is>
      </c>
      <c r="F2393" t="inlineStr">
        <is>
          <t>666</t>
        </is>
      </c>
    </row>
    <row r="2394">
      <c r="A2394" t="inlineStr">
        <is>
          <t>BARDALES OJAICURO GERSON _T0001040.pdf</t>
        </is>
      </c>
      <c r="B2394">
        <f>HYPERLINK("C:\Users\lmonroy\Tema\PLANILLAS\Boletas 16 - 31 Dic\BARDALES OJAICURO GERSON _T0001040.pdf", "Link")</f>
        <v/>
      </c>
      <c r="C2394" t="n">
        <v>166135</v>
      </c>
      <c r="D2394" t="inlineStr">
        <is>
          <t>2024-03-27 10:18:47</t>
        </is>
      </c>
      <c r="E2394" t="inlineStr">
        <is>
          <t>2024-03-27 10:07:30</t>
        </is>
      </c>
      <c r="F2394" t="inlineStr">
        <is>
          <t>666</t>
        </is>
      </c>
    </row>
    <row r="2395">
      <c r="A2395" t="inlineStr">
        <is>
          <t>BARDALES PEREZ RISTER AROYO_T0001041.pdf</t>
        </is>
      </c>
      <c r="B2395">
        <f>HYPERLINK("C:\Users\lmonroy\Tema\PLANILLAS\Boletas 16 - 31 Dic\BARDALES PEREZ RISTER AROYO_T0001041.pdf", "Link")</f>
        <v/>
      </c>
      <c r="C2395" t="n">
        <v>166153</v>
      </c>
      <c r="D2395" t="inlineStr">
        <is>
          <t>2024-03-27 10:19:20</t>
        </is>
      </c>
      <c r="E2395" t="inlineStr">
        <is>
          <t>2024-03-27 10:08:04</t>
        </is>
      </c>
      <c r="F2395" t="inlineStr">
        <is>
          <t>666</t>
        </is>
      </c>
    </row>
    <row r="2396">
      <c r="A2396" t="inlineStr">
        <is>
          <t>BARDALES QUISTO JOSE VISALOTE_T0001042.pdf</t>
        </is>
      </c>
      <c r="B2396">
        <f>HYPERLINK("C:\Users\lmonroy\Tema\PLANILLAS\Boletas 16 - 31 Dic\BARDALES QUISTO JOSE VISALOTE_T0001042.pdf", "Link")</f>
        <v/>
      </c>
      <c r="C2396" t="n">
        <v>166351</v>
      </c>
      <c r="D2396" t="inlineStr">
        <is>
          <t>2024-03-27 10:13:28</t>
        </is>
      </c>
      <c r="E2396" t="inlineStr">
        <is>
          <t>2024-03-27 10:02:38</t>
        </is>
      </c>
      <c r="F2396" t="inlineStr">
        <is>
          <t>666</t>
        </is>
      </c>
    </row>
    <row r="2397">
      <c r="A2397" t="inlineStr">
        <is>
          <t>BARDALES RODRIGUEZ CLEISEN_T0001440.pdf</t>
        </is>
      </c>
      <c r="B2397">
        <f>HYPERLINK("C:\Users\lmonroy\Tema\PLANILLAS\Boletas 16 - 31 Dic\BARDALES RODRIGUEZ CLEISEN_T0001440.pdf", "Link")</f>
        <v/>
      </c>
      <c r="C2397" t="n">
        <v>166145</v>
      </c>
      <c r="D2397" t="inlineStr">
        <is>
          <t>2024-03-27 10:15:02</t>
        </is>
      </c>
      <c r="E2397" t="inlineStr">
        <is>
          <t>2024-03-27 10:03:55</t>
        </is>
      </c>
      <c r="F2397" t="inlineStr">
        <is>
          <t>666</t>
        </is>
      </c>
    </row>
    <row r="2398">
      <c r="A2398" t="inlineStr">
        <is>
          <t>BARDALES SANCHEZ BRALIN_T0001441.pdf</t>
        </is>
      </c>
      <c r="B2398">
        <f>HYPERLINK("C:\Users\lmonroy\Tema\PLANILLAS\Boletas 16 - 31 Dic\BARDALES SANCHEZ BRALIN_T0001441.pdf", "Link")</f>
        <v/>
      </c>
      <c r="C2398" t="n">
        <v>166329</v>
      </c>
      <c r="D2398" t="inlineStr">
        <is>
          <t>2024-03-27 10:14:10</t>
        </is>
      </c>
      <c r="E2398" t="inlineStr">
        <is>
          <t>2024-03-27 10:03:13</t>
        </is>
      </c>
      <c r="F2398" t="inlineStr">
        <is>
          <t>666</t>
        </is>
      </c>
    </row>
    <row r="2399">
      <c r="A2399" t="inlineStr">
        <is>
          <t>BARDALES SANCHEZ JACME JHORDAN_T0001043.pdf</t>
        </is>
      </c>
      <c r="B2399">
        <f>HYPERLINK("C:\Users\lmonroy\Tema\PLANILLAS\Boletas 16 - 31 Dic\BARDALES SANCHEZ JACME JHORDAN_T0001043.pdf", "Link")</f>
        <v/>
      </c>
      <c r="C2399" t="n">
        <v>166159</v>
      </c>
      <c r="D2399" t="inlineStr">
        <is>
          <t>2024-03-27 10:17:26</t>
        </is>
      </c>
      <c r="E2399" t="inlineStr">
        <is>
          <t>2024-03-27 10:06:05</t>
        </is>
      </c>
      <c r="F2399" t="inlineStr">
        <is>
          <t>666</t>
        </is>
      </c>
    </row>
    <row r="2400">
      <c r="A2400" t="inlineStr">
        <is>
          <t>CACERES BRENIS ESLANDER ALFREDO_T0001044.pdf</t>
        </is>
      </c>
      <c r="B2400">
        <f>HYPERLINK("C:\Users\lmonroy\Tema\PLANILLAS\Boletas 16 - 31 Dic\CACERES BRENIS ESLANDER ALFREDO_T0001044.pdf", "Link")</f>
        <v/>
      </c>
      <c r="C2400" t="n">
        <v>166174</v>
      </c>
      <c r="D2400" t="inlineStr">
        <is>
          <t>2024-03-27 10:17:21</t>
        </is>
      </c>
      <c r="E2400" t="inlineStr">
        <is>
          <t>2024-03-27 10:06:00</t>
        </is>
      </c>
      <c r="F2400" t="inlineStr">
        <is>
          <t>666</t>
        </is>
      </c>
    </row>
    <row r="2401">
      <c r="A2401" t="inlineStr">
        <is>
          <t>CACHIRICO JOGUISTA ROBERTO _T0001045.pdf</t>
        </is>
      </c>
      <c r="B2401">
        <f>HYPERLINK("C:\Users\lmonroy\Tema\PLANILLAS\Boletas 16 - 31 Dic\CACHIRICO JOGUISTA ROBERTO _T0001045.pdf", "Link")</f>
        <v/>
      </c>
      <c r="C2401" t="n">
        <v>166159</v>
      </c>
      <c r="D2401" t="inlineStr">
        <is>
          <t>2024-03-27 10:18:21</t>
        </is>
      </c>
      <c r="E2401" t="inlineStr">
        <is>
          <t>2024-03-27 10:07:04</t>
        </is>
      </c>
      <c r="F2401" t="inlineStr">
        <is>
          <t>666</t>
        </is>
      </c>
    </row>
    <row r="2402">
      <c r="A2402" t="inlineStr">
        <is>
          <t>CACHIRICO LOPEZ RONY_T0001046.pdf</t>
        </is>
      </c>
      <c r="B2402">
        <f>HYPERLINK("C:\Users\lmonroy\Tema\PLANILLAS\Boletas 16 - 31 Dic\CACHIRICO LOPEZ RONY_T0001046.pdf", "Link")</f>
        <v/>
      </c>
      <c r="C2402" t="n">
        <v>166330</v>
      </c>
      <c r="D2402" t="inlineStr">
        <is>
          <t>2024-03-27 10:16:57</t>
        </is>
      </c>
      <c r="E2402" t="inlineStr">
        <is>
          <t>2024-03-27 10:05:34</t>
        </is>
      </c>
      <c r="F2402" t="inlineStr">
        <is>
          <t>666</t>
        </is>
      </c>
    </row>
    <row r="2403">
      <c r="A2403" t="inlineStr">
        <is>
          <t>CAHUAZA IRARICA EXAR _T0001047.pdf</t>
        </is>
      </c>
      <c r="B2403">
        <f>HYPERLINK("C:\Users\lmonroy\Tema\PLANILLAS\Boletas 16 - 31 Dic\CAHUAZA IRARICA EXAR _T0001047.pdf", "Link")</f>
        <v/>
      </c>
      <c r="C2403" t="n">
        <v>166339</v>
      </c>
      <c r="D2403" t="inlineStr">
        <is>
          <t>2024-03-27 10:16:15</t>
        </is>
      </c>
      <c r="E2403" t="inlineStr">
        <is>
          <t>2024-03-27 10:04:55</t>
        </is>
      </c>
      <c r="F2403" t="inlineStr">
        <is>
          <t>666</t>
        </is>
      </c>
    </row>
    <row r="2404">
      <c r="A2404" t="inlineStr">
        <is>
          <t>CAHUAZA MURAYARI NIXON _T0001048.pdf</t>
        </is>
      </c>
      <c r="B2404">
        <f>HYPERLINK("C:\Users\lmonroy\Tema\PLANILLAS\Boletas 16 - 31 Dic\CAHUAZA MURAYARI NIXON _T0001048.pdf", "Link")</f>
        <v/>
      </c>
      <c r="C2404" t="n">
        <v>166337</v>
      </c>
      <c r="D2404" t="inlineStr">
        <is>
          <t>2024-03-27 10:13:22</t>
        </is>
      </c>
      <c r="E2404" t="inlineStr">
        <is>
          <t>2024-03-27 10:02:32</t>
        </is>
      </c>
      <c r="F2404" t="inlineStr">
        <is>
          <t>666</t>
        </is>
      </c>
    </row>
    <row r="2405">
      <c r="A2405" t="inlineStr">
        <is>
          <t>CARDENAS VALLES LUIS HOMERO_T0001049.pdf</t>
        </is>
      </c>
      <c r="B2405">
        <f>HYPERLINK("C:\Users\lmonroy\Tema\PLANILLAS\Boletas 16 - 31 Dic\CARDENAS VALLES LUIS HOMERO_T0001049.pdf", "Link")</f>
        <v/>
      </c>
      <c r="C2405" t="n">
        <v>166330</v>
      </c>
      <c r="D2405" t="inlineStr">
        <is>
          <t>2024-03-27 10:12:09</t>
        </is>
      </c>
      <c r="E2405" t="inlineStr">
        <is>
          <t>2024-03-27 10:01:29</t>
        </is>
      </c>
      <c r="F2405" t="inlineStr">
        <is>
          <t>666</t>
        </is>
      </c>
    </row>
    <row r="2406">
      <c r="A2406" t="inlineStr">
        <is>
          <t>CARIHUASAIRO CHARPENTIER CHRISTIAN CANY_T0001050.pdf</t>
        </is>
      </c>
      <c r="B2406">
        <f>HYPERLINK("C:\Users\lmonroy\Tema\PLANILLAS\Boletas 16 - 31 Dic\CARIHUASAIRO CHARPENTIER CHRISTIAN CANY_T0001050.pdf", "Link")</f>
        <v/>
      </c>
      <c r="C2406" t="n">
        <v>166336</v>
      </c>
      <c r="D2406" t="inlineStr">
        <is>
          <t>2024-03-27 10:16:36</t>
        </is>
      </c>
      <c r="E2406" t="inlineStr">
        <is>
          <t>2024-03-27 10:05:13</t>
        </is>
      </c>
      <c r="F2406" t="inlineStr">
        <is>
          <t>666</t>
        </is>
      </c>
    </row>
    <row r="2407">
      <c r="A2407" t="inlineStr">
        <is>
          <t>CARIHUASAIRO TARICUARIMA MOISES _T0001051.pdf</t>
        </is>
      </c>
      <c r="B2407">
        <f>HYPERLINK("C:\Users\lmonroy\Tema\PLANILLAS\Boletas 16 - 31 Dic\CARIHUASAIRO TARICUARIMA MOISES _T0001051.pdf", "Link")</f>
        <v/>
      </c>
      <c r="C2407" t="n">
        <v>166344</v>
      </c>
      <c r="D2407" t="inlineStr">
        <is>
          <t>2024-03-27 10:12:24</t>
        </is>
      </c>
      <c r="E2407" t="inlineStr">
        <is>
          <t>2024-03-27 10:01:43</t>
        </is>
      </c>
      <c r="F2407" t="inlineStr">
        <is>
          <t>666</t>
        </is>
      </c>
    </row>
    <row r="2408">
      <c r="A2408" t="inlineStr">
        <is>
          <t>CASTAÑON MACUSI ALEX _T0001052.pdf</t>
        </is>
      </c>
      <c r="B2408">
        <f>HYPERLINK("C:\Users\lmonroy\Tema\PLANILLAS\Boletas 16 - 31 Dic\CASTAÑON MACUSI ALEX _T0001052.pdf", "Link")</f>
        <v/>
      </c>
      <c r="C2408" t="n">
        <v>166193</v>
      </c>
      <c r="D2408" t="inlineStr">
        <is>
          <t>2024-03-27 10:16:58</t>
        </is>
      </c>
      <c r="E2408" t="inlineStr">
        <is>
          <t>2024-03-27 10:05:35</t>
        </is>
      </c>
      <c r="F2408" t="inlineStr">
        <is>
          <t>666</t>
        </is>
      </c>
    </row>
    <row r="2409">
      <c r="A2409" t="inlineStr">
        <is>
          <t>CASTAÑON MACUSI WILSON _T0001053.pdf</t>
        </is>
      </c>
      <c r="B2409">
        <f>HYPERLINK("C:\Users\lmonroy\Tema\PLANILLAS\Boletas 16 - 31 Dic\CASTAÑON MACUSI WILSON _T0001053.pdf", "Link")</f>
        <v/>
      </c>
      <c r="C2409" t="n">
        <v>166322</v>
      </c>
      <c r="D2409" t="inlineStr">
        <is>
          <t>2024-03-27 10:16:59</t>
        </is>
      </c>
      <c r="E2409" t="inlineStr">
        <is>
          <t>2024-03-27 10:05:36</t>
        </is>
      </c>
      <c r="F2409" t="inlineStr">
        <is>
          <t>666</t>
        </is>
      </c>
    </row>
    <row r="2410">
      <c r="A2410" t="inlineStr">
        <is>
          <t>CASTAÑON RODRIGUEZ ALEX_T0001496.pdf</t>
        </is>
      </c>
      <c r="B2410">
        <f>HYPERLINK("C:\Users\lmonroy\Tema\PLANILLAS\Boletas 16 - 31 Dic\CASTAÑON RODRIGUEZ ALEX_T0001496.pdf", "Link")</f>
        <v/>
      </c>
      <c r="C2410" t="n">
        <v>166306</v>
      </c>
      <c r="D2410" t="inlineStr">
        <is>
          <t>2024-03-27 10:18:17</t>
        </is>
      </c>
      <c r="E2410" t="inlineStr">
        <is>
          <t>2024-03-27 10:07:00</t>
        </is>
      </c>
      <c r="F2410" t="inlineStr">
        <is>
          <t>666</t>
        </is>
      </c>
    </row>
    <row r="2411">
      <c r="A2411" t="inlineStr">
        <is>
          <t>CAYNAMARI MURAYARI RUSBEL ERIBERTO_T0001054.pdf</t>
        </is>
      </c>
      <c r="B2411">
        <f>HYPERLINK("C:\Users\lmonroy\Tema\PLANILLAS\Boletas 16 - 31 Dic\CAYNAMARI MURAYARI RUSBEL ERIBERTO_T0001054.pdf", "Link")</f>
        <v/>
      </c>
      <c r="C2411" t="n">
        <v>166169</v>
      </c>
      <c r="D2411" t="inlineStr">
        <is>
          <t>2024-03-27 10:14:23</t>
        </is>
      </c>
      <c r="E2411" t="inlineStr">
        <is>
          <t>2024-03-27 10:03:24</t>
        </is>
      </c>
      <c r="F2411" t="inlineStr">
        <is>
          <t>666</t>
        </is>
      </c>
    </row>
    <row r="2412">
      <c r="A2412" t="inlineStr">
        <is>
          <t>CHARPENTIER MURAYARI REIMER_T0001442.pdf</t>
        </is>
      </c>
      <c r="B2412">
        <f>HYPERLINK("C:\Users\lmonroy\Tema\PLANILLAS\Boletas 16 - 31 Dic\CHARPENTIER MURAYARI REIMER_T0001442.pdf", "Link")</f>
        <v/>
      </c>
      <c r="C2412" t="n">
        <v>166157</v>
      </c>
      <c r="D2412" t="inlineStr">
        <is>
          <t>2024-03-27 10:14:17</t>
        </is>
      </c>
      <c r="E2412" t="inlineStr">
        <is>
          <t>2024-03-27 10:03:19</t>
        </is>
      </c>
      <c r="F2412" t="inlineStr">
        <is>
          <t>666</t>
        </is>
      </c>
    </row>
    <row r="2413">
      <c r="A2413" t="inlineStr">
        <is>
          <t>CHARPENTIER ZAIRO JORGE_T0001373.pdf</t>
        </is>
      </c>
      <c r="B2413">
        <f>HYPERLINK("C:\Users\lmonroy\Tema\PLANILLAS\Boletas 16 - 31 Dic\CHARPENTIER ZAIRO JORGE_T0001373.pdf", "Link")</f>
        <v/>
      </c>
      <c r="C2413" t="n">
        <v>166322</v>
      </c>
      <c r="D2413" t="inlineStr">
        <is>
          <t>2024-03-27 10:14:41</t>
        </is>
      </c>
      <c r="E2413" t="inlineStr">
        <is>
          <t>2024-03-27 10:03:39</t>
        </is>
      </c>
      <c r="F2413" t="inlineStr">
        <is>
          <t>666</t>
        </is>
      </c>
    </row>
    <row r="2414">
      <c r="A2414" t="inlineStr">
        <is>
          <t>CHAVEZ TECO SEGUNDO TEOBALDO_T0001055.pdf</t>
        </is>
      </c>
      <c r="B2414">
        <f>HYPERLINK("C:\Users\lmonroy\Tema\PLANILLAS\Boletas 16 - 31 Dic\CHAVEZ TECO SEGUNDO TEOBALDO_T0001055.pdf", "Link")</f>
        <v/>
      </c>
      <c r="C2414" t="n">
        <v>166352</v>
      </c>
      <c r="D2414" t="inlineStr">
        <is>
          <t>2024-03-27 10:17:36</t>
        </is>
      </c>
      <c r="E2414" t="inlineStr">
        <is>
          <t>2024-03-27 10:06:16</t>
        </is>
      </c>
      <c r="F2414" t="inlineStr">
        <is>
          <t>666</t>
        </is>
      </c>
    </row>
    <row r="2415">
      <c r="A2415" t="inlineStr">
        <is>
          <t>CHAVEZ VIENA FRANK JOEL_T0001056.pdf</t>
        </is>
      </c>
      <c r="B2415">
        <f>HYPERLINK("C:\Users\lmonroy\Tema\PLANILLAS\Boletas 16 - 31 Dic\CHAVEZ VIENA FRANK JOEL_T0001056.pdf", "Link")</f>
        <v/>
      </c>
      <c r="C2415" t="n">
        <v>166096</v>
      </c>
      <c r="D2415" t="inlineStr">
        <is>
          <t>2024-03-27 10:12:30</t>
        </is>
      </c>
      <c r="E2415" t="inlineStr">
        <is>
          <t>2024-03-27 10:01:48</t>
        </is>
      </c>
      <c r="F2415" t="inlineStr">
        <is>
          <t>666</t>
        </is>
      </c>
    </row>
    <row r="2416">
      <c r="A2416" t="inlineStr">
        <is>
          <t>CHOTA HUALINGA JOSE _T0001443.pdf</t>
        </is>
      </c>
      <c r="B2416">
        <f>HYPERLINK("C:\Users\lmonroy\Tema\PLANILLAS\Boletas 16 - 31 Dic\CHOTA HUALINGA JOSE _T0001443.pdf", "Link")</f>
        <v/>
      </c>
      <c r="C2416" t="n">
        <v>166142</v>
      </c>
      <c r="D2416" t="inlineStr">
        <is>
          <t>2024-03-27 10:13:37</t>
        </is>
      </c>
      <c r="E2416" t="inlineStr">
        <is>
          <t>2024-03-27 10:02:45</t>
        </is>
      </c>
      <c r="F2416" t="inlineStr">
        <is>
          <t>666</t>
        </is>
      </c>
    </row>
    <row r="2417">
      <c r="A2417" t="inlineStr">
        <is>
          <t>CHOTA NURIBE RICARDO_T0001444.pdf</t>
        </is>
      </c>
      <c r="B2417">
        <f>HYPERLINK("C:\Users\lmonroy\Tema\PLANILLAS\Boletas 16 - 31 Dic\CHOTA NURIBE RICARDO_T0001444.pdf", "Link")</f>
        <v/>
      </c>
      <c r="C2417" t="n">
        <v>166143</v>
      </c>
      <c r="D2417" t="inlineStr">
        <is>
          <t>2024-03-27 10:12:23</t>
        </is>
      </c>
      <c r="E2417" t="inlineStr">
        <is>
          <t>2024-03-27 10:01:42</t>
        </is>
      </c>
      <c r="F2417" t="inlineStr">
        <is>
          <t>666</t>
        </is>
      </c>
    </row>
    <row r="2418">
      <c r="A2418" t="inlineStr">
        <is>
          <t>CHOTA NURIBE SEGUNDO JOSE _T0001445.pdf</t>
        </is>
      </c>
      <c r="B2418">
        <f>HYPERLINK("C:\Users\lmonroy\Tema\PLANILLAS\Boletas 16 - 31 Dic\CHOTA NURIBE SEGUNDO JOSE _T0001445.pdf", "Link")</f>
        <v/>
      </c>
      <c r="C2418" t="n">
        <v>166345</v>
      </c>
      <c r="D2418" t="inlineStr">
        <is>
          <t>2024-03-27 10:14:00</t>
        </is>
      </c>
      <c r="E2418" t="inlineStr">
        <is>
          <t>2024-03-27 10:03:04</t>
        </is>
      </c>
      <c r="F2418" t="inlineStr">
        <is>
          <t>666</t>
        </is>
      </c>
    </row>
    <row r="2419">
      <c r="A2419" t="inlineStr">
        <is>
          <t>CHUMBE SABOYA VICTOR _T0001058.pdf</t>
        </is>
      </c>
      <c r="B2419">
        <f>HYPERLINK("C:\Users\lmonroy\Tema\PLANILLAS\Boletas 16 - 31 Dic\CHUMBE SABOYA VICTOR _T0001058.pdf", "Link")</f>
        <v/>
      </c>
      <c r="C2419" t="n">
        <v>166314</v>
      </c>
      <c r="D2419" t="inlineStr">
        <is>
          <t>2024-03-27 10:17:59</t>
        </is>
      </c>
      <c r="E2419" t="inlineStr">
        <is>
          <t>2024-03-27 10:06:40</t>
        </is>
      </c>
      <c r="F2419" t="inlineStr">
        <is>
          <t>666</t>
        </is>
      </c>
    </row>
    <row r="2420">
      <c r="A2420" t="inlineStr">
        <is>
          <t>CLEMENTE SANGAMA MANUEL _T0001059.pdf</t>
        </is>
      </c>
      <c r="B2420">
        <f>HYPERLINK("C:\Users\lmonroy\Tema\PLANILLAS\Boletas 16 - 31 Dic\CLEMENTE SANGAMA MANUEL _T0001059.pdf", "Link")</f>
        <v/>
      </c>
      <c r="C2420" t="n">
        <v>166153</v>
      </c>
      <c r="D2420" t="inlineStr">
        <is>
          <t>2024-03-27 10:13:03</t>
        </is>
      </c>
      <c r="E2420" t="inlineStr">
        <is>
          <t>2024-03-27 10:02:16</t>
        </is>
      </c>
      <c r="F2420" t="inlineStr">
        <is>
          <t>666</t>
        </is>
      </c>
    </row>
    <row r="2421">
      <c r="A2421" t="inlineStr">
        <is>
          <t>CLEMENTE TARICUARIMA JOSE _T0001060.pdf</t>
        </is>
      </c>
      <c r="B2421">
        <f>HYPERLINK("C:\Users\lmonroy\Tema\PLANILLAS\Boletas 16 - 31 Dic\CLEMENTE TARICUARIMA JOSE _T0001060.pdf", "Link")</f>
        <v/>
      </c>
      <c r="C2421" t="n">
        <v>166125</v>
      </c>
      <c r="D2421" t="inlineStr">
        <is>
          <t>2024-03-27 10:13:27</t>
        </is>
      </c>
      <c r="E2421" t="inlineStr">
        <is>
          <t>2024-03-27 10:02:37</t>
        </is>
      </c>
      <c r="F2421" t="inlineStr">
        <is>
          <t>666</t>
        </is>
      </c>
    </row>
    <row r="2422">
      <c r="A2422" t="inlineStr">
        <is>
          <t>CLEMENTE TARICUARIMA MANUEL _T0001061.pdf</t>
        </is>
      </c>
      <c r="B2422">
        <f>HYPERLINK("C:\Users\lmonroy\Tema\PLANILLAS\Boletas 16 - 31 Dic\CLEMENTE TARICUARIMA MANUEL _T0001061.pdf", "Link")</f>
        <v/>
      </c>
      <c r="C2422" t="n">
        <v>166153</v>
      </c>
      <c r="D2422" t="inlineStr">
        <is>
          <t>2024-03-27 10:15:32</t>
        </is>
      </c>
      <c r="E2422" t="inlineStr">
        <is>
          <t>2024-03-27 10:04:19</t>
        </is>
      </c>
      <c r="F2422" t="inlineStr">
        <is>
          <t>666</t>
        </is>
      </c>
    </row>
    <row r="2423">
      <c r="A2423" t="inlineStr">
        <is>
          <t>COHELO JAVA CELSO _T0001062.pdf</t>
        </is>
      </c>
      <c r="B2423">
        <f>HYPERLINK("C:\Users\lmonroy\Tema\PLANILLAS\Boletas 16 - 31 Dic\COHELO JAVA CELSO _T0001062.pdf", "Link")</f>
        <v/>
      </c>
      <c r="C2423" t="n">
        <v>166148</v>
      </c>
      <c r="D2423" t="inlineStr">
        <is>
          <t>2024-03-27 10:12:38</t>
        </is>
      </c>
      <c r="E2423" t="inlineStr">
        <is>
          <t>2024-03-27 10:01:55</t>
        </is>
      </c>
      <c r="F2423" t="inlineStr">
        <is>
          <t>666</t>
        </is>
      </c>
    </row>
    <row r="2424">
      <c r="A2424" t="inlineStr">
        <is>
          <t>CUNAYA OJEICATE RIGOBERTO_T0001446.pdf</t>
        </is>
      </c>
      <c r="B2424">
        <f>HYPERLINK("C:\Users\lmonroy\Tema\PLANILLAS\Boletas 16 - 31 Dic\CUNAYA OJEICATE RIGOBERTO_T0001446.pdf", "Link")</f>
        <v/>
      </c>
      <c r="C2424" t="n">
        <v>166151</v>
      </c>
      <c r="D2424" t="inlineStr">
        <is>
          <t>2024-03-27 10:16:41</t>
        </is>
      </c>
      <c r="E2424" t="inlineStr">
        <is>
          <t>2024-03-27 10:05:18</t>
        </is>
      </c>
      <c r="F2424" t="inlineStr">
        <is>
          <t>666</t>
        </is>
      </c>
    </row>
    <row r="2425">
      <c r="A2425" t="inlineStr">
        <is>
          <t>CUNAYA VELA AROLDO_T0001497.pdf</t>
        </is>
      </c>
      <c r="B2425">
        <f>HYPERLINK("C:\Users\lmonroy\Tema\PLANILLAS\Boletas 16 - 31 Dic\CUNAYA VELA AROLDO_T0001497.pdf", "Link")</f>
        <v/>
      </c>
      <c r="C2425" t="n">
        <v>166295</v>
      </c>
      <c r="D2425" t="inlineStr">
        <is>
          <t>2024-03-27 10:16:29</t>
        </is>
      </c>
      <c r="E2425" t="inlineStr">
        <is>
          <t>2024-03-27 10:05:07</t>
        </is>
      </c>
      <c r="F2425" t="inlineStr">
        <is>
          <t>666</t>
        </is>
      </c>
    </row>
    <row r="2426">
      <c r="A2426" t="inlineStr">
        <is>
          <t>CUNAYA VELA JEINER_T0001498.pdf</t>
        </is>
      </c>
      <c r="B2426">
        <f>HYPERLINK("C:\Users\lmonroy\Tema\PLANILLAS\Boletas 16 - 31 Dic\CUNAYA VELA JEINER_T0001498.pdf", "Link")</f>
        <v/>
      </c>
      <c r="C2426" t="n">
        <v>166287</v>
      </c>
      <c r="D2426" t="inlineStr">
        <is>
          <t>2024-03-27 10:16:31</t>
        </is>
      </c>
      <c r="E2426" t="inlineStr">
        <is>
          <t>2024-03-27 10:05:08</t>
        </is>
      </c>
      <c r="F2426" t="inlineStr">
        <is>
          <t>666</t>
        </is>
      </c>
    </row>
    <row r="2427">
      <c r="A2427" t="inlineStr">
        <is>
          <t>CURI MURAYARI HILDEBRANDO_T0001447.pdf</t>
        </is>
      </c>
      <c r="B2427">
        <f>HYPERLINK("C:\Users\lmonroy\Tema\PLANILLAS\Boletas 16 - 31 Dic\CURI MURAYARI HILDEBRANDO_T0001447.pdf", "Link")</f>
        <v/>
      </c>
      <c r="C2427" t="n">
        <v>166148</v>
      </c>
      <c r="D2427" t="inlineStr">
        <is>
          <t>2024-03-27 10:18:55</t>
        </is>
      </c>
      <c r="E2427" t="inlineStr">
        <is>
          <t>2024-03-27 10:07:40</t>
        </is>
      </c>
      <c r="F2427" t="inlineStr">
        <is>
          <t>666</t>
        </is>
      </c>
    </row>
    <row r="2428">
      <c r="A2428" t="inlineStr">
        <is>
          <t>CURITIMA IRARICA EDGAR_T0001448.pdf</t>
        </is>
      </c>
      <c r="B2428">
        <f>HYPERLINK("C:\Users\lmonroy\Tema\PLANILLAS\Boletas 16 - 31 Dic\CURITIMA IRARICA EDGAR_T0001448.pdf", "Link")</f>
        <v/>
      </c>
      <c r="C2428" t="n">
        <v>166142</v>
      </c>
      <c r="D2428" t="inlineStr">
        <is>
          <t>2024-03-27 10:14:33</t>
        </is>
      </c>
      <c r="E2428" t="inlineStr">
        <is>
          <t>2024-03-27 10:03:33</t>
        </is>
      </c>
      <c r="F2428" t="inlineStr">
        <is>
          <t>666</t>
        </is>
      </c>
    </row>
    <row r="2429">
      <c r="A2429" t="inlineStr">
        <is>
          <t>CURITIMA PALMERA JERRI _T0001064.pdf</t>
        </is>
      </c>
      <c r="B2429">
        <f>HYPERLINK("C:\Users\lmonroy\Tema\PLANILLAS\Boletas 16 - 31 Dic\CURITIMA PALMERA JERRI _T0001064.pdf", "Link")</f>
        <v/>
      </c>
      <c r="C2429" t="n">
        <v>166332</v>
      </c>
      <c r="D2429" t="inlineStr">
        <is>
          <t>2024-03-27 10:17:48</t>
        </is>
      </c>
      <c r="E2429" t="inlineStr">
        <is>
          <t>2024-03-27 10:06:29</t>
        </is>
      </c>
      <c r="F2429" t="inlineStr">
        <is>
          <t>666</t>
        </is>
      </c>
    </row>
    <row r="2430">
      <c r="A2430" t="inlineStr">
        <is>
          <t>CURITIMA PUYO AILBER _T0001065.pdf</t>
        </is>
      </c>
      <c r="B2430">
        <f>HYPERLINK("C:\Users\lmonroy\Tema\PLANILLAS\Boletas 16 - 31 Dic\CURITIMA PUYO AILBER _T0001065.pdf", "Link")</f>
        <v/>
      </c>
      <c r="C2430" t="n">
        <v>166150</v>
      </c>
      <c r="D2430" t="inlineStr">
        <is>
          <t>2024-03-27 10:19:11</t>
        </is>
      </c>
      <c r="E2430" t="inlineStr">
        <is>
          <t>2024-03-27 10:07:56</t>
        </is>
      </c>
      <c r="F2430" t="inlineStr">
        <is>
          <t>666</t>
        </is>
      </c>
    </row>
    <row r="2431">
      <c r="A2431" t="inlineStr">
        <is>
          <t>DAHUA PINEDO MAURO _T0001066.pdf</t>
        </is>
      </c>
      <c r="B2431">
        <f>HYPERLINK("C:\Users\lmonroy\Tema\PLANILLAS\Boletas 16 - 31 Dic\DAHUA PINEDO MAURO _T0001066.pdf", "Link")</f>
        <v/>
      </c>
      <c r="C2431" t="n">
        <v>166327</v>
      </c>
      <c r="D2431" t="inlineStr">
        <is>
          <t>2024-03-27 10:19:00</t>
        </is>
      </c>
      <c r="E2431" t="inlineStr">
        <is>
          <t>2024-03-27 10:07:44</t>
        </is>
      </c>
      <c r="F2431" t="inlineStr">
        <is>
          <t>666</t>
        </is>
      </c>
    </row>
    <row r="2432">
      <c r="A2432" t="inlineStr">
        <is>
          <t>DASILVA TORRES DANNY DANIEL_T0001067.pdf</t>
        </is>
      </c>
      <c r="B2432">
        <f>HYPERLINK("C:\Users\lmonroy\Tema\PLANILLAS\Boletas 16 - 31 Dic\DASILVA TORRES DANNY DANIEL_T0001067.pdf", "Link")</f>
        <v/>
      </c>
      <c r="C2432" t="n">
        <v>166117</v>
      </c>
      <c r="D2432" t="inlineStr">
        <is>
          <t>2024-03-27 10:15:11</t>
        </is>
      </c>
      <c r="E2432" t="inlineStr">
        <is>
          <t>2024-03-27 10:04:03</t>
        </is>
      </c>
      <c r="F2432" t="inlineStr">
        <is>
          <t>666</t>
        </is>
      </c>
    </row>
    <row r="2433">
      <c r="A2433" t="inlineStr">
        <is>
          <t>DORADO CASTRO RAFAEL _T0001449.pdf</t>
        </is>
      </c>
      <c r="B2433">
        <f>HYPERLINK("C:\Users\lmonroy\Tema\PLANILLAS\Boletas 16 - 31 Dic\DORADO CASTRO RAFAEL _T0001449.pdf", "Link")</f>
        <v/>
      </c>
      <c r="C2433" t="n">
        <v>166145</v>
      </c>
      <c r="D2433" t="inlineStr">
        <is>
          <t>2024-03-27 10:17:19</t>
        </is>
      </c>
      <c r="E2433" t="inlineStr">
        <is>
          <t>2024-03-27 10:05:58</t>
        </is>
      </c>
      <c r="F2433" t="inlineStr">
        <is>
          <t>666</t>
        </is>
      </c>
    </row>
    <row r="2434">
      <c r="A2434" t="inlineStr">
        <is>
          <t>DURAN CURITIMA HILTER_T0001472.pdf</t>
        </is>
      </c>
      <c r="B2434">
        <f>HYPERLINK("C:\Users\lmonroy\Tema\PLANILLAS\Boletas 16 - 31 Dic\DURAN CURITIMA HILTER_T0001472.pdf", "Link")</f>
        <v/>
      </c>
      <c r="C2434" t="n">
        <v>166323</v>
      </c>
      <c r="D2434" t="inlineStr">
        <is>
          <t>2024-03-27 10:16:14</t>
        </is>
      </c>
      <c r="E2434" t="inlineStr">
        <is>
          <t>2024-03-27 10:04:54</t>
        </is>
      </c>
      <c r="F2434" t="inlineStr">
        <is>
          <t>666</t>
        </is>
      </c>
    </row>
    <row r="2435">
      <c r="A2435" t="inlineStr">
        <is>
          <t>FASANANDO VASQUEZ LEANDRO_T0001484.pdf</t>
        </is>
      </c>
      <c r="B2435">
        <f>HYPERLINK("C:\Users\lmonroy\Tema\PLANILLAS\Boletas 16 - 31 Dic\FASANANDO VASQUEZ LEANDRO_T0001484.pdf", "Link")</f>
        <v/>
      </c>
      <c r="C2435" t="n">
        <v>166304</v>
      </c>
      <c r="D2435" t="inlineStr">
        <is>
          <t>2024-03-27 10:14:20</t>
        </is>
      </c>
      <c r="E2435" t="inlineStr">
        <is>
          <t>2024-03-27 10:03:22</t>
        </is>
      </c>
      <c r="F2435" t="inlineStr">
        <is>
          <t>666</t>
        </is>
      </c>
    </row>
    <row r="2436">
      <c r="A2436" t="inlineStr">
        <is>
          <t>FATAMA HIDALGO AQUILES _T0001068.pdf</t>
        </is>
      </c>
      <c r="B2436">
        <f>HYPERLINK("C:\Users\lmonroy\Tema\PLANILLAS\Boletas 16 - 31 Dic\FATAMA HIDALGO AQUILES _T0001068.pdf", "Link")</f>
        <v/>
      </c>
      <c r="C2436" t="n">
        <v>166146</v>
      </c>
      <c r="D2436" t="inlineStr">
        <is>
          <t>2024-03-27 10:15:09</t>
        </is>
      </c>
      <c r="E2436" t="inlineStr">
        <is>
          <t>2024-03-27 10:04:01</t>
        </is>
      </c>
      <c r="F2436" t="inlineStr">
        <is>
          <t>666</t>
        </is>
      </c>
    </row>
    <row r="2437">
      <c r="A2437" t="inlineStr">
        <is>
          <t>FATAMA HIDALGO LEANDRO _T0001069.pdf</t>
        </is>
      </c>
      <c r="B2437">
        <f>HYPERLINK("C:\Users\lmonroy\Tema\PLANILLAS\Boletas 16 - 31 Dic\FATAMA HIDALGO LEANDRO _T0001069.pdf", "Link")</f>
        <v/>
      </c>
      <c r="C2437" t="n">
        <v>166153</v>
      </c>
      <c r="D2437" t="inlineStr">
        <is>
          <t>2024-03-27 10:18:20</t>
        </is>
      </c>
      <c r="E2437" t="inlineStr">
        <is>
          <t>2024-03-27 10:07:03</t>
        </is>
      </c>
      <c r="F2437" t="inlineStr">
        <is>
          <t>666</t>
        </is>
      </c>
    </row>
    <row r="2438">
      <c r="A2438" t="inlineStr">
        <is>
          <t>FLORES PEREA ALEXANDER _T0001070.pdf</t>
        </is>
      </c>
      <c r="B2438">
        <f>HYPERLINK("C:\Users\lmonroy\Tema\PLANILLAS\Boletas 16 - 31 Dic\FLORES PEREA ALEXANDER _T0001070.pdf", "Link")</f>
        <v/>
      </c>
      <c r="C2438" t="n">
        <v>166339</v>
      </c>
      <c r="D2438" t="inlineStr">
        <is>
          <t>2024-03-27 10:16:34</t>
        </is>
      </c>
      <c r="E2438" t="inlineStr">
        <is>
          <t>2024-03-27 10:05:12</t>
        </is>
      </c>
      <c r="F2438" t="inlineStr">
        <is>
          <t>666</t>
        </is>
      </c>
    </row>
    <row r="2439">
      <c r="A2439" t="inlineStr">
        <is>
          <t>FLORES PEREA EXIDIO _T0001071.pdf</t>
        </is>
      </c>
      <c r="B2439">
        <f>HYPERLINK("C:\Users\lmonroy\Tema\PLANILLAS\Boletas 16 - 31 Dic\FLORES PEREA EXIDIO _T0001071.pdf", "Link")</f>
        <v/>
      </c>
      <c r="C2439" t="n">
        <v>166333</v>
      </c>
      <c r="D2439" t="inlineStr">
        <is>
          <t>2024-03-27 10:17:43</t>
        </is>
      </c>
      <c r="E2439" t="inlineStr">
        <is>
          <t>2024-03-27 10:06:23</t>
        </is>
      </c>
      <c r="F2439" t="inlineStr">
        <is>
          <t>666</t>
        </is>
      </c>
    </row>
    <row r="2440">
      <c r="A2440" t="inlineStr">
        <is>
          <t>FLORES PEREZ MARCELO _T0001072.pdf</t>
        </is>
      </c>
      <c r="B2440">
        <f>HYPERLINK("C:\Users\lmonroy\Tema\PLANILLAS\Boletas 16 - 31 Dic\FLORES PEREZ MARCELO _T0001072.pdf", "Link")</f>
        <v/>
      </c>
      <c r="C2440" t="n">
        <v>166160</v>
      </c>
      <c r="D2440" t="inlineStr">
        <is>
          <t>2024-03-27 10:13:19</t>
        </is>
      </c>
      <c r="E2440" t="inlineStr">
        <is>
          <t>2024-03-27 10:02:30</t>
        </is>
      </c>
      <c r="F2440" t="inlineStr">
        <is>
          <t>666</t>
        </is>
      </c>
    </row>
    <row r="2441">
      <c r="A2441" t="inlineStr">
        <is>
          <t>FUGUISTA MACUSI MANUEL _T0001073.pdf</t>
        </is>
      </c>
      <c r="B2441">
        <f>HYPERLINK("C:\Users\lmonroy\Tema\PLANILLAS\Boletas 16 - 31 Dic\FUGUISTA MACUSI MANUEL _T0001073.pdf", "Link")</f>
        <v/>
      </c>
      <c r="C2441" t="n">
        <v>166320</v>
      </c>
      <c r="D2441" t="inlineStr">
        <is>
          <t>2024-03-27 10:16:13</t>
        </is>
      </c>
      <c r="E2441" t="inlineStr">
        <is>
          <t>2024-03-27 10:04:53</t>
        </is>
      </c>
      <c r="F2441" t="inlineStr">
        <is>
          <t>666</t>
        </is>
      </c>
    </row>
    <row r="2442">
      <c r="A2442" t="inlineStr">
        <is>
          <t>FUGUISTA MACUSI MIGUEL _T0001074.pdf</t>
        </is>
      </c>
      <c r="B2442">
        <f>HYPERLINK("C:\Users\lmonroy\Tema\PLANILLAS\Boletas 16 - 31 Dic\FUGUISTA MACUSI MIGUEL _T0001074.pdf", "Link")</f>
        <v/>
      </c>
      <c r="C2442" t="n">
        <v>166349</v>
      </c>
      <c r="D2442" t="inlineStr">
        <is>
          <t>2024-03-27 10:13:51</t>
        </is>
      </c>
      <c r="E2442" t="inlineStr">
        <is>
          <t>2024-03-27 10:02:57</t>
        </is>
      </c>
      <c r="F2442" t="inlineStr">
        <is>
          <t>666</t>
        </is>
      </c>
    </row>
    <row r="2443">
      <c r="A2443" t="inlineStr">
        <is>
          <t>GARCIA RAMIREZ RUSBEL _T0001075.pdf</t>
        </is>
      </c>
      <c r="B2443">
        <f>HYPERLINK("C:\Users\lmonroy\Tema\PLANILLAS\Boletas 16 - 31 Dic\GARCIA RAMIREZ RUSBEL _T0001075.pdf", "Link")</f>
        <v/>
      </c>
      <c r="C2443" t="n">
        <v>166375</v>
      </c>
      <c r="D2443" t="inlineStr">
        <is>
          <t>2024-03-27 10:18:56</t>
        </is>
      </c>
      <c r="E2443" t="inlineStr">
        <is>
          <t>2024-03-27 10:07:41</t>
        </is>
      </c>
      <c r="F2443" t="inlineStr">
        <is>
          <t>666</t>
        </is>
      </c>
    </row>
    <row r="2444">
      <c r="A2444" t="inlineStr">
        <is>
          <t>GARCIA REYNA LIZANDRO _T0001076.pdf</t>
        </is>
      </c>
      <c r="B2444">
        <f>HYPERLINK("C:\Users\lmonroy\Tema\PLANILLAS\Boletas 16 - 31 Dic\GARCIA REYNA LIZANDRO _T0001076.pdf", "Link")</f>
        <v/>
      </c>
      <c r="C2444" t="n">
        <v>166159</v>
      </c>
      <c r="D2444" t="inlineStr">
        <is>
          <t>2024-03-27 10:19:06</t>
        </is>
      </c>
      <c r="E2444" t="inlineStr">
        <is>
          <t>2024-03-27 10:07:51</t>
        </is>
      </c>
      <c r="F2444" t="inlineStr">
        <is>
          <t>666</t>
        </is>
      </c>
    </row>
    <row r="2445">
      <c r="A2445" t="inlineStr">
        <is>
          <t>GARCIA ROJAS CARLOS WELLINGTON_T0001077.pdf</t>
        </is>
      </c>
      <c r="B2445">
        <f>HYPERLINK("C:\Users\lmonroy\Tema\PLANILLAS\Boletas 16 - 31 Dic\GARCIA ROJAS CARLOS WELLINGTON_T0001077.pdf", "Link")</f>
        <v/>
      </c>
      <c r="C2445" t="n">
        <v>166275</v>
      </c>
      <c r="D2445" t="inlineStr">
        <is>
          <t>2024-03-27 10:19:23</t>
        </is>
      </c>
      <c r="E2445" t="inlineStr">
        <is>
          <t>2024-03-27 10:08:07</t>
        </is>
      </c>
      <c r="F2445" t="inlineStr">
        <is>
          <t>666</t>
        </is>
      </c>
    </row>
    <row r="2446">
      <c r="A2446" t="inlineStr">
        <is>
          <t>GARCIA YUIMACHI JAYLER _T0001078.pdf</t>
        </is>
      </c>
      <c r="B2446">
        <f>HYPERLINK("C:\Users\lmonroy\Tema\PLANILLAS\Boletas 16 - 31 Dic\GARCIA YUIMACHI JAYLER _T0001078.pdf", "Link")</f>
        <v/>
      </c>
      <c r="C2446" t="n">
        <v>166174</v>
      </c>
      <c r="D2446" t="inlineStr">
        <is>
          <t>2024-03-27 10:13:49</t>
        </is>
      </c>
      <c r="E2446" t="inlineStr">
        <is>
          <t>2024-03-27 10:02:55</t>
        </is>
      </c>
      <c r="F2446" t="inlineStr">
        <is>
          <t>666</t>
        </is>
      </c>
    </row>
    <row r="2447">
      <c r="A2447" t="inlineStr">
        <is>
          <t>GARCIA YUIMACHI ROYER _T0001079.pdf</t>
        </is>
      </c>
      <c r="B2447">
        <f>HYPERLINK("C:\Users\lmonroy\Tema\PLANILLAS\Boletas 16 - 31 Dic\GARCIA YUIMACHI ROYER _T0001079.pdf", "Link")</f>
        <v/>
      </c>
      <c r="C2447" t="n">
        <v>166357</v>
      </c>
      <c r="D2447" t="inlineStr">
        <is>
          <t>2024-03-27 10:12:18</t>
        </is>
      </c>
      <c r="E2447" t="inlineStr">
        <is>
          <t>2024-03-27 10:01:37</t>
        </is>
      </c>
      <c r="F2447" t="inlineStr">
        <is>
          <t>666</t>
        </is>
      </c>
    </row>
    <row r="2448">
      <c r="A2448" t="inlineStr">
        <is>
          <t>GOMEZ MANAJO RICHARD_T0001450.pdf</t>
        </is>
      </c>
      <c r="B2448">
        <f>HYPERLINK("C:\Users\lmonroy\Tema\PLANILLAS\Boletas 16 - 31 Dic\GOMEZ MANAJO RICHARD_T0001450.pdf", "Link")</f>
        <v/>
      </c>
      <c r="C2448" t="n">
        <v>166348</v>
      </c>
      <c r="D2448" t="inlineStr">
        <is>
          <t>2024-03-27 10:12:46</t>
        </is>
      </c>
      <c r="E2448" t="inlineStr">
        <is>
          <t>2024-03-27 10:02:02</t>
        </is>
      </c>
      <c r="F2448" t="inlineStr">
        <is>
          <t>666</t>
        </is>
      </c>
    </row>
    <row r="2449">
      <c r="A2449" t="inlineStr">
        <is>
          <t>GONZALES DIAZ LORENZO _T0001080.pdf</t>
        </is>
      </c>
      <c r="B2449">
        <f>HYPERLINK("C:\Users\lmonroy\Tema\PLANILLAS\Boletas 16 - 31 Dic\GONZALES DIAZ LORENZO _T0001080.pdf", "Link")</f>
        <v/>
      </c>
      <c r="C2449" t="n">
        <v>166162</v>
      </c>
      <c r="D2449" t="inlineStr">
        <is>
          <t>2024-03-27 10:18:09</t>
        </is>
      </c>
      <c r="E2449" t="inlineStr">
        <is>
          <t>2024-03-27 10:06:51</t>
        </is>
      </c>
      <c r="F2449" t="inlineStr">
        <is>
          <t>666</t>
        </is>
      </c>
    </row>
    <row r="2450">
      <c r="A2450" t="inlineStr">
        <is>
          <t>GUERRA TAPAYURI ISAI _T0001081.pdf</t>
        </is>
      </c>
      <c r="B2450">
        <f>HYPERLINK("C:\Users\lmonroy\Tema\PLANILLAS\Boletas 16 - 31 Dic\GUERRA TAPAYURI ISAI _T0001081.pdf", "Link")</f>
        <v/>
      </c>
      <c r="C2450" t="n">
        <v>166327</v>
      </c>
      <c r="D2450" t="inlineStr">
        <is>
          <t>2024-03-27 10:15:05</t>
        </is>
      </c>
      <c r="E2450" t="inlineStr">
        <is>
          <t>2024-03-27 10:03:58</t>
        </is>
      </c>
      <c r="F2450" t="inlineStr">
        <is>
          <t>666</t>
        </is>
      </c>
    </row>
    <row r="2451">
      <c r="A2451" t="inlineStr">
        <is>
          <t>HAUXWELL TORRES MACK BRUNO_T0001479.pdf</t>
        </is>
      </c>
      <c r="B2451">
        <f>HYPERLINK("C:\Users\lmonroy\Tema\PLANILLAS\Boletas 16 - 31 Dic\HAUXWELL TORRES MACK BRUNO_T0001479.pdf", "Link")</f>
        <v/>
      </c>
      <c r="C2451" t="n">
        <v>166319</v>
      </c>
      <c r="D2451" t="inlineStr">
        <is>
          <t>2024-03-27 10:17:24</t>
        </is>
      </c>
      <c r="E2451" t="inlineStr">
        <is>
          <t>2024-03-27 10:06:03</t>
        </is>
      </c>
      <c r="F2451" t="inlineStr">
        <is>
          <t>666</t>
        </is>
      </c>
    </row>
    <row r="2452">
      <c r="A2452" t="inlineStr">
        <is>
          <t>HUANUIRI FREYTAS DANIEL _T0001082.pdf</t>
        </is>
      </c>
      <c r="B2452">
        <f>HYPERLINK("C:\Users\lmonroy\Tema\PLANILLAS\Boletas 16 - 31 Dic\HUANUIRI FREYTAS DANIEL _T0001082.pdf", "Link")</f>
        <v/>
      </c>
      <c r="C2452" t="n">
        <v>166315</v>
      </c>
      <c r="D2452" t="inlineStr">
        <is>
          <t>2024-03-27 10:17:30</t>
        </is>
      </c>
      <c r="E2452" t="inlineStr">
        <is>
          <t>2024-03-27 10:06:09</t>
        </is>
      </c>
      <c r="F2452" t="inlineStr">
        <is>
          <t>666</t>
        </is>
      </c>
    </row>
    <row r="2453">
      <c r="A2453" t="inlineStr">
        <is>
          <t>HUARATAPAIRO ISUIZA WITHMER_T0001451.pdf</t>
        </is>
      </c>
      <c r="B2453">
        <f>HYPERLINK("C:\Users\lmonroy\Tema\PLANILLAS\Boletas 16 - 31 Dic\HUARATAPAIRO ISUIZA WITHMER_T0001451.pdf", "Link")</f>
        <v/>
      </c>
      <c r="C2453" t="n">
        <v>166167</v>
      </c>
      <c r="D2453" t="inlineStr">
        <is>
          <t>2024-03-27 10:15:33</t>
        </is>
      </c>
      <c r="E2453" t="inlineStr">
        <is>
          <t>2024-03-27 10:04:20</t>
        </is>
      </c>
      <c r="F2453" t="inlineStr">
        <is>
          <t>666</t>
        </is>
      </c>
    </row>
    <row r="2454">
      <c r="A2454" t="inlineStr">
        <is>
          <t>HUAYABAN AHUANARI RUSBEL _T0001083.pdf</t>
        </is>
      </c>
      <c r="B2454">
        <f>HYPERLINK("C:\Users\lmonroy\Tema\PLANILLAS\Boletas 16 - 31 Dic\HUAYABAN AHUANARI RUSBEL _T0001083.pdf", "Link")</f>
        <v/>
      </c>
      <c r="C2454" t="n">
        <v>166347</v>
      </c>
      <c r="D2454" t="inlineStr">
        <is>
          <t>2024-03-27 10:14:02</t>
        </is>
      </c>
      <c r="E2454" t="inlineStr">
        <is>
          <t>2024-03-27 10:03:06</t>
        </is>
      </c>
      <c r="F2454" t="inlineStr">
        <is>
          <t>666</t>
        </is>
      </c>
    </row>
    <row r="2455">
      <c r="A2455" t="inlineStr">
        <is>
          <t>IGNACIO INUMA FELIPE _T0001085.pdf</t>
        </is>
      </c>
      <c r="B2455">
        <f>HYPERLINK("C:\Users\lmonroy\Tema\PLANILLAS\Boletas 16 - 31 Dic\IGNACIO INUMA FELIPE _T0001085.pdf", "Link")</f>
        <v/>
      </c>
      <c r="C2455" t="n">
        <v>166120</v>
      </c>
      <c r="D2455" t="inlineStr">
        <is>
          <t>2024-03-27 10:18:37</t>
        </is>
      </c>
      <c r="E2455" t="inlineStr">
        <is>
          <t>2024-03-27 10:07:20</t>
        </is>
      </c>
      <c r="F2455" t="inlineStr">
        <is>
          <t>666</t>
        </is>
      </c>
    </row>
    <row r="2456">
      <c r="A2456" t="inlineStr">
        <is>
          <t>IGNACIO INUMA JORGE _T0001086.pdf</t>
        </is>
      </c>
      <c r="B2456">
        <f>HYPERLINK("C:\Users\lmonroy\Tema\PLANILLAS\Boletas 16 - 31 Dic\IGNACIO INUMA JORGE _T0001086.pdf", "Link")</f>
        <v/>
      </c>
      <c r="C2456" t="n">
        <v>166148</v>
      </c>
      <c r="D2456" t="inlineStr">
        <is>
          <t>2024-03-27 10:14:05</t>
        </is>
      </c>
      <c r="E2456" t="inlineStr">
        <is>
          <t>2024-03-27 10:03:09</t>
        </is>
      </c>
      <c r="F2456" t="inlineStr">
        <is>
          <t>666</t>
        </is>
      </c>
    </row>
    <row r="2457">
      <c r="A2457" t="inlineStr">
        <is>
          <t>IGNACIO MACUSI JACINTO _T0001087.pdf</t>
        </is>
      </c>
      <c r="B2457">
        <f>HYPERLINK("C:\Users\lmonroy\Tema\PLANILLAS\Boletas 16 - 31 Dic\IGNACIO MACUSI JACINTO _T0001087.pdf", "Link")</f>
        <v/>
      </c>
      <c r="C2457" t="n">
        <v>166129</v>
      </c>
      <c r="D2457" t="inlineStr">
        <is>
          <t>2024-03-27 10:13:53</t>
        </is>
      </c>
      <c r="E2457" t="inlineStr">
        <is>
          <t>2024-03-27 10:02:59</t>
        </is>
      </c>
      <c r="F2457" t="inlineStr">
        <is>
          <t>666</t>
        </is>
      </c>
    </row>
    <row r="2458">
      <c r="A2458" t="inlineStr">
        <is>
          <t>IGNACIO TARICUARIMA CARLOS _T0001088.pdf</t>
        </is>
      </c>
      <c r="B2458">
        <f>HYPERLINK("C:\Users\lmonroy\Tema\PLANILLAS\Boletas 16 - 31 Dic\IGNACIO TARICUARIMA CARLOS _T0001088.pdf", "Link")</f>
        <v/>
      </c>
      <c r="C2458" t="n">
        <v>166136</v>
      </c>
      <c r="D2458" t="inlineStr">
        <is>
          <t>2024-03-27 10:18:27</t>
        </is>
      </c>
      <c r="E2458" t="inlineStr">
        <is>
          <t>2024-03-27 10:07:10</t>
        </is>
      </c>
      <c r="F2458" t="inlineStr">
        <is>
          <t>666</t>
        </is>
      </c>
    </row>
    <row r="2459">
      <c r="A2459" t="inlineStr">
        <is>
          <t>IGNACIO VICENTE JHON MAR_T0001089.pdf</t>
        </is>
      </c>
      <c r="B2459">
        <f>HYPERLINK("C:\Users\lmonroy\Tema\PLANILLAS\Boletas 16 - 31 Dic\IGNACIO VICENTE JHON MAR_T0001089.pdf", "Link")</f>
        <v/>
      </c>
      <c r="C2459" t="n">
        <v>166323</v>
      </c>
      <c r="D2459" t="inlineStr">
        <is>
          <t>2024-03-27 10:15:21</t>
        </is>
      </c>
      <c r="E2459" t="inlineStr">
        <is>
          <t>2024-03-27 10:04:10</t>
        </is>
      </c>
      <c r="F2459" t="inlineStr">
        <is>
          <t>666</t>
        </is>
      </c>
    </row>
    <row r="2460">
      <c r="A2460" t="inlineStr">
        <is>
          <t>INUMA AHUITE DANIEL_T0001499.pdf</t>
        </is>
      </c>
      <c r="B2460">
        <f>HYPERLINK("C:\Users\lmonroy\Tema\PLANILLAS\Boletas 16 - 31 Dic\INUMA AHUITE DANIEL_T0001499.pdf", "Link")</f>
        <v/>
      </c>
      <c r="C2460" t="n">
        <v>166284</v>
      </c>
      <c r="D2460" t="inlineStr">
        <is>
          <t>2024-03-27 10:15:41</t>
        </is>
      </c>
      <c r="E2460" t="inlineStr">
        <is>
          <t>2024-03-27 10:04:27</t>
        </is>
      </c>
      <c r="F2460" t="inlineStr">
        <is>
          <t>666</t>
        </is>
      </c>
    </row>
    <row r="2461">
      <c r="A2461" t="inlineStr">
        <is>
          <t>INUMA ARAHUATA CUSTODIO_T0001500.pdf</t>
        </is>
      </c>
      <c r="B2461">
        <f>HYPERLINK("C:\Users\lmonroy\Tema\PLANILLAS\Boletas 16 - 31 Dic\INUMA ARAHUATA CUSTODIO_T0001500.pdf", "Link")</f>
        <v/>
      </c>
      <c r="C2461" t="n">
        <v>166296</v>
      </c>
      <c r="D2461" t="inlineStr">
        <is>
          <t>2024-03-27 10:19:09</t>
        </is>
      </c>
      <c r="E2461" t="inlineStr">
        <is>
          <t>2024-03-27 10:07:54</t>
        </is>
      </c>
      <c r="F2461" t="inlineStr">
        <is>
          <t>666</t>
        </is>
      </c>
    </row>
    <row r="2462">
      <c r="A2462" t="inlineStr">
        <is>
          <t>INUMA ARAHUATE ANTONIO_T0001501.pdf</t>
        </is>
      </c>
      <c r="B2462">
        <f>HYPERLINK("C:\Users\lmonroy\Tema\PLANILLAS\Boletas 16 - 31 Dic\INUMA ARAHUATE ANTONIO_T0001501.pdf", "Link")</f>
        <v/>
      </c>
      <c r="C2462" t="n">
        <v>166318</v>
      </c>
      <c r="D2462" t="inlineStr">
        <is>
          <t>2024-03-27 10:18:18</t>
        </is>
      </c>
      <c r="E2462" t="inlineStr">
        <is>
          <t>2024-03-27 10:07:01</t>
        </is>
      </c>
      <c r="F2462" t="inlineStr">
        <is>
          <t>666</t>
        </is>
      </c>
    </row>
    <row r="2463">
      <c r="A2463" t="inlineStr">
        <is>
          <t>INUMA CAHIRICO ARMANDO_T0001502.pdf</t>
        </is>
      </c>
      <c r="B2463">
        <f>HYPERLINK("C:\Users\lmonroy\Tema\PLANILLAS\Boletas 16 - 31 Dic\INUMA CAHIRICO ARMANDO_T0001502.pdf", "Link")</f>
        <v/>
      </c>
      <c r="C2463" t="n">
        <v>166320</v>
      </c>
      <c r="D2463" t="inlineStr">
        <is>
          <t>2024-03-27 10:13:14</t>
        </is>
      </c>
      <c r="E2463" t="inlineStr">
        <is>
          <t>2024-03-27 10:02:26</t>
        </is>
      </c>
      <c r="F2463" t="inlineStr">
        <is>
          <t>666</t>
        </is>
      </c>
    </row>
    <row r="2464">
      <c r="A2464" t="inlineStr">
        <is>
          <t>INUMA CAHIRICO JUAN_T0001503.pdf</t>
        </is>
      </c>
      <c r="B2464">
        <f>HYPERLINK("C:\Users\lmonroy\Tema\PLANILLAS\Boletas 16 - 31 Dic\INUMA CAHIRICO JUAN_T0001503.pdf", "Link")</f>
        <v/>
      </c>
      <c r="C2464" t="n">
        <v>166298</v>
      </c>
      <c r="D2464" t="inlineStr">
        <is>
          <t>2024-03-27 10:12:16</t>
        </is>
      </c>
      <c r="E2464" t="inlineStr">
        <is>
          <t>2024-03-27 10:01:35</t>
        </is>
      </c>
      <c r="F2464" t="inlineStr">
        <is>
          <t>666</t>
        </is>
      </c>
    </row>
    <row r="2465">
      <c r="A2465" t="inlineStr">
        <is>
          <t>INUMA CASTAÑON FERNANDO _T0001092.pdf</t>
        </is>
      </c>
      <c r="B2465">
        <f>HYPERLINK("C:\Users\lmonroy\Tema\PLANILLAS\Boletas 16 - 31 Dic\INUMA CASTAÑON FERNANDO _T0001092.pdf", "Link")</f>
        <v/>
      </c>
      <c r="C2465" t="n">
        <v>166177</v>
      </c>
      <c r="D2465" t="inlineStr">
        <is>
          <t>2024-03-27 10:18:26</t>
        </is>
      </c>
      <c r="E2465" t="inlineStr">
        <is>
          <t>2024-03-27 10:07:09</t>
        </is>
      </c>
      <c r="F2465" t="inlineStr">
        <is>
          <t>666</t>
        </is>
      </c>
    </row>
    <row r="2466">
      <c r="A2466" t="inlineStr">
        <is>
          <t>INUMA INUMA ORLANDO_T0001377.pdf</t>
        </is>
      </c>
      <c r="B2466">
        <f>HYPERLINK("C:\Users\lmonroy\Tema\PLANILLAS\Boletas 16 - 31 Dic\INUMA INUMA ORLANDO_T0001377.pdf", "Link")</f>
        <v/>
      </c>
      <c r="C2466" t="n">
        <v>166105</v>
      </c>
      <c r="D2466" t="inlineStr">
        <is>
          <t>2024-03-27 10:15:58</t>
        </is>
      </c>
      <c r="E2466" t="inlineStr">
        <is>
          <t>2024-03-27 10:04:41</t>
        </is>
      </c>
      <c r="F2466" t="inlineStr">
        <is>
          <t>666</t>
        </is>
      </c>
    </row>
    <row r="2467">
      <c r="A2467" t="inlineStr">
        <is>
          <t>INUMA MACUSI ALBERTO _T0001093.pdf</t>
        </is>
      </c>
      <c r="B2467">
        <f>HYPERLINK("C:\Users\lmonroy\Tema\PLANILLAS\Boletas 16 - 31 Dic\INUMA MACUSI ALBERTO _T0001093.pdf", "Link")</f>
        <v/>
      </c>
      <c r="C2467" t="n">
        <v>166134</v>
      </c>
      <c r="D2467" t="inlineStr">
        <is>
          <t>2024-03-27 10:16:09</t>
        </is>
      </c>
      <c r="E2467" t="inlineStr">
        <is>
          <t>2024-03-27 10:04:50</t>
        </is>
      </c>
      <c r="F2467" t="inlineStr">
        <is>
          <t>666</t>
        </is>
      </c>
    </row>
    <row r="2468">
      <c r="A2468" t="inlineStr">
        <is>
          <t>INUMA MACUSI CRUZ_T0001504.pdf</t>
        </is>
      </c>
      <c r="B2468">
        <f>HYPERLINK("C:\Users\lmonroy\Tema\PLANILLAS\Boletas 16 - 31 Dic\INUMA MACUSI CRUZ_T0001504.pdf", "Link")</f>
        <v/>
      </c>
      <c r="C2468" t="n">
        <v>166284</v>
      </c>
      <c r="D2468" t="inlineStr">
        <is>
          <t>2024-03-27 10:15:18</t>
        </is>
      </c>
      <c r="E2468" t="inlineStr">
        <is>
          <t>2024-03-27 10:04:08</t>
        </is>
      </c>
      <c r="F2468" t="inlineStr">
        <is>
          <t>666</t>
        </is>
      </c>
    </row>
    <row r="2469">
      <c r="A2469" t="inlineStr">
        <is>
          <t>INUMA MACUSI GINER _T0001094.pdf</t>
        </is>
      </c>
      <c r="B2469">
        <f>HYPERLINK("C:\Users\lmonroy\Tema\PLANILLAS\Boletas 16 - 31 Dic\INUMA MACUSI GINER _T0001094.pdf", "Link")</f>
        <v/>
      </c>
      <c r="C2469" t="n">
        <v>166114</v>
      </c>
      <c r="D2469" t="inlineStr">
        <is>
          <t>2024-03-27 10:16:08</t>
        </is>
      </c>
      <c r="E2469" t="inlineStr">
        <is>
          <t>2024-03-27 10:04:49</t>
        </is>
      </c>
      <c r="F2469" t="inlineStr">
        <is>
          <t>666</t>
        </is>
      </c>
    </row>
    <row r="2470">
      <c r="A2470" t="inlineStr">
        <is>
          <t>INUMA MACUSI JUAN _T0001096.pdf</t>
        </is>
      </c>
      <c r="B2470">
        <f>HYPERLINK("C:\Users\lmonroy\Tema\PLANILLAS\Boletas 16 - 31 Dic\INUMA MACUSI JUAN _T0001096.pdf", "Link")</f>
        <v/>
      </c>
      <c r="C2470" t="n">
        <v>166135</v>
      </c>
      <c r="D2470" t="inlineStr">
        <is>
          <t>2024-03-27 10:18:38</t>
        </is>
      </c>
      <c r="E2470" t="inlineStr">
        <is>
          <t>2024-03-27 10:07:21</t>
        </is>
      </c>
      <c r="F2470" t="inlineStr">
        <is>
          <t>666</t>
        </is>
      </c>
    </row>
    <row r="2471">
      <c r="A2471" t="inlineStr">
        <is>
          <t>INUMA NURIBE ELIAS _T0001097.pdf</t>
        </is>
      </c>
      <c r="B2471">
        <f>HYPERLINK("C:\Users\lmonroy\Tema\PLANILLAS\Boletas 16 - 31 Dic\INUMA NURIBE ELIAS _T0001097.pdf", "Link")</f>
        <v/>
      </c>
      <c r="C2471" t="n">
        <v>166136</v>
      </c>
      <c r="D2471" t="inlineStr">
        <is>
          <t>2024-03-27 10:14:34</t>
        </is>
      </c>
      <c r="E2471" t="inlineStr">
        <is>
          <t>2024-03-27 10:03:33</t>
        </is>
      </c>
      <c r="F2471" t="inlineStr">
        <is>
          <t>666</t>
        </is>
      </c>
    </row>
    <row r="2472">
      <c r="A2472" t="inlineStr">
        <is>
          <t>INUMA NURIBE GERMAN _T0001098.pdf</t>
        </is>
      </c>
      <c r="B2472">
        <f>HYPERLINK("C:\Users\lmonroy\Tema\PLANILLAS\Boletas 16 - 31 Dic\INUMA NURIBE GERMAN _T0001098.pdf", "Link")</f>
        <v/>
      </c>
      <c r="C2472" t="n">
        <v>166136</v>
      </c>
      <c r="D2472" t="inlineStr">
        <is>
          <t>2024-03-27 10:14:35</t>
        </is>
      </c>
      <c r="E2472" t="inlineStr">
        <is>
          <t>2024-03-27 10:03:34</t>
        </is>
      </c>
      <c r="F2472" t="inlineStr">
        <is>
          <t>666</t>
        </is>
      </c>
    </row>
    <row r="2473">
      <c r="A2473" t="inlineStr">
        <is>
          <t>INUMA NURIBE GUSTAVO_T0001372.pdf</t>
        </is>
      </c>
      <c r="B2473">
        <f>HYPERLINK("C:\Users\lmonroy\Tema\PLANILLAS\Boletas 16 - 31 Dic\INUMA NURIBE GUSTAVO_T0001372.pdf", "Link")</f>
        <v/>
      </c>
      <c r="C2473" t="n">
        <v>166311</v>
      </c>
      <c r="D2473" t="inlineStr">
        <is>
          <t>2024-03-27 10:12:33</t>
        </is>
      </c>
      <c r="E2473" t="inlineStr">
        <is>
          <t>2024-03-27 10:01:50</t>
        </is>
      </c>
      <c r="F2473" t="inlineStr">
        <is>
          <t>666</t>
        </is>
      </c>
    </row>
    <row r="2474">
      <c r="A2474" t="inlineStr">
        <is>
          <t>INUMA NURIBE JULIO_T0001099.pdf</t>
        </is>
      </c>
      <c r="B2474">
        <f>HYPERLINK("C:\Users\lmonroy\Tema\PLANILLAS\Boletas 16 - 31 Dic\INUMA NURIBE JULIO_T0001099.pdf", "Link")</f>
        <v/>
      </c>
      <c r="C2474" t="n">
        <v>166136</v>
      </c>
      <c r="D2474" t="inlineStr">
        <is>
          <t>2024-03-27 10:14:32</t>
        </is>
      </c>
      <c r="E2474" t="inlineStr">
        <is>
          <t>2024-03-27 10:03:32</t>
        </is>
      </c>
      <c r="F2474" t="inlineStr">
        <is>
          <t>666</t>
        </is>
      </c>
    </row>
    <row r="2475">
      <c r="A2475" t="inlineStr">
        <is>
          <t>INUMA NURIBE JULIO_T0001452.pdf</t>
        </is>
      </c>
      <c r="B2475">
        <f>HYPERLINK("C:\Users\lmonroy\Tema\PLANILLAS\Boletas 16 - 31 Dic\INUMA NURIBE JULIO_T0001452.pdf", "Link")</f>
        <v/>
      </c>
      <c r="C2475" t="n">
        <v>166137</v>
      </c>
      <c r="D2475" t="inlineStr">
        <is>
          <t>2024-03-27 10:18:39</t>
        </is>
      </c>
      <c r="E2475" t="inlineStr">
        <is>
          <t>2024-03-27 10:07:23</t>
        </is>
      </c>
      <c r="F2475" t="inlineStr">
        <is>
          <t>666</t>
        </is>
      </c>
    </row>
    <row r="2476">
      <c r="A2476" t="inlineStr">
        <is>
          <t>INUMA NURIBE MARIANO _T0001100.pdf</t>
        </is>
      </c>
      <c r="B2476">
        <f>HYPERLINK("C:\Users\lmonroy\Tema\PLANILLAS\Boletas 16 - 31 Dic\INUMA NURIBE MARIANO _T0001100.pdf", "Link")</f>
        <v/>
      </c>
      <c r="C2476" t="n">
        <v>166115</v>
      </c>
      <c r="D2476" t="inlineStr">
        <is>
          <t>2024-03-27 10:15:34</t>
        </is>
      </c>
      <c r="E2476" t="inlineStr">
        <is>
          <t>2024-03-27 10:04:21</t>
        </is>
      </c>
      <c r="F2476" t="inlineStr">
        <is>
          <t>666</t>
        </is>
      </c>
    </row>
    <row r="2477">
      <c r="A2477" t="inlineStr">
        <is>
          <t>INUMA OJEYCATE ESAU_T0001505.pdf</t>
        </is>
      </c>
      <c r="B2477">
        <f>HYPERLINK("C:\Users\lmonroy\Tema\PLANILLAS\Boletas 16 - 31 Dic\INUMA OJEYCATE ESAU_T0001505.pdf", "Link")</f>
        <v/>
      </c>
      <c r="C2477" t="n">
        <v>166298</v>
      </c>
      <c r="D2477" t="inlineStr">
        <is>
          <t>2024-03-27 10:17:11</t>
        </is>
      </c>
      <c r="E2477" t="inlineStr">
        <is>
          <t>2024-03-27 10:05:49</t>
        </is>
      </c>
      <c r="F2477" t="inlineStr">
        <is>
          <t>666</t>
        </is>
      </c>
    </row>
    <row r="2478">
      <c r="A2478" t="inlineStr">
        <is>
          <t>INUMA RUFINO LISANDRO _T0001102.pdf</t>
        </is>
      </c>
      <c r="B2478">
        <f>HYPERLINK("C:\Users\lmonroy\Tema\PLANILLAS\Boletas 16 - 31 Dic\INUMA RUFINO LISANDRO _T0001102.pdf", "Link")</f>
        <v/>
      </c>
      <c r="C2478" t="n">
        <v>166119</v>
      </c>
      <c r="D2478" t="inlineStr">
        <is>
          <t>2024-03-27 10:18:31</t>
        </is>
      </c>
      <c r="E2478" t="inlineStr">
        <is>
          <t>2024-03-27 10:07:13</t>
        </is>
      </c>
      <c r="F2478" t="inlineStr">
        <is>
          <t>666</t>
        </is>
      </c>
    </row>
    <row r="2479">
      <c r="A2479" t="inlineStr">
        <is>
          <t>INUMA RUFINO ORLANDO _T0001103.pdf</t>
        </is>
      </c>
      <c r="B2479">
        <f>HYPERLINK("C:\Users\lmonroy\Tema\PLANILLAS\Boletas 16 - 31 Dic\INUMA RUFINO ORLANDO _T0001103.pdf", "Link")</f>
        <v/>
      </c>
      <c r="C2479" t="n">
        <v>166143</v>
      </c>
      <c r="D2479" t="inlineStr">
        <is>
          <t>2024-03-27 10:18:32</t>
        </is>
      </c>
      <c r="E2479" t="inlineStr">
        <is>
          <t>2024-03-27 10:07:15</t>
        </is>
      </c>
      <c r="F2479" t="inlineStr">
        <is>
          <t>666</t>
        </is>
      </c>
    </row>
    <row r="2480">
      <c r="A2480" t="inlineStr">
        <is>
          <t>INUMA VELA ABRAHAM_T0001104.pdf</t>
        </is>
      </c>
      <c r="B2480">
        <f>HYPERLINK("C:\Users\lmonroy\Tema\PLANILLAS\Boletas 16 - 31 Dic\INUMA VELA ABRAHAM_T0001104.pdf", "Link")</f>
        <v/>
      </c>
      <c r="C2480" t="n">
        <v>166327</v>
      </c>
      <c r="D2480" t="inlineStr">
        <is>
          <t>2024-03-27 10:13:17</t>
        </is>
      </c>
      <c r="E2480" t="inlineStr">
        <is>
          <t>2024-03-27 10:02:29</t>
        </is>
      </c>
      <c r="F2480" t="inlineStr">
        <is>
          <t>666</t>
        </is>
      </c>
    </row>
    <row r="2481">
      <c r="A2481" t="inlineStr">
        <is>
          <t>INUMA VELA ARTEMIO _T0001105.pdf</t>
        </is>
      </c>
      <c r="B2481">
        <f>HYPERLINK("C:\Users\lmonroy\Tema\PLANILLAS\Boletas 16 - 31 Dic\INUMA VELA ARTEMIO _T0001105.pdf", "Link")</f>
        <v/>
      </c>
      <c r="C2481" t="n">
        <v>166293</v>
      </c>
      <c r="D2481" t="inlineStr">
        <is>
          <t>2024-03-27 10:14:52</t>
        </is>
      </c>
      <c r="E2481" t="inlineStr">
        <is>
          <t>2024-03-27 10:03:48</t>
        </is>
      </c>
      <c r="F2481" t="inlineStr">
        <is>
          <t>666</t>
        </is>
      </c>
    </row>
    <row r="2482">
      <c r="A2482" t="inlineStr">
        <is>
          <t>INUMA VELA JAIME _T0001106.pdf</t>
        </is>
      </c>
      <c r="B2482">
        <f>HYPERLINK("C:\Users\lmonroy\Tema\PLANILLAS\Boletas 16 - 31 Dic\INUMA VELA JAIME _T0001106.pdf", "Link")</f>
        <v/>
      </c>
      <c r="C2482" t="n">
        <v>166128</v>
      </c>
      <c r="D2482" t="inlineStr">
        <is>
          <t>2024-03-27 10:15:24</t>
        </is>
      </c>
      <c r="E2482" t="inlineStr">
        <is>
          <t>2024-03-27 10:04:13</t>
        </is>
      </c>
      <c r="F2482" t="inlineStr">
        <is>
          <t>666</t>
        </is>
      </c>
    </row>
    <row r="2483">
      <c r="A2483" t="inlineStr">
        <is>
          <t>INUMA VELA LUCHO _T0001107.pdf</t>
        </is>
      </c>
      <c r="B2483">
        <f>HYPERLINK("C:\Users\lmonroy\Tema\PLANILLAS\Boletas 16 - 31 Dic\INUMA VELA LUCHO _T0001107.pdf", "Link")</f>
        <v/>
      </c>
      <c r="C2483" t="n">
        <v>166319</v>
      </c>
      <c r="D2483" t="inlineStr">
        <is>
          <t>2024-03-27 10:16:39</t>
        </is>
      </c>
      <c r="E2483" t="inlineStr">
        <is>
          <t>2024-03-27 10:05:16</t>
        </is>
      </c>
      <c r="F2483" t="inlineStr">
        <is>
          <t>666</t>
        </is>
      </c>
    </row>
    <row r="2484">
      <c r="A2484" t="inlineStr">
        <is>
          <t>INUMA VELA RAFAEL _T0001108.pdf</t>
        </is>
      </c>
      <c r="B2484">
        <f>HYPERLINK("C:\Users\lmonroy\Tema\PLANILLAS\Boletas 16 - 31 Dic\INUMA VELA RAFAEL _T0001108.pdf", "Link")</f>
        <v/>
      </c>
      <c r="C2484" t="n">
        <v>166320</v>
      </c>
      <c r="D2484" t="inlineStr">
        <is>
          <t>2024-03-27 10:12:51</t>
        </is>
      </c>
      <c r="E2484" t="inlineStr">
        <is>
          <t>2024-03-27 10:02:06</t>
        </is>
      </c>
      <c r="F2484" t="inlineStr">
        <is>
          <t>666</t>
        </is>
      </c>
    </row>
    <row r="2485">
      <c r="A2485" t="inlineStr">
        <is>
          <t>INUMA VELA RICARDO_T0001371.pdf</t>
        </is>
      </c>
      <c r="B2485">
        <f>HYPERLINK("C:\Users\lmonroy\Tema\PLANILLAS\Boletas 16 - 31 Dic\INUMA VELA RICARDO_T0001371.pdf", "Link")</f>
        <v/>
      </c>
      <c r="C2485" t="n">
        <v>166113</v>
      </c>
      <c r="D2485" t="inlineStr">
        <is>
          <t>2024-03-27 10:14:46</t>
        </is>
      </c>
      <c r="E2485" t="inlineStr">
        <is>
          <t>2024-03-27 10:03:43</t>
        </is>
      </c>
      <c r="F2485" t="inlineStr">
        <is>
          <t>666</t>
        </is>
      </c>
    </row>
    <row r="2486">
      <c r="A2486" t="inlineStr">
        <is>
          <t>INUMA VELA WILSON _T0001109.pdf</t>
        </is>
      </c>
      <c r="B2486">
        <f>HYPERLINK("C:\Users\lmonroy\Tema\PLANILLAS\Boletas 16 - 31 Dic\INUMA VELA WILSON _T0001109.pdf", "Link")</f>
        <v/>
      </c>
      <c r="C2486" t="n">
        <v>166157</v>
      </c>
      <c r="D2486" t="inlineStr">
        <is>
          <t>2024-03-27 10:16:38</t>
        </is>
      </c>
      <c r="E2486" t="inlineStr">
        <is>
          <t>2024-03-27 10:05:15</t>
        </is>
      </c>
      <c r="F2486" t="inlineStr">
        <is>
          <t>666</t>
        </is>
      </c>
    </row>
    <row r="2487">
      <c r="A2487" t="inlineStr">
        <is>
          <t>IRARICA AHUANARI CARLOS _T0001110.pdf</t>
        </is>
      </c>
      <c r="B2487">
        <f>HYPERLINK("C:\Users\lmonroy\Tema\PLANILLAS\Boletas 16 - 31 Dic\IRARICA AHUANARI CARLOS _T0001110.pdf", "Link")</f>
        <v/>
      </c>
      <c r="C2487" t="n">
        <v>166157</v>
      </c>
      <c r="D2487" t="inlineStr">
        <is>
          <t>2024-03-27 10:19:17</t>
        </is>
      </c>
      <c r="E2487" t="inlineStr">
        <is>
          <t>2024-03-27 10:08:01</t>
        </is>
      </c>
      <c r="F2487" t="inlineStr">
        <is>
          <t>666</t>
        </is>
      </c>
    </row>
    <row r="2488">
      <c r="A2488" t="inlineStr">
        <is>
          <t>IRARICA CURITIMA JULIO _T0001111.pdf</t>
        </is>
      </c>
      <c r="B2488">
        <f>HYPERLINK("C:\Users\lmonroy\Tema\PLANILLAS\Boletas 16 - 31 Dic\IRARICA CURITIMA JULIO _T0001111.pdf", "Link")</f>
        <v/>
      </c>
      <c r="C2488" t="n">
        <v>166146</v>
      </c>
      <c r="D2488" t="inlineStr">
        <is>
          <t>2024-03-27 10:18:06</t>
        </is>
      </c>
      <c r="E2488" t="inlineStr">
        <is>
          <t>2024-03-27 10:06:48</t>
        </is>
      </c>
      <c r="F2488" t="inlineStr">
        <is>
          <t>666</t>
        </is>
      </c>
    </row>
    <row r="2489">
      <c r="A2489" t="inlineStr">
        <is>
          <t>IRARICA IRARICA FELIX JORDAN_T0001486.pdf</t>
        </is>
      </c>
      <c r="B2489">
        <f>HYPERLINK("C:\Users\lmonroy\Tema\PLANILLAS\Boletas 16 - 31 Dic\IRARICA IRARICA FELIX JORDAN_T0001486.pdf", "Link")</f>
        <v/>
      </c>
      <c r="C2489" t="n">
        <v>166303</v>
      </c>
      <c r="D2489" t="inlineStr">
        <is>
          <t>2024-03-27 10:16:07</t>
        </is>
      </c>
      <c r="E2489" t="inlineStr">
        <is>
          <t>2024-03-27 10:04:48</t>
        </is>
      </c>
      <c r="F2489" t="inlineStr">
        <is>
          <t>666</t>
        </is>
      </c>
    </row>
    <row r="2490">
      <c r="A2490" t="inlineStr">
        <is>
          <t>IRARICA IRARICA WILLY _T0001112.pdf</t>
        </is>
      </c>
      <c r="B2490">
        <f>HYPERLINK("C:\Users\lmonroy\Tema\PLANILLAS\Boletas 16 - 31 Dic\IRARICA IRARICA WILLY _T0001112.pdf", "Link")</f>
        <v/>
      </c>
      <c r="C2490" t="n">
        <v>166354</v>
      </c>
      <c r="D2490" t="inlineStr">
        <is>
          <t>2024-03-27 10:17:27</t>
        </is>
      </c>
      <c r="E2490" t="inlineStr">
        <is>
          <t>2024-03-27 10:06:06</t>
        </is>
      </c>
      <c r="F2490" t="inlineStr">
        <is>
          <t>666</t>
        </is>
      </c>
    </row>
    <row r="2491">
      <c r="A2491" t="inlineStr">
        <is>
          <t>IRARICA PUYO FELIX ALEJANDRO_T0001113.pdf</t>
        </is>
      </c>
      <c r="B2491">
        <f>HYPERLINK("C:\Users\lmonroy\Tema\PLANILLAS\Boletas 16 - 31 Dic\IRARICA PUYO FELIX ALEJANDRO_T0001113.pdf", "Link")</f>
        <v/>
      </c>
      <c r="C2491" t="n">
        <v>166330</v>
      </c>
      <c r="D2491" t="inlineStr">
        <is>
          <t>2024-03-27 10:18:13</t>
        </is>
      </c>
      <c r="E2491" t="inlineStr">
        <is>
          <t>2024-03-27 10:06:55</t>
        </is>
      </c>
      <c r="F2491" t="inlineStr">
        <is>
          <t>666</t>
        </is>
      </c>
    </row>
    <row r="2492">
      <c r="A2492" t="inlineStr">
        <is>
          <t>IRARICA SAIRO GELDER FRANK_T0001114.pdf</t>
        </is>
      </c>
      <c r="B2492">
        <f>HYPERLINK("C:\Users\lmonroy\Tema\PLANILLAS\Boletas 16 - 31 Dic\IRARICA SAIRO GELDER FRANK_T0001114.pdf", "Link")</f>
        <v/>
      </c>
      <c r="C2492" t="n">
        <v>166214</v>
      </c>
      <c r="D2492" t="inlineStr">
        <is>
          <t>2024-03-27 10:17:22</t>
        </is>
      </c>
      <c r="E2492" t="inlineStr">
        <is>
          <t>2024-03-27 10:06:01</t>
        </is>
      </c>
      <c r="F2492" t="inlineStr">
        <is>
          <t>666</t>
        </is>
      </c>
    </row>
    <row r="2493">
      <c r="A2493" t="inlineStr">
        <is>
          <t>IRARICA SANCHEZ EUGENIO SANTIAGO_T0001115.pdf</t>
        </is>
      </c>
      <c r="B2493">
        <f>HYPERLINK("C:\Users\lmonroy\Tema\PLANILLAS\Boletas 16 - 31 Dic\IRARICA SANCHEZ EUGENIO SANTIAGO_T0001115.pdf", "Link")</f>
        <v/>
      </c>
      <c r="C2493" t="n">
        <v>166375</v>
      </c>
      <c r="D2493" t="inlineStr">
        <is>
          <t>2024-03-27 10:15:50</t>
        </is>
      </c>
      <c r="E2493" t="inlineStr">
        <is>
          <t>2024-03-27 10:04:33</t>
        </is>
      </c>
      <c r="F2493" t="inlineStr">
        <is>
          <t>666</t>
        </is>
      </c>
    </row>
    <row r="2494">
      <c r="A2494" t="inlineStr">
        <is>
          <t>IRARICA SANCHEZ HECTOR TOMAS_T0001390.pdf</t>
        </is>
      </c>
      <c r="B2494">
        <f>HYPERLINK("C:\Users\lmonroy\Tema\PLANILLAS\Boletas 16 - 31 Dic\IRARICA SANCHEZ HECTOR TOMAS_T0001390.pdf", "Link")</f>
        <v/>
      </c>
      <c r="C2494" t="n">
        <v>166157</v>
      </c>
      <c r="D2494" t="inlineStr">
        <is>
          <t>2024-03-27 10:15:51</t>
        </is>
      </c>
      <c r="E2494" t="inlineStr">
        <is>
          <t>2024-03-27 10:04:34</t>
        </is>
      </c>
      <c r="F2494" t="inlineStr">
        <is>
          <t>666</t>
        </is>
      </c>
    </row>
    <row r="2495">
      <c r="A2495" t="inlineStr">
        <is>
          <t>IRARICA SANCHEZ JULIO JAVIER_T0001116.pdf</t>
        </is>
      </c>
      <c r="B2495">
        <f>HYPERLINK("C:\Users\lmonroy\Tema\PLANILLAS\Boletas 16 - 31 Dic\IRARICA SANCHEZ JULIO JAVIER_T0001116.pdf", "Link")</f>
        <v/>
      </c>
      <c r="C2495" t="n">
        <v>166144</v>
      </c>
      <c r="D2495" t="inlineStr">
        <is>
          <t>2024-03-27 10:13:07</t>
        </is>
      </c>
      <c r="E2495" t="inlineStr">
        <is>
          <t>2024-03-27 10:02:20</t>
        </is>
      </c>
      <c r="F2495" t="inlineStr">
        <is>
          <t>666</t>
        </is>
      </c>
    </row>
    <row r="2496">
      <c r="A2496" t="inlineStr">
        <is>
          <t>IRARICA SANCHEZ LALO _T0001117.pdf</t>
        </is>
      </c>
      <c r="B2496">
        <f>HYPERLINK("C:\Users\lmonroy\Tema\PLANILLAS\Boletas 16 - 31 Dic\IRARICA SANCHEZ LALO _T0001117.pdf", "Link")</f>
        <v/>
      </c>
      <c r="C2496" t="n">
        <v>166159</v>
      </c>
      <c r="D2496" t="inlineStr">
        <is>
          <t>2024-03-27 10:13:09</t>
        </is>
      </c>
      <c r="E2496" t="inlineStr">
        <is>
          <t>2024-03-27 10:02:21</t>
        </is>
      </c>
      <c r="F2496" t="inlineStr">
        <is>
          <t>666</t>
        </is>
      </c>
    </row>
    <row r="2497">
      <c r="A2497" t="inlineStr">
        <is>
          <t>IRARICA SANCHEZ LINKER_T0001387.pdf</t>
        </is>
      </c>
      <c r="B2497">
        <f>HYPERLINK("C:\Users\lmonroy\Tema\PLANILLAS\Boletas 16 - 31 Dic\IRARICA SANCHEZ LINKER_T0001387.pdf", "Link")</f>
        <v/>
      </c>
      <c r="C2497" t="n">
        <v>166153</v>
      </c>
      <c r="D2497" t="inlineStr">
        <is>
          <t>2024-03-27 10:18:05</t>
        </is>
      </c>
      <c r="E2497" t="inlineStr">
        <is>
          <t>2024-03-27 10:06:47</t>
        </is>
      </c>
      <c r="F2497" t="inlineStr">
        <is>
          <t>666</t>
        </is>
      </c>
    </row>
    <row r="2498">
      <c r="A2498" t="inlineStr">
        <is>
          <t>JABA MAHUA JAVIER _T0001118.pdf</t>
        </is>
      </c>
      <c r="B2498">
        <f>HYPERLINK("C:\Users\lmonroy\Tema\PLANILLAS\Boletas 16 - 31 Dic\JABA MAHUA JAVIER _T0001118.pdf", "Link")</f>
        <v/>
      </c>
      <c r="C2498" t="n">
        <v>166143</v>
      </c>
      <c r="D2498" t="inlineStr">
        <is>
          <t>2024-03-27 10:19:07</t>
        </is>
      </c>
      <c r="E2498" t="inlineStr">
        <is>
          <t>2024-03-27 10:07:52</t>
        </is>
      </c>
      <c r="F2498" t="inlineStr">
        <is>
          <t>666</t>
        </is>
      </c>
    </row>
    <row r="2499">
      <c r="A2499" t="inlineStr">
        <is>
          <t>JABA MORENO HILDER _T0001119.pdf</t>
        </is>
      </c>
      <c r="B2499">
        <f>HYPERLINK("C:\Users\lmonroy\Tema\PLANILLAS\Boletas 16 - 31 Dic\JABA MORENO HILDER _T0001119.pdf", "Link")</f>
        <v/>
      </c>
      <c r="C2499" t="n">
        <v>166125</v>
      </c>
      <c r="D2499" t="inlineStr">
        <is>
          <t>2024-03-27 10:16:53</t>
        </is>
      </c>
      <c r="E2499" t="inlineStr">
        <is>
          <t>2024-03-27 10:05:30</t>
        </is>
      </c>
      <c r="F2499" t="inlineStr">
        <is>
          <t>666</t>
        </is>
      </c>
    </row>
    <row r="2500">
      <c r="A2500" t="inlineStr">
        <is>
          <t>JABA MORENO LUIS _T0001120.pdf</t>
        </is>
      </c>
      <c r="B2500">
        <f>HYPERLINK("C:\Users\lmonroy\Tema\PLANILLAS\Boletas 16 - 31 Dic\JABA MORENO LUIS _T0001120.pdf", "Link")</f>
        <v/>
      </c>
      <c r="C2500" t="n">
        <v>166159</v>
      </c>
      <c r="D2500" t="inlineStr">
        <is>
          <t>2024-03-27 10:18:15</t>
        </is>
      </c>
      <c r="E2500" t="inlineStr">
        <is>
          <t>2024-03-27 10:06:57</t>
        </is>
      </c>
      <c r="F2500" t="inlineStr">
        <is>
          <t>666</t>
        </is>
      </c>
    </row>
    <row r="2501">
      <c r="A2501" t="inlineStr">
        <is>
          <t>JABA MORENO SALIS _T0001121.pdf</t>
        </is>
      </c>
      <c r="B2501">
        <f>HYPERLINK("C:\Users\lmonroy\Tema\PLANILLAS\Boletas 16 - 31 Dic\JABA MORENO SALIS _T0001121.pdf", "Link")</f>
        <v/>
      </c>
      <c r="C2501" t="n">
        <v>166136</v>
      </c>
      <c r="D2501" t="inlineStr">
        <is>
          <t>2024-03-27 10:16:55</t>
        </is>
      </c>
      <c r="E2501" t="inlineStr">
        <is>
          <t>2024-03-27 10:05:32</t>
        </is>
      </c>
      <c r="F2501" t="inlineStr">
        <is>
          <t>666</t>
        </is>
      </c>
    </row>
    <row r="2502">
      <c r="A2502" t="inlineStr">
        <is>
          <t>JABA TORRES CARLOS DANIEL_T0001122.pdf</t>
        </is>
      </c>
      <c r="B2502">
        <f>HYPERLINK("C:\Users\lmonroy\Tema\PLANILLAS\Boletas 16 - 31 Dic\JABA TORRES CARLOS DANIEL_T0001122.pdf", "Link")</f>
        <v/>
      </c>
      <c r="C2502" t="n">
        <v>166129</v>
      </c>
      <c r="D2502" t="inlineStr">
        <is>
          <t>2024-03-27 10:16:40</t>
        </is>
      </c>
      <c r="E2502" t="inlineStr">
        <is>
          <t>2024-03-27 10:05:17</t>
        </is>
      </c>
      <c r="F2502" t="inlineStr">
        <is>
          <t>666</t>
        </is>
      </c>
    </row>
    <row r="2503">
      <c r="A2503" t="inlineStr">
        <is>
          <t>JABA TORRES JOAGNER _T0001123.pdf</t>
        </is>
      </c>
      <c r="B2503">
        <f>HYPERLINK("C:\Users\lmonroy\Tema\PLANILLAS\Boletas 16 - 31 Dic\JABA TORRES JOAGNER _T0001123.pdf", "Link")</f>
        <v/>
      </c>
      <c r="C2503" t="n">
        <v>166136</v>
      </c>
      <c r="D2503" t="inlineStr">
        <is>
          <t>2024-03-27 10:14:03</t>
        </is>
      </c>
      <c r="E2503" t="inlineStr">
        <is>
          <t>2024-03-27 10:03:07</t>
        </is>
      </c>
      <c r="F2503" t="inlineStr">
        <is>
          <t>666</t>
        </is>
      </c>
    </row>
    <row r="2504">
      <c r="A2504" t="inlineStr">
        <is>
          <t>JABA TORRES LUIS_T0001386.pdf</t>
        </is>
      </c>
      <c r="B2504">
        <f>HYPERLINK("C:\Users\lmonroy\Tema\PLANILLAS\Boletas 16 - 31 Dic\JABA TORRES LUIS_T0001386.pdf", "Link")</f>
        <v/>
      </c>
      <c r="C2504" t="n">
        <v>166134</v>
      </c>
      <c r="D2504" t="inlineStr">
        <is>
          <t>2024-03-27 10:14:18</t>
        </is>
      </c>
      <c r="E2504" t="inlineStr">
        <is>
          <t>2024-03-27 10:03:20</t>
        </is>
      </c>
      <c r="F2504" t="inlineStr">
        <is>
          <t>666</t>
        </is>
      </c>
    </row>
    <row r="2505">
      <c r="A2505" t="inlineStr">
        <is>
          <t>JABA TORRES NIXON _T0001124.pdf</t>
        </is>
      </c>
      <c r="B2505">
        <f>HYPERLINK("C:\Users\lmonroy\Tema\PLANILLAS\Boletas 16 - 31 Dic\JABA TORRES NIXON _T0001124.pdf", "Link")</f>
        <v/>
      </c>
      <c r="C2505" t="n">
        <v>166164</v>
      </c>
      <c r="D2505" t="inlineStr">
        <is>
          <t>2024-03-27 10:13:58</t>
        </is>
      </c>
      <c r="E2505" t="inlineStr">
        <is>
          <t>2024-03-27 10:03:03</t>
        </is>
      </c>
      <c r="F2505" t="inlineStr">
        <is>
          <t>666</t>
        </is>
      </c>
    </row>
    <row r="2506">
      <c r="A2506" t="inlineStr">
        <is>
          <t>JAVA RIOS ADRIANO _T0001125.pdf</t>
        </is>
      </c>
      <c r="B2506">
        <f>HYPERLINK("C:\Users\lmonroy\Tema\PLANILLAS\Boletas 16 - 31 Dic\JAVA RIOS ADRIANO _T0001125.pdf", "Link")</f>
        <v/>
      </c>
      <c r="C2506" t="n">
        <v>166170</v>
      </c>
      <c r="D2506" t="inlineStr">
        <is>
          <t>2024-03-27 10:16:21</t>
        </is>
      </c>
      <c r="E2506" t="inlineStr">
        <is>
          <t>2024-03-27 10:05:00</t>
        </is>
      </c>
      <c r="F2506" t="inlineStr">
        <is>
          <t>666</t>
        </is>
      </c>
    </row>
    <row r="2507">
      <c r="A2507" t="inlineStr">
        <is>
          <t>JAVA RIOS BILLY _T0001126.pdf</t>
        </is>
      </c>
      <c r="B2507">
        <f>HYPERLINK("C:\Users\lmonroy\Tema\PLANILLAS\Boletas 16 - 31 Dic\JAVA RIOS BILLY _T0001126.pdf", "Link")</f>
        <v/>
      </c>
      <c r="C2507" t="n">
        <v>166159</v>
      </c>
      <c r="D2507" t="inlineStr">
        <is>
          <t>2024-03-27 10:16:22</t>
        </is>
      </c>
      <c r="E2507" t="inlineStr">
        <is>
          <t>2024-03-27 10:05:01</t>
        </is>
      </c>
      <c r="F2507" t="inlineStr">
        <is>
          <t>666</t>
        </is>
      </c>
    </row>
    <row r="2508">
      <c r="A2508" t="inlineStr">
        <is>
          <t>JAVA RIOS PLACIDO _T0001127.pdf</t>
        </is>
      </c>
      <c r="B2508">
        <f>HYPERLINK("C:\Users\lmonroy\Tema\PLANILLAS\Boletas 16 - 31 Dic\JAVA RIOS PLACIDO _T0001127.pdf", "Link")</f>
        <v/>
      </c>
      <c r="C2508" t="n">
        <v>166145</v>
      </c>
      <c r="D2508" t="inlineStr">
        <is>
          <t>2024-03-27 10:16:18</t>
        </is>
      </c>
      <c r="E2508" t="inlineStr">
        <is>
          <t>2024-03-27 10:04:58</t>
        </is>
      </c>
      <c r="F2508" t="inlineStr">
        <is>
          <t>666</t>
        </is>
      </c>
    </row>
    <row r="2509">
      <c r="A2509" t="inlineStr">
        <is>
          <t>JAVA RIOS WEIDER_T0001379.pdf</t>
        </is>
      </c>
      <c r="B2509">
        <f>HYPERLINK("C:\Users\lmonroy\Tema\PLANILLAS\Boletas 16 - 31 Dic\JAVA RIOS WEIDER_T0001379.pdf", "Link")</f>
        <v/>
      </c>
      <c r="C2509" t="n">
        <v>166117</v>
      </c>
      <c r="D2509" t="inlineStr">
        <is>
          <t>2024-03-27 10:16:20</t>
        </is>
      </c>
      <c r="E2509" t="inlineStr">
        <is>
          <t>2024-03-27 10:04:59</t>
        </is>
      </c>
      <c r="F2509" t="inlineStr">
        <is>
          <t>666</t>
        </is>
      </c>
    </row>
    <row r="2510">
      <c r="A2510" t="inlineStr">
        <is>
          <t>JAVA TORRES DARWIN_T0001378.pdf</t>
        </is>
      </c>
      <c r="B2510">
        <f>HYPERLINK("C:\Users\lmonroy\Tema\PLANILLAS\Boletas 16 - 31 Dic\JAVA TORRES DARWIN_T0001378.pdf", "Link")</f>
        <v/>
      </c>
      <c r="C2510" t="n">
        <v>166188</v>
      </c>
      <c r="D2510" t="inlineStr">
        <is>
          <t>2024-03-27 10:13:15</t>
        </is>
      </c>
      <c r="E2510" t="inlineStr">
        <is>
          <t>2024-03-27 10:02:27</t>
        </is>
      </c>
      <c r="F2510" t="inlineStr">
        <is>
          <t>666</t>
        </is>
      </c>
    </row>
    <row r="2511">
      <c r="A2511" t="inlineStr">
        <is>
          <t>JESUS SANDI SEGUNDO _T0001128.pdf</t>
        </is>
      </c>
      <c r="B2511">
        <f>HYPERLINK("C:\Users\lmonroy\Tema\PLANILLAS\Boletas 16 - 31 Dic\JESUS SANDI SEGUNDO _T0001128.pdf", "Link")</f>
        <v/>
      </c>
      <c r="C2511" t="n">
        <v>166149</v>
      </c>
      <c r="D2511" t="inlineStr">
        <is>
          <t>2024-03-27 10:18:09</t>
        </is>
      </c>
      <c r="E2511" t="inlineStr">
        <is>
          <t>2024-03-27 10:06:52</t>
        </is>
      </c>
      <c r="F2511" t="inlineStr">
        <is>
          <t>666</t>
        </is>
      </c>
    </row>
    <row r="2512">
      <c r="A2512" t="inlineStr">
        <is>
          <t>JOGUISTA INUMA JOSE _T0001131.pdf</t>
        </is>
      </c>
      <c r="B2512">
        <f>HYPERLINK("C:\Users\lmonroy\Tema\PLANILLAS\Boletas 16 - 31 Dic\JOGUISTA INUMA JOSE _T0001131.pdf", "Link")</f>
        <v/>
      </c>
      <c r="C2512" t="n">
        <v>166144</v>
      </c>
      <c r="D2512" t="inlineStr">
        <is>
          <t>2024-03-27 10:15:26</t>
        </is>
      </c>
      <c r="E2512" t="inlineStr">
        <is>
          <t>2024-03-27 10:04:14</t>
        </is>
      </c>
      <c r="F2512" t="inlineStr">
        <is>
          <t>666</t>
        </is>
      </c>
    </row>
    <row r="2513">
      <c r="A2513" t="inlineStr">
        <is>
          <t>JOGUISTA INUMA SEGUNDO _T0001130.pdf</t>
        </is>
      </c>
      <c r="B2513">
        <f>HYPERLINK("C:\Users\lmonroy\Tema\PLANILLAS\Boletas 16 - 31 Dic\JOGUISTA INUMA SEGUNDO _T0001130.pdf", "Link")</f>
        <v/>
      </c>
      <c r="C2513" t="n">
        <v>166153</v>
      </c>
      <c r="D2513" t="inlineStr">
        <is>
          <t>2024-03-27 10:14:36</t>
        </is>
      </c>
      <c r="E2513" t="inlineStr">
        <is>
          <t>2024-03-27 10:03:35</t>
        </is>
      </c>
      <c r="F2513" t="inlineStr">
        <is>
          <t>666</t>
        </is>
      </c>
    </row>
    <row r="2514">
      <c r="A2514" t="inlineStr">
        <is>
          <t>JOGUISTA MACUSI JUAN _T0001132.pdf</t>
        </is>
      </c>
      <c r="B2514">
        <f>HYPERLINK("C:\Users\lmonroy\Tema\PLANILLAS\Boletas 16 - 31 Dic\JOGUISTA MACUSI JUAN _T0001132.pdf", "Link")</f>
        <v/>
      </c>
      <c r="C2514" t="n">
        <v>166140</v>
      </c>
      <c r="D2514" t="inlineStr">
        <is>
          <t>2024-03-27 10:15:10</t>
        </is>
      </c>
      <c r="E2514" t="inlineStr">
        <is>
          <t>2024-03-27 10:04:02</t>
        </is>
      </c>
      <c r="F2514" t="inlineStr">
        <is>
          <t>666</t>
        </is>
      </c>
    </row>
    <row r="2515">
      <c r="A2515" t="inlineStr">
        <is>
          <t>JOGUISTA MACUSI JUAN _T0001133.pdf</t>
        </is>
      </c>
      <c r="B2515">
        <f>HYPERLINK("C:\Users\lmonroy\Tema\PLANILLAS\Boletas 16 - 31 Dic\JOGUISTA MACUSI JUAN _T0001133.pdf", "Link")</f>
        <v/>
      </c>
      <c r="C2515" t="n">
        <v>166144</v>
      </c>
      <c r="D2515" t="inlineStr">
        <is>
          <t>2024-03-27 10:18:35</t>
        </is>
      </c>
      <c r="E2515" t="inlineStr">
        <is>
          <t>2024-03-27 10:07:18</t>
        </is>
      </c>
      <c r="F2515" t="inlineStr">
        <is>
          <t>666</t>
        </is>
      </c>
    </row>
    <row r="2516">
      <c r="A2516" t="inlineStr">
        <is>
          <t>JOGUISTA MACUSI RIGOBERTO _T0001134.pdf</t>
        </is>
      </c>
      <c r="B2516">
        <f>HYPERLINK("C:\Users\lmonroy\Tema\PLANILLAS\Boletas 16 - 31 Dic\JOGUISTA MACUSI RIGOBERTO _T0001134.pdf", "Link")</f>
        <v/>
      </c>
      <c r="C2516" t="n">
        <v>166157</v>
      </c>
      <c r="D2516" t="inlineStr">
        <is>
          <t>2024-03-27 10:18:22</t>
        </is>
      </c>
      <c r="E2516" t="inlineStr">
        <is>
          <t>2024-03-27 10:07:05</t>
        </is>
      </c>
      <c r="F2516" t="inlineStr">
        <is>
          <t>666</t>
        </is>
      </c>
    </row>
    <row r="2517">
      <c r="A2517" t="inlineStr">
        <is>
          <t>JOGUISTA MACUSI SEGUNDO _T0001136.pdf</t>
        </is>
      </c>
      <c r="B2517">
        <f>HYPERLINK("C:\Users\lmonroy\Tema\PLANILLAS\Boletas 16 - 31 Dic\JOGUISTA MACUSI SEGUNDO _T0001136.pdf", "Link")</f>
        <v/>
      </c>
      <c r="C2517" t="n">
        <v>166336</v>
      </c>
      <c r="D2517" t="inlineStr">
        <is>
          <t>2024-03-27 10:13:47</t>
        </is>
      </c>
      <c r="E2517" t="inlineStr">
        <is>
          <t>2024-03-27 10:02:54</t>
        </is>
      </c>
      <c r="F2517" t="inlineStr">
        <is>
          <t>666</t>
        </is>
      </c>
    </row>
    <row r="2518">
      <c r="A2518" t="inlineStr">
        <is>
          <t>JOGUISTA OJAICATE ITAMAR _T0001137.pdf</t>
        </is>
      </c>
      <c r="B2518">
        <f>HYPERLINK("C:\Users\lmonroy\Tema\PLANILLAS\Boletas 16 - 31 Dic\JOGUISTA OJAICATE ITAMAR _T0001137.pdf", "Link")</f>
        <v/>
      </c>
      <c r="C2518" t="n">
        <v>166153</v>
      </c>
      <c r="D2518" t="inlineStr">
        <is>
          <t>2024-03-27 10:16:51</t>
        </is>
      </c>
      <c r="E2518" t="inlineStr">
        <is>
          <t>2024-03-27 10:05:28</t>
        </is>
      </c>
      <c r="F2518" t="inlineStr">
        <is>
          <t>666</t>
        </is>
      </c>
    </row>
    <row r="2519">
      <c r="A2519" t="inlineStr">
        <is>
          <t>JOGUISTA RIOS JOSE _T0001138.pdf</t>
        </is>
      </c>
      <c r="B2519">
        <f>HYPERLINK("C:\Users\lmonroy\Tema\PLANILLAS\Boletas 16 - 31 Dic\JOGUISTA RIOS JOSE _T0001138.pdf", "Link")</f>
        <v/>
      </c>
      <c r="C2519" t="n">
        <v>166135</v>
      </c>
      <c r="D2519" t="inlineStr">
        <is>
          <t>2024-03-27 10:18:00</t>
        </is>
      </c>
      <c r="E2519" t="inlineStr">
        <is>
          <t>2024-03-27 10:06:41</t>
        </is>
      </c>
      <c r="F2519" t="inlineStr">
        <is>
          <t>666</t>
        </is>
      </c>
    </row>
    <row r="2520">
      <c r="A2520" t="inlineStr">
        <is>
          <t>JOQUISTA MACUSI ROBINSON _T0001135.pdf</t>
        </is>
      </c>
      <c r="B2520">
        <f>HYPERLINK("C:\Users\lmonroy\Tema\PLANILLAS\Boletas 16 - 31 Dic\JOQUISTA MACUSI ROBINSON _T0001135.pdf", "Link")</f>
        <v/>
      </c>
      <c r="C2520" t="n">
        <v>166160</v>
      </c>
      <c r="D2520" t="inlineStr">
        <is>
          <t>2024-03-27 10:14:07</t>
        </is>
      </c>
      <c r="E2520" t="inlineStr">
        <is>
          <t>2024-03-27 10:03:11</t>
        </is>
      </c>
      <c r="F2520" t="inlineStr">
        <is>
          <t>666</t>
        </is>
      </c>
    </row>
    <row r="2521">
      <c r="A2521" t="inlineStr">
        <is>
          <t>JUMACHI PIZANGO ERMENEGILDO_T0001477.pdf</t>
        </is>
      </c>
      <c r="B2521">
        <f>HYPERLINK("C:\Users\lmonroy\Tema\PLANILLAS\Boletas 16 - 31 Dic\JUMACHI PIZANGO ERMENEGILDO_T0001477.pdf", "Link")</f>
        <v/>
      </c>
      <c r="C2521" t="n">
        <v>166342</v>
      </c>
      <c r="D2521" t="inlineStr">
        <is>
          <t>2024-03-27 10:12:27</t>
        </is>
      </c>
      <c r="E2521" t="inlineStr">
        <is>
          <t>2024-03-27 10:01:46</t>
        </is>
      </c>
      <c r="F2521" t="inlineStr">
        <is>
          <t>666</t>
        </is>
      </c>
    </row>
    <row r="2522">
      <c r="A2522" t="inlineStr">
        <is>
          <t>LAICHI DELGADO DEYVIS GILBERTO_T0001139.pdf</t>
        </is>
      </c>
      <c r="B2522">
        <f>HYPERLINK("C:\Users\lmonroy\Tema\PLANILLAS\Boletas 16 - 31 Dic\LAICHI DELGADO DEYVIS GILBERTO_T0001139.pdf", "Link")</f>
        <v/>
      </c>
      <c r="C2522" t="n">
        <v>166142</v>
      </c>
      <c r="D2522" t="inlineStr">
        <is>
          <t>2024-03-27 10:17:07</t>
        </is>
      </c>
      <c r="E2522" t="inlineStr">
        <is>
          <t>2024-03-27 10:05:45</t>
        </is>
      </c>
      <c r="F2522" t="inlineStr">
        <is>
          <t>666</t>
        </is>
      </c>
    </row>
    <row r="2523">
      <c r="A2523" t="inlineStr">
        <is>
          <t>LAVAJOS VELA GILBERTO _T0001140.pdf</t>
        </is>
      </c>
      <c r="B2523">
        <f>HYPERLINK("C:\Users\lmonroy\Tema\PLANILLAS\Boletas 16 - 31 Dic\LAVAJOS VELA GILBERTO _T0001140.pdf", "Link")</f>
        <v/>
      </c>
      <c r="C2523" t="n">
        <v>166323</v>
      </c>
      <c r="D2523" t="inlineStr">
        <is>
          <t>2024-03-27 10:17:55</t>
        </is>
      </c>
      <c r="E2523" t="inlineStr">
        <is>
          <t>2024-03-27 10:06:36</t>
        </is>
      </c>
      <c r="F2523" t="inlineStr">
        <is>
          <t>666</t>
        </is>
      </c>
    </row>
    <row r="2524">
      <c r="A2524" t="inlineStr">
        <is>
          <t>LLERENA TORRES MILTON _T0001141.pdf</t>
        </is>
      </c>
      <c r="B2524">
        <f>HYPERLINK("C:\Users\lmonroy\Tema\PLANILLAS\Boletas 16 - 31 Dic\LLERENA TORRES MILTON _T0001141.pdf", "Link")</f>
        <v/>
      </c>
      <c r="C2524" t="n">
        <v>166347</v>
      </c>
      <c r="D2524" t="inlineStr">
        <is>
          <t>2024-03-27 10:19:26</t>
        </is>
      </c>
      <c r="E2524" t="inlineStr">
        <is>
          <t>2024-03-27 10:08:10</t>
        </is>
      </c>
      <c r="F2524" t="inlineStr">
        <is>
          <t>666</t>
        </is>
      </c>
    </row>
    <row r="2525">
      <c r="A2525" t="inlineStr">
        <is>
          <t>LOMAS PACAYA MARCOS LUIS_T0001142.pdf</t>
        </is>
      </c>
      <c r="B2525">
        <f>HYPERLINK("C:\Users\lmonroy\Tema\PLANILLAS\Boletas 16 - 31 Dic\LOMAS PACAYA MARCOS LUIS_T0001142.pdf", "Link")</f>
        <v/>
      </c>
      <c r="C2525" t="n">
        <v>166091</v>
      </c>
      <c r="D2525" t="inlineStr">
        <is>
          <t>2024-03-27 10:17:35</t>
        </is>
      </c>
      <c r="E2525" t="inlineStr">
        <is>
          <t>2024-03-27 10:06:15</t>
        </is>
      </c>
      <c r="F2525" t="inlineStr">
        <is>
          <t>666</t>
        </is>
      </c>
    </row>
    <row r="2526">
      <c r="A2526" t="inlineStr">
        <is>
          <t>LOPEZ CUNAYA ROBERTO_T0001506.pdf</t>
        </is>
      </c>
      <c r="B2526">
        <f>HYPERLINK("C:\Users\lmonroy\Tema\PLANILLAS\Boletas 16 - 31 Dic\LOPEZ CUNAYA ROBERTO_T0001506.pdf", "Link")</f>
        <v/>
      </c>
      <c r="C2526" t="n">
        <v>166298</v>
      </c>
      <c r="D2526" t="inlineStr">
        <is>
          <t>2024-03-27 10:15:59</t>
        </is>
      </c>
      <c r="E2526" t="inlineStr">
        <is>
          <t>2024-03-27 10:04:42</t>
        </is>
      </c>
      <c r="F2526" t="inlineStr">
        <is>
          <t>666</t>
        </is>
      </c>
    </row>
    <row r="2527">
      <c r="A2527" t="inlineStr">
        <is>
          <t>LOPEZ JOGUISTA ESTEBAN _T0001144.pdf</t>
        </is>
      </c>
      <c r="B2527">
        <f>HYPERLINK("C:\Users\lmonroy\Tema\PLANILLAS\Boletas 16 - 31 Dic\LOPEZ JOGUISTA ESTEBAN _T0001144.pdf", "Link")</f>
        <v/>
      </c>
      <c r="C2527" t="n">
        <v>166144</v>
      </c>
      <c r="D2527" t="inlineStr">
        <is>
          <t>2024-03-27 10:17:42</t>
        </is>
      </c>
      <c r="E2527" t="inlineStr">
        <is>
          <t>2024-03-27 10:06:22</t>
        </is>
      </c>
      <c r="F2527" t="inlineStr">
        <is>
          <t>666</t>
        </is>
      </c>
    </row>
    <row r="2528">
      <c r="A2528" t="inlineStr">
        <is>
          <t>LOPEZ JOGUISTA JOSE _T0001145.pdf</t>
        </is>
      </c>
      <c r="B2528">
        <f>HYPERLINK("C:\Users\lmonroy\Tema\PLANILLAS\Boletas 16 - 31 Dic\LOPEZ JOGUISTA JOSE _T0001145.pdf", "Link")</f>
        <v/>
      </c>
      <c r="C2528" t="n">
        <v>166332</v>
      </c>
      <c r="D2528" t="inlineStr">
        <is>
          <t>2024-03-27 10:17:45</t>
        </is>
      </c>
      <c r="E2528" t="inlineStr">
        <is>
          <t>2024-03-27 10:06:25</t>
        </is>
      </c>
      <c r="F2528" t="inlineStr">
        <is>
          <t>666</t>
        </is>
      </c>
    </row>
    <row r="2529">
      <c r="A2529" t="inlineStr">
        <is>
          <t>LOPEZ JOGUISTA RUSBEL _T0001146.pdf</t>
        </is>
      </c>
      <c r="B2529">
        <f>HYPERLINK("C:\Users\lmonroy\Tema\PLANILLAS\Boletas 16 - 31 Dic\LOPEZ JOGUISTA RUSBEL _T0001146.pdf", "Link")</f>
        <v/>
      </c>
      <c r="C2529" t="n">
        <v>166150</v>
      </c>
      <c r="D2529" t="inlineStr">
        <is>
          <t>2024-03-27 10:14:51</t>
        </is>
      </c>
      <c r="E2529" t="inlineStr">
        <is>
          <t>2024-03-27 10:03:47</t>
        </is>
      </c>
      <c r="F2529" t="inlineStr">
        <is>
          <t>666</t>
        </is>
      </c>
    </row>
    <row r="2530">
      <c r="A2530" t="inlineStr">
        <is>
          <t>LOPEZ MACUSI ANTONI_T0001147.pdf</t>
        </is>
      </c>
      <c r="B2530">
        <f>HYPERLINK("C:\Users\lmonroy\Tema\PLANILLAS\Boletas 16 - 31 Dic\LOPEZ MACUSI ANTONI_T0001147.pdf", "Link")</f>
        <v/>
      </c>
      <c r="C2530" t="n">
        <v>166176</v>
      </c>
      <c r="D2530" t="inlineStr">
        <is>
          <t>2024-03-27 10:18:04</t>
        </is>
      </c>
      <c r="E2530" t="inlineStr">
        <is>
          <t>2024-03-27 10:06:46</t>
        </is>
      </c>
      <c r="F2530" t="inlineStr">
        <is>
          <t>666</t>
        </is>
      </c>
    </row>
    <row r="2531">
      <c r="A2531" t="inlineStr">
        <is>
          <t>LOPEZ MACUSI CUSTODIO _T0001148.pdf</t>
        </is>
      </c>
      <c r="B2531">
        <f>HYPERLINK("C:\Users\lmonroy\Tema\PLANILLAS\Boletas 16 - 31 Dic\LOPEZ MACUSI CUSTODIO _T0001148.pdf", "Link")</f>
        <v/>
      </c>
      <c r="C2531" t="n">
        <v>166143</v>
      </c>
      <c r="D2531" t="inlineStr">
        <is>
          <t>2024-03-27 10:18:02</t>
        </is>
      </c>
      <c r="E2531" t="inlineStr">
        <is>
          <t>2024-03-27 10:06:44</t>
        </is>
      </c>
      <c r="F2531" t="inlineStr">
        <is>
          <t>666</t>
        </is>
      </c>
    </row>
    <row r="2532">
      <c r="A2532" t="inlineStr">
        <is>
          <t>LOPEZ MACUSI LUIS _T0001149.pdf</t>
        </is>
      </c>
      <c r="B2532">
        <f>HYPERLINK("C:\Users\lmonroy\Tema\PLANILLAS\Boletas 16 - 31 Dic\LOPEZ MACUSI LUIS _T0001149.pdf", "Link")</f>
        <v/>
      </c>
      <c r="C2532" t="n">
        <v>166143</v>
      </c>
      <c r="D2532" t="inlineStr">
        <is>
          <t>2024-03-27 10:13:18</t>
        </is>
      </c>
      <c r="E2532" t="inlineStr">
        <is>
          <t>2024-03-27 10:02:29</t>
        </is>
      </c>
      <c r="F2532" t="inlineStr">
        <is>
          <t>666</t>
        </is>
      </c>
    </row>
    <row r="2533">
      <c r="A2533" t="inlineStr">
        <is>
          <t>LOPEZ MACUSI SEGUNDO CUSTODIO_T0001150.pdf</t>
        </is>
      </c>
      <c r="B2533">
        <f>HYPERLINK("C:\Users\lmonroy\Tema\PLANILLAS\Boletas 16 - 31 Dic\LOPEZ MACUSI SEGUNDO CUSTODIO_T0001150.pdf", "Link")</f>
        <v/>
      </c>
      <c r="C2533" t="n">
        <v>166167</v>
      </c>
      <c r="D2533" t="inlineStr">
        <is>
          <t>2024-03-27 10:18:01</t>
        </is>
      </c>
      <c r="E2533" t="inlineStr">
        <is>
          <t>2024-03-27 10:06:43</t>
        </is>
      </c>
      <c r="F2533" t="inlineStr">
        <is>
          <t>666</t>
        </is>
      </c>
    </row>
    <row r="2534">
      <c r="A2534" t="inlineStr">
        <is>
          <t>LOPEZ RODRIGUEZ DILMER AROLDO_T0001151.pdf</t>
        </is>
      </c>
      <c r="B2534">
        <f>HYPERLINK("C:\Users\lmonroy\Tema\PLANILLAS\Boletas 16 - 31 Dic\LOPEZ RODRIGUEZ DILMER AROLDO_T0001151.pdf", "Link")</f>
        <v/>
      </c>
      <c r="C2534" t="n">
        <v>166145</v>
      </c>
      <c r="D2534" t="inlineStr">
        <is>
          <t>2024-03-27 10:17:52</t>
        </is>
      </c>
      <c r="E2534" t="inlineStr">
        <is>
          <t>2024-03-27 10:06:33</t>
        </is>
      </c>
      <c r="F2534" t="inlineStr">
        <is>
          <t>666</t>
        </is>
      </c>
    </row>
    <row r="2535">
      <c r="A2535" t="inlineStr">
        <is>
          <t>LÓPEZ VELA MARCIAL _T0001152.pdf</t>
        </is>
      </c>
      <c r="B2535">
        <f>HYPERLINK("C:\Users\lmonroy\Tema\PLANILLAS\Boletas 16 - 31 Dic\LÓPEZ VELA MARCIAL _T0001152.pdf", "Link")</f>
        <v/>
      </c>
      <c r="C2535" t="n">
        <v>166138</v>
      </c>
      <c r="D2535" t="inlineStr">
        <is>
          <t>2024-03-27 10:14:26</t>
        </is>
      </c>
      <c r="E2535" t="inlineStr">
        <is>
          <t>2024-03-27 10:03:27</t>
        </is>
      </c>
      <c r="F2535" t="inlineStr">
        <is>
          <t>666</t>
        </is>
      </c>
    </row>
    <row r="2536">
      <c r="A2536" t="inlineStr">
        <is>
          <t>MACAYO YAICATE ABRAHAN _T0001153.pdf</t>
        </is>
      </c>
      <c r="B2536">
        <f>HYPERLINK("C:\Users\lmonroy\Tema\PLANILLAS\Boletas 16 - 31 Dic\MACAYO YAICATE ABRAHAN _T0001153.pdf", "Link")</f>
        <v/>
      </c>
      <c r="C2536" t="n">
        <v>166341</v>
      </c>
      <c r="D2536" t="inlineStr">
        <is>
          <t>2024-03-27 10:12:35</t>
        </is>
      </c>
      <c r="E2536" t="inlineStr">
        <is>
          <t>2024-03-27 10:01:52</t>
        </is>
      </c>
      <c r="F2536" t="inlineStr">
        <is>
          <t>666</t>
        </is>
      </c>
    </row>
    <row r="2537">
      <c r="A2537" t="inlineStr">
        <is>
          <t>MACAYO YAICATE MARDEN _T0001154.pdf</t>
        </is>
      </c>
      <c r="B2537">
        <f>HYPERLINK("C:\Users\lmonroy\Tema\PLANILLAS\Boletas 16 - 31 Dic\MACAYO YAICATE MARDEN _T0001154.pdf", "Link")</f>
        <v/>
      </c>
      <c r="C2537" t="n">
        <v>166323</v>
      </c>
      <c r="D2537" t="inlineStr">
        <is>
          <t>2024-03-27 10:13:34</t>
        </is>
      </c>
      <c r="E2537" t="inlineStr">
        <is>
          <t>2024-03-27 10:02:43</t>
        </is>
      </c>
      <c r="F2537" t="inlineStr">
        <is>
          <t>666</t>
        </is>
      </c>
    </row>
    <row r="2538">
      <c r="A2538" t="inlineStr">
        <is>
          <t>MACEDO TRIGOSO ANTHONY NICK_T0001155.pdf</t>
        </is>
      </c>
      <c r="B2538">
        <f>HYPERLINK("C:\Users\lmonroy\Tema\PLANILLAS\Boletas 16 - 31 Dic\MACEDO TRIGOSO ANTHONY NICK_T0001155.pdf", "Link")</f>
        <v/>
      </c>
      <c r="C2538" t="n">
        <v>166387</v>
      </c>
      <c r="D2538" t="inlineStr">
        <is>
          <t>2024-03-27 10:13:29</t>
        </is>
      </c>
      <c r="E2538" t="inlineStr">
        <is>
          <t>2024-03-27 10:02:38</t>
        </is>
      </c>
      <c r="F2538" t="inlineStr">
        <is>
          <t>666</t>
        </is>
      </c>
    </row>
    <row r="2539">
      <c r="A2539" t="inlineStr">
        <is>
          <t>MACUSI AHUITE ARTEMIO_T0001453.pdf</t>
        </is>
      </c>
      <c r="B2539">
        <f>HYPERLINK("C:\Users\lmonroy\Tema\PLANILLAS\Boletas 16 - 31 Dic\MACUSI AHUITE ARTEMIO_T0001453.pdf", "Link")</f>
        <v/>
      </c>
      <c r="C2539" t="n">
        <v>166139</v>
      </c>
      <c r="D2539" t="inlineStr">
        <is>
          <t>2024-03-27 10:12:56</t>
        </is>
      </c>
      <c r="E2539" t="inlineStr">
        <is>
          <t>2024-03-27 10:02:10</t>
        </is>
      </c>
      <c r="F2539" t="inlineStr">
        <is>
          <t>666</t>
        </is>
      </c>
    </row>
    <row r="2540">
      <c r="A2540" t="inlineStr">
        <is>
          <t>MACUSI AHUITE MANUEL _T0001157.pdf</t>
        </is>
      </c>
      <c r="B2540">
        <f>HYPERLINK("C:\Users\lmonroy\Tema\PLANILLAS\Boletas 16 - 31 Dic\MACUSI AHUITE MANUEL _T0001157.pdf", "Link")</f>
        <v/>
      </c>
      <c r="C2540" t="n">
        <v>166113</v>
      </c>
      <c r="D2540" t="inlineStr">
        <is>
          <t>2024-03-27 10:13:23</t>
        </is>
      </c>
      <c r="E2540" t="inlineStr">
        <is>
          <t>2024-03-27 10:02:33</t>
        </is>
      </c>
      <c r="F2540" t="inlineStr">
        <is>
          <t>666</t>
        </is>
      </c>
    </row>
    <row r="2541">
      <c r="A2541" t="inlineStr">
        <is>
          <t>MACUSI ARAHUATA MIMBER_T0001507.pdf</t>
        </is>
      </c>
      <c r="B2541">
        <f>HYPERLINK("C:\Users\lmonroy\Tema\PLANILLAS\Boletas 16 - 31 Dic\MACUSI ARAHUATA MIMBER_T0001507.pdf", "Link")</f>
        <v/>
      </c>
      <c r="C2541" t="n">
        <v>166298</v>
      </c>
      <c r="D2541" t="inlineStr">
        <is>
          <t>2024-03-27 10:18:49</t>
        </is>
      </c>
      <c r="E2541" t="inlineStr">
        <is>
          <t>2024-03-27 10:07:33</t>
        </is>
      </c>
      <c r="F2541" t="inlineStr">
        <is>
          <t>666</t>
        </is>
      </c>
    </row>
    <row r="2542">
      <c r="A2542" t="inlineStr">
        <is>
          <t>MACUSI CLEMENTE ALBERTO _T0001159.pdf</t>
        </is>
      </c>
      <c r="B2542">
        <f>HYPERLINK("C:\Users\lmonroy\Tema\PLANILLAS\Boletas 16 - 31 Dic\MACUSI CLEMENTE ALBERTO _T0001159.pdf", "Link")</f>
        <v/>
      </c>
      <c r="C2542" t="n">
        <v>166290</v>
      </c>
      <c r="D2542" t="inlineStr">
        <is>
          <t>2024-03-27 10:13:35</t>
        </is>
      </c>
      <c r="E2542" t="inlineStr">
        <is>
          <t>2024-03-27 10:02:44</t>
        </is>
      </c>
      <c r="F2542" t="inlineStr">
        <is>
          <t>666</t>
        </is>
      </c>
    </row>
    <row r="2543">
      <c r="A2543" t="inlineStr">
        <is>
          <t>MACUSI FOGUISTA CUSTODIO _T0001160.pdf</t>
        </is>
      </c>
      <c r="B2543">
        <f>HYPERLINK("C:\Users\lmonroy\Tema\PLANILLAS\Boletas 16 - 31 Dic\MACUSI FOGUISTA CUSTODIO _T0001160.pdf", "Link")</f>
        <v/>
      </c>
      <c r="C2543" t="n">
        <v>166150</v>
      </c>
      <c r="D2543" t="inlineStr">
        <is>
          <t>2024-03-27 10:18:16</t>
        </is>
      </c>
      <c r="E2543" t="inlineStr">
        <is>
          <t>2024-03-27 10:06:59</t>
        </is>
      </c>
      <c r="F2543" t="inlineStr">
        <is>
          <t>666</t>
        </is>
      </c>
    </row>
    <row r="2544">
      <c r="A2544" t="inlineStr">
        <is>
          <t>MACUSI FUGUISTA WILMER_T0001380.pdf</t>
        </is>
      </c>
      <c r="B2544">
        <f>HYPERLINK("C:\Users\lmonroy\Tema\PLANILLAS\Boletas 16 - 31 Dic\MACUSI FUGUISTA WILMER_T0001380.pdf", "Link")</f>
        <v/>
      </c>
      <c r="C2544" t="n">
        <v>166312</v>
      </c>
      <c r="D2544" t="inlineStr">
        <is>
          <t>2024-03-27 10:15:08</t>
        </is>
      </c>
      <c r="E2544" t="inlineStr">
        <is>
          <t>2024-03-27 10:04:00</t>
        </is>
      </c>
      <c r="F2544" t="inlineStr">
        <is>
          <t>666</t>
        </is>
      </c>
    </row>
    <row r="2545">
      <c r="A2545" t="inlineStr">
        <is>
          <t>MACUSI INUMA ISAC_T0001508.pdf</t>
        </is>
      </c>
      <c r="B2545">
        <f>HYPERLINK("C:\Users\lmonroy\Tema\PLANILLAS\Boletas 16 - 31 Dic\MACUSI INUMA ISAC_T0001508.pdf", "Link")</f>
        <v/>
      </c>
      <c r="C2545" t="n">
        <v>166276</v>
      </c>
      <c r="D2545" t="inlineStr">
        <is>
          <t>2024-03-27 10:17:32</t>
        </is>
      </c>
      <c r="E2545" t="inlineStr">
        <is>
          <t>2024-03-27 10:06:12</t>
        </is>
      </c>
      <c r="F2545" t="inlineStr">
        <is>
          <t>666</t>
        </is>
      </c>
    </row>
    <row r="2546">
      <c r="A2546" t="inlineStr">
        <is>
          <t>MACUSI INUMA ROBINSON _T0001162.pdf</t>
        </is>
      </c>
      <c r="B2546">
        <f>HYPERLINK("C:\Users\lmonroy\Tema\PLANILLAS\Boletas 16 - 31 Dic\MACUSI INUMA ROBINSON _T0001162.pdf", "Link")</f>
        <v/>
      </c>
      <c r="C2546" t="n">
        <v>166128</v>
      </c>
      <c r="D2546" t="inlineStr">
        <is>
          <t>2024-03-27 10:15:56</t>
        </is>
      </c>
      <c r="E2546" t="inlineStr">
        <is>
          <t>2024-03-27 10:04:39</t>
        </is>
      </c>
      <c r="F2546" t="inlineStr">
        <is>
          <t>666</t>
        </is>
      </c>
    </row>
    <row r="2547">
      <c r="A2547" t="inlineStr">
        <is>
          <t>MACUSI INUMA RUBEL _T0001163.pdf</t>
        </is>
      </c>
      <c r="B2547">
        <f>HYPERLINK("C:\Users\lmonroy\Tema\PLANILLAS\Boletas 16 - 31 Dic\MACUSI INUMA RUBEL _T0001163.pdf", "Link")</f>
        <v/>
      </c>
      <c r="C2547" t="n">
        <v>166149</v>
      </c>
      <c r="D2547" t="inlineStr">
        <is>
          <t>2024-03-27 10:15:57</t>
        </is>
      </c>
      <c r="E2547" t="inlineStr">
        <is>
          <t>2024-03-27 10:04:40</t>
        </is>
      </c>
      <c r="F2547" t="inlineStr">
        <is>
          <t>666</t>
        </is>
      </c>
    </row>
    <row r="2548">
      <c r="A2548" t="inlineStr">
        <is>
          <t>MACUSI INUMA WILDER _T0001164.pdf</t>
        </is>
      </c>
      <c r="B2548">
        <f>HYPERLINK("C:\Users\lmonroy\Tema\PLANILLAS\Boletas 16 - 31 Dic\MACUSI INUMA WILDER _T0001164.pdf", "Link")</f>
        <v/>
      </c>
      <c r="C2548" t="n">
        <v>166150</v>
      </c>
      <c r="D2548" t="inlineStr">
        <is>
          <t>2024-03-27 10:17:10</t>
        </is>
      </c>
      <c r="E2548" t="inlineStr">
        <is>
          <t>2024-03-27 10:05:48</t>
        </is>
      </c>
      <c r="F2548" t="inlineStr">
        <is>
          <t>666</t>
        </is>
      </c>
    </row>
    <row r="2549">
      <c r="A2549" t="inlineStr">
        <is>
          <t>MACUSI JOGUISTA HUMBERTO _T0001165.pdf</t>
        </is>
      </c>
      <c r="B2549">
        <f>HYPERLINK("C:\Users\lmonroy\Tema\PLANILLAS\Boletas 16 - 31 Dic\MACUSI JOGUISTA HUMBERTO _T0001165.pdf", "Link")</f>
        <v/>
      </c>
      <c r="C2549" t="n">
        <v>166157</v>
      </c>
      <c r="D2549" t="inlineStr">
        <is>
          <t>2024-03-27 10:13:39</t>
        </is>
      </c>
      <c r="E2549" t="inlineStr">
        <is>
          <t>2024-03-27 10:02:47</t>
        </is>
      </c>
      <c r="F2549" t="inlineStr">
        <is>
          <t>666</t>
        </is>
      </c>
    </row>
    <row r="2550">
      <c r="A2550" t="inlineStr">
        <is>
          <t>MACUSI JOGUISTA SANDRO _T0001166.pdf</t>
        </is>
      </c>
      <c r="B2550">
        <f>HYPERLINK("C:\Users\lmonroy\Tema\PLANILLAS\Boletas 16 - 31 Dic\MACUSI JOGUISTA SANDRO _T0001166.pdf", "Link")</f>
        <v/>
      </c>
      <c r="C2550" t="n">
        <v>166128</v>
      </c>
      <c r="D2550" t="inlineStr">
        <is>
          <t>2024-03-27 10:16:17</t>
        </is>
      </c>
      <c r="E2550" t="inlineStr">
        <is>
          <t>2024-03-27 10:04:57</t>
        </is>
      </c>
      <c r="F2550" t="inlineStr">
        <is>
          <t>666</t>
        </is>
      </c>
    </row>
    <row r="2551">
      <c r="A2551" t="inlineStr">
        <is>
          <t>MACUSI JOGUISTA SANTIAGO _T0001167.pdf</t>
        </is>
      </c>
      <c r="B2551">
        <f>HYPERLINK("C:\Users\lmonroy\Tema\PLANILLAS\Boletas 16 - 31 Dic\MACUSI JOGUISTA SANTIAGO _T0001167.pdf", "Link")</f>
        <v/>
      </c>
      <c r="C2551" t="n">
        <v>166150</v>
      </c>
      <c r="D2551" t="inlineStr">
        <is>
          <t>2024-03-27 10:16:12</t>
        </is>
      </c>
      <c r="E2551" t="inlineStr">
        <is>
          <t>2024-03-27 10:04:52</t>
        </is>
      </c>
      <c r="F2551" t="inlineStr">
        <is>
          <t>666</t>
        </is>
      </c>
    </row>
    <row r="2552">
      <c r="A2552" t="inlineStr">
        <is>
          <t>MACUSI LOPEZ ALBERTO _T0001168.pdf</t>
        </is>
      </c>
      <c r="B2552">
        <f>HYPERLINK("C:\Users\lmonroy\Tema\PLANILLAS\Boletas 16 - 31 Dic\MACUSI LOPEZ ALBERTO _T0001168.pdf", "Link")</f>
        <v/>
      </c>
      <c r="C2552" t="n">
        <v>166347</v>
      </c>
      <c r="D2552" t="inlineStr">
        <is>
          <t>2024-03-27 10:14:06</t>
        </is>
      </c>
      <c r="E2552" t="inlineStr">
        <is>
          <t>2024-03-27 10:03:10</t>
        </is>
      </c>
      <c r="F2552" t="inlineStr">
        <is>
          <t>666</t>
        </is>
      </c>
    </row>
    <row r="2553">
      <c r="A2553" t="inlineStr">
        <is>
          <t>MACUSI LOPEZ JOSE_T0001509.pdf</t>
        </is>
      </c>
      <c r="B2553">
        <f>HYPERLINK("C:\Users\lmonroy\Tema\PLANILLAS\Boletas 16 - 31 Dic\MACUSI LOPEZ JOSE_T0001509.pdf", "Link")</f>
        <v/>
      </c>
      <c r="C2553" t="n">
        <v>166303</v>
      </c>
      <c r="D2553" t="inlineStr">
        <is>
          <t>2024-03-27 10:15:45</t>
        </is>
      </c>
      <c r="E2553" t="inlineStr">
        <is>
          <t>2024-03-27 10:04:30</t>
        </is>
      </c>
      <c r="F2553" t="inlineStr">
        <is>
          <t>666</t>
        </is>
      </c>
    </row>
    <row r="2554">
      <c r="A2554" t="inlineStr">
        <is>
          <t>MACUSI OJAICATE CUSTODIO _T0001169.pdf</t>
        </is>
      </c>
      <c r="B2554">
        <f>HYPERLINK("C:\Users\lmonroy\Tema\PLANILLAS\Boletas 16 - 31 Dic\MACUSI OJAICATE CUSTODIO _T0001169.pdf", "Link")</f>
        <v/>
      </c>
      <c r="C2554" t="n">
        <v>166344</v>
      </c>
      <c r="D2554" t="inlineStr">
        <is>
          <t>2024-03-27 10:14:08</t>
        </is>
      </c>
      <c r="E2554" t="inlineStr">
        <is>
          <t>2024-03-27 10:03:11</t>
        </is>
      </c>
      <c r="F2554" t="inlineStr">
        <is>
          <t>666</t>
        </is>
      </c>
    </row>
    <row r="2555">
      <c r="A2555" t="inlineStr">
        <is>
          <t>MACUSI RUFINO MANUEL _T0001170.pdf</t>
        </is>
      </c>
      <c r="B2555">
        <f>HYPERLINK("C:\Users\lmonroy\Tema\PLANILLAS\Boletas 16 - 31 Dic\MACUSI RUFINO MANUEL _T0001170.pdf", "Link")</f>
        <v/>
      </c>
      <c r="C2555" t="n">
        <v>166163</v>
      </c>
      <c r="D2555" t="inlineStr">
        <is>
          <t>2024-03-27 10:18:51</t>
        </is>
      </c>
      <c r="E2555" t="inlineStr">
        <is>
          <t>2024-03-27 10:07:35</t>
        </is>
      </c>
      <c r="F2555" t="inlineStr">
        <is>
          <t>666</t>
        </is>
      </c>
    </row>
    <row r="2556">
      <c r="A2556" t="inlineStr">
        <is>
          <t>MACUSI RUIZ ANTONIO_T0001454.pdf</t>
        </is>
      </c>
      <c r="B2556">
        <f>HYPERLINK("C:\Users\lmonroy\Tema\PLANILLAS\Boletas 16 - 31 Dic\MACUSI RUIZ ANTONIO_T0001454.pdf", "Link")</f>
        <v/>
      </c>
      <c r="C2556" t="n">
        <v>166140</v>
      </c>
      <c r="D2556" t="inlineStr">
        <is>
          <t>2024-03-27 10:18:14</t>
        </is>
      </c>
      <c r="E2556" t="inlineStr">
        <is>
          <t>2024-03-27 10:06:56</t>
        </is>
      </c>
      <c r="F2556" t="inlineStr">
        <is>
          <t>666</t>
        </is>
      </c>
    </row>
    <row r="2557">
      <c r="A2557" t="inlineStr">
        <is>
          <t>MACUSI RUIZ CARLOS _T0001171.pdf</t>
        </is>
      </c>
      <c r="B2557">
        <f>HYPERLINK("C:\Users\lmonroy\Tema\PLANILLAS\Boletas 16 - 31 Dic\MACUSI RUIZ CARLOS _T0001171.pdf", "Link")</f>
        <v/>
      </c>
      <c r="C2557" t="n">
        <v>166325</v>
      </c>
      <c r="D2557" t="inlineStr">
        <is>
          <t>2024-03-27 10:12:39</t>
        </is>
      </c>
      <c r="E2557" t="inlineStr">
        <is>
          <t>2024-03-27 10:01:56</t>
        </is>
      </c>
      <c r="F2557" t="inlineStr">
        <is>
          <t>666</t>
        </is>
      </c>
    </row>
    <row r="2558">
      <c r="A2558" t="inlineStr">
        <is>
          <t>MACUSI VELA IGNACIO _T0001172.pdf</t>
        </is>
      </c>
      <c r="B2558">
        <f>HYPERLINK("C:\Users\lmonroy\Tema\PLANILLAS\Boletas 16 - 31 Dic\MACUSI VELA IGNACIO _T0001172.pdf", "Link")</f>
        <v/>
      </c>
      <c r="C2558" t="n">
        <v>166133</v>
      </c>
      <c r="D2558" t="inlineStr">
        <is>
          <t>2024-03-27 10:15:19</t>
        </is>
      </c>
      <c r="E2558" t="inlineStr">
        <is>
          <t>2024-03-27 10:04:09</t>
        </is>
      </c>
      <c r="F2558" t="inlineStr">
        <is>
          <t>666</t>
        </is>
      </c>
    </row>
    <row r="2559">
      <c r="A2559" t="inlineStr">
        <is>
          <t>MACUSI VELA JACINTO _T0001173.pdf</t>
        </is>
      </c>
      <c r="B2559">
        <f>HYPERLINK("C:\Users\lmonroy\Tema\PLANILLAS\Boletas 16 - 31 Dic\MACUSI VELA JACINTO _T0001173.pdf", "Link")</f>
        <v/>
      </c>
      <c r="C2559" t="n">
        <v>166153</v>
      </c>
      <c r="D2559" t="inlineStr">
        <is>
          <t>2024-03-27 10:14:53</t>
        </is>
      </c>
      <c r="E2559" t="inlineStr">
        <is>
          <t>2024-03-27 10:03:49</t>
        </is>
      </c>
      <c r="F2559" t="inlineStr">
        <is>
          <t>666</t>
        </is>
      </c>
    </row>
    <row r="2560">
      <c r="A2560" t="inlineStr">
        <is>
          <t>MACUSI VELA JORGE_T0001388.pdf</t>
        </is>
      </c>
      <c r="B2560">
        <f>HYPERLINK("C:\Users\lmonroy\Tema\PLANILLAS\Boletas 16 - 31 Dic\MACUSI VELA JORGE_T0001388.pdf", "Link")</f>
        <v/>
      </c>
      <c r="C2560" t="n">
        <v>166134</v>
      </c>
      <c r="D2560" t="inlineStr">
        <is>
          <t>2024-03-27 10:15:44</t>
        </is>
      </c>
      <c r="E2560" t="inlineStr">
        <is>
          <t>2024-03-27 10:04:29</t>
        </is>
      </c>
      <c r="F2560" t="inlineStr">
        <is>
          <t>666</t>
        </is>
      </c>
    </row>
    <row r="2561">
      <c r="A2561" t="inlineStr">
        <is>
          <t>MACUSI VELA JOSE _T0001174.pdf</t>
        </is>
      </c>
      <c r="B2561">
        <f>HYPERLINK("C:\Users\lmonroy\Tema\PLANILLAS\Boletas 16 - 31 Dic\MACUSI VELA JOSE _T0001174.pdf", "Link")</f>
        <v/>
      </c>
      <c r="C2561" t="n">
        <v>166132</v>
      </c>
      <c r="D2561" t="inlineStr">
        <is>
          <t>2024-03-27 10:13:31</t>
        </is>
      </c>
      <c r="E2561" t="inlineStr">
        <is>
          <t>2024-03-27 10:02:40</t>
        </is>
      </c>
      <c r="F2561" t="inlineStr">
        <is>
          <t>666</t>
        </is>
      </c>
    </row>
    <row r="2562">
      <c r="A2562" t="inlineStr">
        <is>
          <t>MACUSI VELA MIGUEL _T0001176.pdf</t>
        </is>
      </c>
      <c r="B2562">
        <f>HYPERLINK("C:\Users\lmonroy\Tema\PLANILLAS\Boletas 16 - 31 Dic\MACUSI VELA MIGUEL _T0001176.pdf", "Link")</f>
        <v/>
      </c>
      <c r="C2562" t="n">
        <v>166143</v>
      </c>
      <c r="D2562" t="inlineStr">
        <is>
          <t>2024-03-27 10:16:43</t>
        </is>
      </c>
      <c r="E2562" t="inlineStr">
        <is>
          <t>2024-03-27 10:05:20</t>
        </is>
      </c>
      <c r="F2562" t="inlineStr">
        <is>
          <t>666</t>
        </is>
      </c>
    </row>
    <row r="2563">
      <c r="A2563" t="inlineStr">
        <is>
          <t>MACUSI VELA MILTON_T0001528.pdf</t>
        </is>
      </c>
      <c r="B2563">
        <f>HYPERLINK("C:\Users\lmonroy\Tema\PLANILLAS\Boletas 16 - 31 Dic\MACUSI VELA MILTON_T0001528.pdf", "Link")</f>
        <v/>
      </c>
      <c r="C2563" t="n">
        <v>166269</v>
      </c>
      <c r="D2563" t="inlineStr">
        <is>
          <t>2024-03-27 10:16:42</t>
        </is>
      </c>
      <c r="E2563" t="inlineStr">
        <is>
          <t>2024-03-27 10:05:19</t>
        </is>
      </c>
      <c r="F2563" t="inlineStr">
        <is>
          <t>666</t>
        </is>
      </c>
    </row>
    <row r="2564">
      <c r="A2564" t="inlineStr">
        <is>
          <t>MACUSI VELA RONALDO _T0001177.pdf</t>
        </is>
      </c>
      <c r="B2564">
        <f>HYPERLINK("C:\Users\lmonroy\Tema\PLANILLAS\Boletas 16 - 31 Dic\MACUSI VELA RONALDO _T0001177.pdf", "Link")</f>
        <v/>
      </c>
      <c r="C2564" t="n">
        <v>166364</v>
      </c>
      <c r="D2564" t="inlineStr">
        <is>
          <t>2024-03-27 10:14:04</t>
        </is>
      </c>
      <c r="E2564" t="inlineStr">
        <is>
          <t>2024-03-27 10:03:08</t>
        </is>
      </c>
      <c r="F2564" t="inlineStr">
        <is>
          <t>666</t>
        </is>
      </c>
    </row>
    <row r="2565">
      <c r="A2565" t="inlineStr">
        <is>
          <t>MANAJO REATEGUI ALEXANDER _T0001181.pdf</t>
        </is>
      </c>
      <c r="B2565">
        <f>HYPERLINK("C:\Users\lmonroy\Tema\PLANILLAS\Boletas 16 - 31 Dic\MANAJO REATEGUI ALEXANDER _T0001181.pdf", "Link")</f>
        <v/>
      </c>
      <c r="C2565" t="n">
        <v>166350</v>
      </c>
      <c r="D2565" t="inlineStr">
        <is>
          <t>2024-03-27 10:13:50</t>
        </is>
      </c>
      <c r="E2565" t="inlineStr">
        <is>
          <t>2024-03-27 10:02:56</t>
        </is>
      </c>
      <c r="F2565" t="inlineStr">
        <is>
          <t>666</t>
        </is>
      </c>
    </row>
    <row r="2566">
      <c r="A2566" t="inlineStr">
        <is>
          <t>MANAJO REATEGUI JHULINO _T0001180.pdf</t>
        </is>
      </c>
      <c r="B2566">
        <f>HYPERLINK("C:\Users\lmonroy\Tema\PLANILLAS\Boletas 16 - 31 Dic\MANAJO REATEGUI JHULINO _T0001180.pdf", "Link")</f>
        <v/>
      </c>
      <c r="C2566" t="n">
        <v>166320</v>
      </c>
      <c r="D2566" t="inlineStr">
        <is>
          <t>2024-03-27 10:16:16</t>
        </is>
      </c>
      <c r="E2566" t="inlineStr">
        <is>
          <t>2024-03-27 10:04:56</t>
        </is>
      </c>
      <c r="F2566" t="inlineStr">
        <is>
          <t>666</t>
        </is>
      </c>
    </row>
    <row r="2567">
      <c r="A2567" t="inlineStr">
        <is>
          <t>MANAJO SABOYA TEDDY_T0001455.pdf</t>
        </is>
      </c>
      <c r="B2567">
        <f>HYPERLINK("C:\Users\lmonroy\Tema\PLANILLAS\Boletas 16 - 31 Dic\MANAJO SABOYA TEDDY_T0001455.pdf", "Link")</f>
        <v/>
      </c>
      <c r="C2567" t="n">
        <v>166147</v>
      </c>
      <c r="D2567" t="inlineStr">
        <is>
          <t>2024-03-27 10:17:56</t>
        </is>
      </c>
      <c r="E2567" t="inlineStr">
        <is>
          <t>2024-03-27 10:06:37</t>
        </is>
      </c>
      <c r="F2567" t="inlineStr">
        <is>
          <t>666</t>
        </is>
      </c>
    </row>
    <row r="2568">
      <c r="A2568" t="inlineStr">
        <is>
          <t>MANIHUARI MOZOMBITE JORGE MANUEL_T0001182.pdf</t>
        </is>
      </c>
      <c r="B2568">
        <f>HYPERLINK("C:\Users\lmonroy\Tema\PLANILLAS\Boletas 16 - 31 Dic\MANIHUARI MOZOMBITE JORGE MANUEL_T0001182.pdf", "Link")</f>
        <v/>
      </c>
      <c r="C2568" t="n">
        <v>166349</v>
      </c>
      <c r="D2568" t="inlineStr">
        <is>
          <t>2024-03-27 10:12:45</t>
        </is>
      </c>
      <c r="E2568" t="inlineStr">
        <is>
          <t>2024-03-27 10:02:01</t>
        </is>
      </c>
      <c r="F2568" t="inlineStr">
        <is>
          <t>666</t>
        </is>
      </c>
    </row>
    <row r="2569">
      <c r="A2569" t="inlineStr">
        <is>
          <t>MARICAHUA ALVAN JEN _T0001183.pdf</t>
        </is>
      </c>
      <c r="B2569">
        <f>HYPERLINK("C:\Users\lmonroy\Tema\PLANILLAS\Boletas 16 - 31 Dic\MARICAHUA ALVAN JEN _T0001183.pdf", "Link")</f>
        <v/>
      </c>
      <c r="C2569" t="n">
        <v>166143</v>
      </c>
      <c r="D2569" t="inlineStr">
        <is>
          <t>2024-03-27 10:16:28</t>
        </is>
      </c>
      <c r="E2569" t="inlineStr">
        <is>
          <t>2024-03-27 10:05:06</t>
        </is>
      </c>
      <c r="F2569" t="inlineStr">
        <is>
          <t>666</t>
        </is>
      </c>
    </row>
    <row r="2570">
      <c r="A2570" t="inlineStr">
        <is>
          <t>MAYANCHI ARANDA OSCAR GENARO_T0001456.pdf</t>
        </is>
      </c>
      <c r="B2570">
        <f>HYPERLINK("C:\Users\lmonroy\Tema\PLANILLAS\Boletas 16 - 31 Dic\MAYANCHI ARANDA OSCAR GENARO_T0001456.pdf", "Link")</f>
        <v/>
      </c>
      <c r="C2570" t="n">
        <v>166156</v>
      </c>
      <c r="D2570" t="inlineStr">
        <is>
          <t>2024-03-27 10:19:12</t>
        </is>
      </c>
      <c r="E2570" t="inlineStr">
        <is>
          <t>2024-03-27 10:07:57</t>
        </is>
      </c>
      <c r="F2570" t="inlineStr">
        <is>
          <t>666</t>
        </is>
      </c>
    </row>
    <row r="2571">
      <c r="A2571" t="inlineStr">
        <is>
          <t>MEJIA MACUSI EFRAIN_T0001381.pdf</t>
        </is>
      </c>
      <c r="B2571">
        <f>HYPERLINK("C:\Users\lmonroy\Tema\PLANILLAS\Boletas 16 - 31 Dic\MEJIA MACUSI EFRAIN_T0001381.pdf", "Link")</f>
        <v/>
      </c>
      <c r="C2571" t="n">
        <v>166125</v>
      </c>
      <c r="D2571" t="inlineStr">
        <is>
          <t>2024-03-27 10:16:02</t>
        </is>
      </c>
      <c r="E2571" t="inlineStr">
        <is>
          <t>2024-03-27 10:04:44</t>
        </is>
      </c>
      <c r="F2571" t="inlineStr">
        <is>
          <t>666</t>
        </is>
      </c>
    </row>
    <row r="2572">
      <c r="A2572" t="inlineStr">
        <is>
          <t>MELENDEZ FLOREZ ADAN_T0001457.pdf</t>
        </is>
      </c>
      <c r="B2572">
        <f>HYPERLINK("C:\Users\lmonroy\Tema\PLANILLAS\Boletas 16 - 31 Dic\MELENDEZ FLOREZ ADAN_T0001457.pdf", "Link")</f>
        <v/>
      </c>
      <c r="C2572" t="n">
        <v>166143</v>
      </c>
      <c r="D2572" t="inlineStr">
        <is>
          <t>2024-03-27 10:15:16</t>
        </is>
      </c>
      <c r="E2572" t="inlineStr">
        <is>
          <t>2024-03-27 10:04:06</t>
        </is>
      </c>
      <c r="F2572" t="inlineStr">
        <is>
          <t>666</t>
        </is>
      </c>
    </row>
    <row r="2573">
      <c r="A2573" t="inlineStr">
        <is>
          <t>MONTES SANDI ANTONI STEVEN_T0001187.pdf</t>
        </is>
      </c>
      <c r="B2573">
        <f>HYPERLINK("C:\Users\lmonroy\Tema\PLANILLAS\Boletas 16 - 31 Dic\MONTES SANDI ANTONI STEVEN_T0001187.pdf", "Link")</f>
        <v/>
      </c>
      <c r="C2573" t="n">
        <v>166168</v>
      </c>
      <c r="D2573" t="inlineStr">
        <is>
          <t>2024-03-27 10:16:04</t>
        </is>
      </c>
      <c r="E2573" t="inlineStr">
        <is>
          <t>2024-03-27 10:04:46</t>
        </is>
      </c>
      <c r="F2573" t="inlineStr">
        <is>
          <t>666</t>
        </is>
      </c>
    </row>
    <row r="2574">
      <c r="A2574" t="inlineStr">
        <is>
          <t>MURAYARI MANAJO SEGUNDO ENEMECIO_T0001190.pdf</t>
        </is>
      </c>
      <c r="B2574">
        <f>HYPERLINK("C:\Users\lmonroy\Tema\PLANILLAS\Boletas 16 - 31 Dic\MURAYARI MANAJO SEGUNDO ENEMECIO_T0001190.pdf", "Link")</f>
        <v/>
      </c>
      <c r="C2574" t="n">
        <v>166334</v>
      </c>
      <c r="D2574" t="inlineStr">
        <is>
          <t>2024-03-27 10:14:11</t>
        </is>
      </c>
      <c r="E2574" t="inlineStr">
        <is>
          <t>2024-03-27 10:03:14</t>
        </is>
      </c>
      <c r="F2574" t="inlineStr">
        <is>
          <t>666</t>
        </is>
      </c>
    </row>
    <row r="2575">
      <c r="A2575" t="inlineStr">
        <is>
          <t>MURAYARI MANIHUARI SEGUNDO _T0001458.pdf</t>
        </is>
      </c>
      <c r="B2575">
        <f>HYPERLINK("C:\Users\lmonroy\Tema\PLANILLAS\Boletas 16 - 31 Dic\MURAYARI MANIHUARI SEGUNDO _T0001458.pdf", "Link")</f>
        <v/>
      </c>
      <c r="C2575" t="n">
        <v>166151</v>
      </c>
      <c r="D2575" t="inlineStr">
        <is>
          <t>2024-03-27 10:18:54</t>
        </is>
      </c>
      <c r="E2575" t="inlineStr">
        <is>
          <t>2024-03-27 10:07:39</t>
        </is>
      </c>
      <c r="F2575" t="inlineStr">
        <is>
          <t>666</t>
        </is>
      </c>
    </row>
    <row r="2576">
      <c r="A2576" t="inlineStr">
        <is>
          <t>MURAYARI MURAYARI GILSER_T0001459.pdf</t>
        </is>
      </c>
      <c r="B2576">
        <f>HYPERLINK("C:\Users\lmonroy\Tema\PLANILLAS\Boletas 16 - 31 Dic\MURAYARI MURAYARI GILSER_T0001459.pdf", "Link")</f>
        <v/>
      </c>
      <c r="C2576" t="n">
        <v>166140</v>
      </c>
      <c r="D2576" t="inlineStr">
        <is>
          <t>2024-03-27 10:16:52</t>
        </is>
      </c>
      <c r="E2576" t="inlineStr">
        <is>
          <t>2024-03-27 10:05:29</t>
        </is>
      </c>
      <c r="F2576" t="inlineStr">
        <is>
          <t>666</t>
        </is>
      </c>
    </row>
    <row r="2577">
      <c r="A2577" t="inlineStr">
        <is>
          <t>MURAYARI RODRIGUEZ RUSBEL RUDY_T0001192.pdf</t>
        </is>
      </c>
      <c r="B2577">
        <f>HYPERLINK("C:\Users\lmonroy\Tema\PLANILLAS\Boletas 16 - 31 Dic\MURAYARI RODRIGUEZ RUSBEL RUDY_T0001192.pdf", "Link")</f>
        <v/>
      </c>
      <c r="C2577" t="n">
        <v>166137</v>
      </c>
      <c r="D2577" t="inlineStr">
        <is>
          <t>2024-03-27 10:14:31</t>
        </is>
      </c>
      <c r="E2577" t="inlineStr">
        <is>
          <t>2024-03-27 10:03:31</t>
        </is>
      </c>
      <c r="F2577" t="inlineStr">
        <is>
          <t>666</t>
        </is>
      </c>
    </row>
    <row r="2578">
      <c r="A2578" t="inlineStr">
        <is>
          <t>MURAYARI RODRIGUEZ VICTOR HUGO_T0001193.pdf</t>
        </is>
      </c>
      <c r="B2578">
        <f>HYPERLINK("C:\Users\lmonroy\Tema\PLANILLAS\Boletas 16 - 31 Dic\MURAYARI RODRIGUEZ VICTOR HUGO_T0001193.pdf", "Link")</f>
        <v/>
      </c>
      <c r="C2578" t="n">
        <v>166337</v>
      </c>
      <c r="D2578" t="inlineStr">
        <is>
          <t>2024-03-27 10:17:44</t>
        </is>
      </c>
      <c r="E2578" t="inlineStr">
        <is>
          <t>2024-03-27 10:06:24</t>
        </is>
      </c>
      <c r="F2578" t="inlineStr">
        <is>
          <t>666</t>
        </is>
      </c>
    </row>
    <row r="2579">
      <c r="A2579" t="inlineStr">
        <is>
          <t>MURAYARI SORIA ELIAS RAFAEL _T0001460.pdf</t>
        </is>
      </c>
      <c r="B2579">
        <f>HYPERLINK("C:\Users\lmonroy\Tema\PLANILLAS\Boletas 16 - 31 Dic\MURAYARI SORIA ELIAS RAFAEL _T0001460.pdf", "Link")</f>
        <v/>
      </c>
      <c r="C2579" t="n">
        <v>166332</v>
      </c>
      <c r="D2579" t="inlineStr">
        <is>
          <t>2024-03-27 10:17:06</t>
        </is>
      </c>
      <c r="E2579" t="inlineStr">
        <is>
          <t>2024-03-27 10:05:44</t>
        </is>
      </c>
      <c r="F2579" t="inlineStr">
        <is>
          <t>666</t>
        </is>
      </c>
    </row>
    <row r="2580">
      <c r="A2580" t="inlineStr">
        <is>
          <t>MUÑOZ PIZANGO DAVID ANTERO_T0001188.pdf</t>
        </is>
      </c>
      <c r="B2580">
        <f>HYPERLINK("C:\Users\lmonroy\Tema\PLANILLAS\Boletas 16 - 31 Dic\MUÑOZ PIZANGO DAVID ANTERO_T0001188.pdf", "Link")</f>
        <v/>
      </c>
      <c r="C2580" t="n">
        <v>166350</v>
      </c>
      <c r="D2580" t="inlineStr">
        <is>
          <t>2024-03-27 10:17:33</t>
        </is>
      </c>
      <c r="E2580" t="inlineStr">
        <is>
          <t>2024-03-27 10:06:13</t>
        </is>
      </c>
      <c r="F2580" t="inlineStr">
        <is>
          <t>666</t>
        </is>
      </c>
    </row>
    <row r="2581">
      <c r="A2581" t="inlineStr">
        <is>
          <t>NOLORVE TORRES PABLO_T0001370.pdf</t>
        </is>
      </c>
      <c r="B2581">
        <f>HYPERLINK("C:\Users\lmonroy\Tema\PLANILLAS\Boletas 16 - 31 Dic\NOLORVE TORRES PABLO_T0001370.pdf", "Link")</f>
        <v/>
      </c>
      <c r="C2581" t="n">
        <v>166143</v>
      </c>
      <c r="D2581" t="inlineStr">
        <is>
          <t>2024-03-27 10:12:36</t>
        </is>
      </c>
      <c r="E2581" t="inlineStr">
        <is>
          <t>2024-03-27 10:01:53</t>
        </is>
      </c>
      <c r="F2581" t="inlineStr">
        <is>
          <t>666</t>
        </is>
      </c>
    </row>
    <row r="2582">
      <c r="A2582" t="inlineStr">
        <is>
          <t>NORIBE TARICUARIMA JUAN _T0001195.pdf</t>
        </is>
      </c>
      <c r="B2582">
        <f>HYPERLINK("C:\Users\lmonroy\Tema\PLANILLAS\Boletas 16 - 31 Dic\NORIBE TARICUARIMA JUAN _T0001195.pdf", "Link")</f>
        <v/>
      </c>
      <c r="C2582" t="n">
        <v>166345</v>
      </c>
      <c r="D2582" t="inlineStr">
        <is>
          <t>2024-03-27 10:12:54</t>
        </is>
      </c>
      <c r="E2582" t="inlineStr">
        <is>
          <t>2024-03-27 10:02:09</t>
        </is>
      </c>
      <c r="F2582" t="inlineStr">
        <is>
          <t>666</t>
        </is>
      </c>
    </row>
    <row r="2583">
      <c r="A2583" t="inlineStr">
        <is>
          <t>NORIEGA INUMA LUIS _T0001196.pdf</t>
        </is>
      </c>
      <c r="B2583">
        <f>HYPERLINK("C:\Users\lmonroy\Tema\PLANILLAS\Boletas 16 - 31 Dic\NORIEGA INUMA LUIS _T0001196.pdf", "Link")</f>
        <v/>
      </c>
      <c r="C2583" t="n">
        <v>166125</v>
      </c>
      <c r="D2583" t="inlineStr">
        <is>
          <t>2024-03-27 10:14:49</t>
        </is>
      </c>
      <c r="E2583" t="inlineStr">
        <is>
          <t>2024-03-27 10:03:45</t>
        </is>
      </c>
      <c r="F2583" t="inlineStr">
        <is>
          <t>666</t>
        </is>
      </c>
    </row>
    <row r="2584">
      <c r="A2584" t="inlineStr">
        <is>
          <t>NORIEGA VELA ALFREDO _T0001198.pdf</t>
        </is>
      </c>
      <c r="B2584">
        <f>HYPERLINK("C:\Users\lmonroy\Tema\PLANILLAS\Boletas 16 - 31 Dic\NORIEGA VELA ALFREDO _T0001198.pdf", "Link")</f>
        <v/>
      </c>
      <c r="C2584" t="n">
        <v>166130</v>
      </c>
      <c r="D2584" t="inlineStr">
        <is>
          <t>2024-03-27 10:13:54</t>
        </is>
      </c>
      <c r="E2584" t="inlineStr">
        <is>
          <t>2024-03-27 10:03:00</t>
        </is>
      </c>
      <c r="F2584" t="inlineStr">
        <is>
          <t>666</t>
        </is>
      </c>
    </row>
    <row r="2585">
      <c r="A2585" t="inlineStr">
        <is>
          <t>NORIEGA VELA FELIPE_T0001197.pdf</t>
        </is>
      </c>
      <c r="B2585">
        <f>HYPERLINK("C:\Users\lmonroy\Tema\PLANILLAS\Boletas 16 - 31 Dic\NORIEGA VELA FELIPE_T0001197.pdf", "Link")</f>
        <v/>
      </c>
      <c r="C2585" t="n">
        <v>166113</v>
      </c>
      <c r="D2585" t="inlineStr">
        <is>
          <t>2024-03-27 10:15:06</t>
        </is>
      </c>
      <c r="E2585" t="inlineStr">
        <is>
          <t>2024-03-27 10:03:59</t>
        </is>
      </c>
      <c r="F2585" t="inlineStr">
        <is>
          <t>666</t>
        </is>
      </c>
    </row>
    <row r="2586">
      <c r="A2586" t="inlineStr">
        <is>
          <t>NORIEGA VELA MANUEL _T0001199.pdf</t>
        </is>
      </c>
      <c r="B2586">
        <f>HYPERLINK("C:\Users\lmonroy\Tema\PLANILLAS\Boletas 16 - 31 Dic\NORIEGA VELA MANUEL _T0001199.pdf", "Link")</f>
        <v/>
      </c>
      <c r="C2586" t="n">
        <v>166122</v>
      </c>
      <c r="D2586" t="inlineStr">
        <is>
          <t>2024-03-27 10:14:50</t>
        </is>
      </c>
      <c r="E2586" t="inlineStr">
        <is>
          <t>2024-03-27 10:03:46</t>
        </is>
      </c>
      <c r="F2586" t="inlineStr">
        <is>
          <t>666</t>
        </is>
      </c>
    </row>
    <row r="2587">
      <c r="A2587" t="inlineStr">
        <is>
          <t>NORIEGA VELA POMPILIO _T0001200.pdf</t>
        </is>
      </c>
      <c r="B2587">
        <f>HYPERLINK("C:\Users\lmonroy\Tema\PLANILLAS\Boletas 16 - 31 Dic\NORIEGA VELA POMPILIO _T0001200.pdf", "Link")</f>
        <v/>
      </c>
      <c r="C2587" t="n">
        <v>166162</v>
      </c>
      <c r="D2587" t="inlineStr">
        <is>
          <t>2024-03-27 10:15:04</t>
        </is>
      </c>
      <c r="E2587" t="inlineStr">
        <is>
          <t>2024-03-27 10:03:57</t>
        </is>
      </c>
      <c r="F2587" t="inlineStr">
        <is>
          <t>666</t>
        </is>
      </c>
    </row>
    <row r="2588">
      <c r="A2588" t="inlineStr">
        <is>
          <t>NORIEGA VELA ROBERT _T0001201.pdf</t>
        </is>
      </c>
      <c r="B2588">
        <f>HYPERLINK("C:\Users\lmonroy\Tema\PLANILLAS\Boletas 16 - 31 Dic\NORIEGA VELA ROBERT _T0001201.pdf", "Link")</f>
        <v/>
      </c>
      <c r="C2588" t="n">
        <v>166142</v>
      </c>
      <c r="D2588" t="inlineStr">
        <is>
          <t>2024-03-27 10:15:30</t>
        </is>
      </c>
      <c r="E2588" t="inlineStr">
        <is>
          <t>2024-03-27 10:04:18</t>
        </is>
      </c>
      <c r="F2588" t="inlineStr">
        <is>
          <t>666</t>
        </is>
      </c>
    </row>
    <row r="2589">
      <c r="A2589" t="inlineStr">
        <is>
          <t>NORIEGA VELA WILSON _T0001202.pdf</t>
        </is>
      </c>
      <c r="B2589">
        <f>HYPERLINK("C:\Users\lmonroy\Tema\PLANILLAS\Boletas 16 - 31 Dic\NORIEGA VELA WILSON _T0001202.pdf", "Link")</f>
        <v/>
      </c>
      <c r="C2589" t="n">
        <v>166149</v>
      </c>
      <c r="D2589" t="inlineStr">
        <is>
          <t>2024-03-27 10:13:56</t>
        </is>
      </c>
      <c r="E2589" t="inlineStr">
        <is>
          <t>2024-03-27 10:03:01</t>
        </is>
      </c>
      <c r="F2589" t="inlineStr">
        <is>
          <t>666</t>
        </is>
      </c>
    </row>
    <row r="2590">
      <c r="A2590" t="inlineStr">
        <is>
          <t>NURIBE ARAHUATA JORGE_T0001510.pdf</t>
        </is>
      </c>
      <c r="B2590">
        <f>HYPERLINK("C:\Users\lmonroy\Tema\PLANILLAS\Boletas 16 - 31 Dic\NURIBE ARAHUATA JORGE_T0001510.pdf", "Link")</f>
        <v/>
      </c>
      <c r="C2590" t="n">
        <v>166344</v>
      </c>
      <c r="D2590" t="inlineStr">
        <is>
          <t>2024-03-27 10:12:05</t>
        </is>
      </c>
      <c r="E2590" t="inlineStr">
        <is>
          <t>2024-03-27 10:01:25</t>
        </is>
      </c>
      <c r="F2590" t="inlineStr">
        <is>
          <t>666</t>
        </is>
      </c>
    </row>
    <row r="2591">
      <c r="A2591" t="inlineStr">
        <is>
          <t>NURIBE ARAHUATA ROBERTO_T0001511.pdf</t>
        </is>
      </c>
      <c r="B2591">
        <f>HYPERLINK("C:\Users\lmonroy\Tema\PLANILLAS\Boletas 16 - 31 Dic\NURIBE ARAHUATA ROBERTO_T0001511.pdf", "Link")</f>
        <v/>
      </c>
      <c r="C2591" t="n">
        <v>166365</v>
      </c>
      <c r="D2591" t="inlineStr">
        <is>
          <t>2024-03-27 10:12:22</t>
        </is>
      </c>
      <c r="E2591" t="inlineStr">
        <is>
          <t>2024-03-27 10:01:41</t>
        </is>
      </c>
      <c r="F2591" t="inlineStr">
        <is>
          <t>666</t>
        </is>
      </c>
    </row>
    <row r="2592">
      <c r="A2592" t="inlineStr">
        <is>
          <t>NURIBE ARAHUATE HUMBERTO_T0001478.pdf</t>
        </is>
      </c>
      <c r="B2592">
        <f>HYPERLINK("C:\Users\lmonroy\Tema\PLANILLAS\Boletas 16 - 31 Dic\NURIBE ARAHUATE HUMBERTO_T0001478.pdf", "Link")</f>
        <v/>
      </c>
      <c r="C2592" t="n">
        <v>166320</v>
      </c>
      <c r="D2592" t="inlineStr">
        <is>
          <t>2024-03-27 10:18:07</t>
        </is>
      </c>
      <c r="E2592" t="inlineStr">
        <is>
          <t>2024-03-27 10:06:49</t>
        </is>
      </c>
      <c r="F2592" t="inlineStr">
        <is>
          <t>666</t>
        </is>
      </c>
    </row>
    <row r="2593">
      <c r="A2593" t="inlineStr">
        <is>
          <t>NURIBE ARAHUATE SALOMON_T0001512.pdf</t>
        </is>
      </c>
      <c r="B2593">
        <f>HYPERLINK("C:\Users\lmonroy\Tema\PLANILLAS\Boletas 16 - 31 Dic\NURIBE ARAHUATE SALOMON_T0001512.pdf", "Link")</f>
        <v/>
      </c>
      <c r="C2593" t="n">
        <v>166314</v>
      </c>
      <c r="D2593" t="inlineStr">
        <is>
          <t>2024-03-27 10:15:40</t>
        </is>
      </c>
      <c r="E2593" t="inlineStr">
        <is>
          <t>2024-03-27 10:04:26</t>
        </is>
      </c>
      <c r="F2593" t="inlineStr">
        <is>
          <t>666</t>
        </is>
      </c>
    </row>
    <row r="2594">
      <c r="A2594" t="inlineStr">
        <is>
          <t>NURIBE INUMA JUAN _T0001205.pdf</t>
        </is>
      </c>
      <c r="B2594">
        <f>HYPERLINK("C:\Users\lmonroy\Tema\PLANILLAS\Boletas 16 - 31 Dic\NURIBE INUMA JUAN _T0001205.pdf", "Link")</f>
        <v/>
      </c>
      <c r="C2594" t="n">
        <v>166143</v>
      </c>
      <c r="D2594" t="inlineStr">
        <is>
          <t>2024-03-27 10:17:01</t>
        </is>
      </c>
      <c r="E2594" t="inlineStr">
        <is>
          <t>2024-03-27 10:05:38</t>
        </is>
      </c>
      <c r="F2594" t="inlineStr">
        <is>
          <t>666</t>
        </is>
      </c>
    </row>
    <row r="2595">
      <c r="A2595" t="inlineStr">
        <is>
          <t>NURIBE JOGUISTA IGNACIO _T0001206.pdf</t>
        </is>
      </c>
      <c r="B2595">
        <f>HYPERLINK("C:\Users\lmonroy\Tema\PLANILLAS\Boletas 16 - 31 Dic\NURIBE JOGUISTA IGNACIO _T0001206.pdf", "Link")</f>
        <v/>
      </c>
      <c r="C2595" t="n">
        <v>166157</v>
      </c>
      <c r="D2595" t="inlineStr">
        <is>
          <t>2024-03-27 10:14:59</t>
        </is>
      </c>
      <c r="E2595" t="inlineStr">
        <is>
          <t>2024-03-27 10:03:53</t>
        </is>
      </c>
      <c r="F2595" t="inlineStr">
        <is>
          <t>666</t>
        </is>
      </c>
    </row>
    <row r="2596">
      <c r="A2596" t="inlineStr">
        <is>
          <t>NURIBE LOPEZ ALEX _T0001207.pdf</t>
        </is>
      </c>
      <c r="B2596">
        <f>HYPERLINK("C:\Users\lmonroy\Tema\PLANILLAS\Boletas 16 - 31 Dic\NURIBE LOPEZ ALEX _T0001207.pdf", "Link")</f>
        <v/>
      </c>
      <c r="C2596" t="n">
        <v>166140</v>
      </c>
      <c r="D2596" t="inlineStr">
        <is>
          <t>2024-03-27 10:16:50</t>
        </is>
      </c>
      <c r="E2596" t="inlineStr">
        <is>
          <t>2024-03-27 10:05:27</t>
        </is>
      </c>
      <c r="F2596" t="inlineStr">
        <is>
          <t>666</t>
        </is>
      </c>
    </row>
    <row r="2597">
      <c r="A2597" t="inlineStr">
        <is>
          <t>NURIBE MACUSI ABEL_T0001513.pdf</t>
        </is>
      </c>
      <c r="B2597">
        <f>HYPERLINK("C:\Users\lmonroy\Tema\PLANILLAS\Boletas 16 - 31 Dic\NURIBE MACUSI ABEL_T0001513.pdf", "Link")</f>
        <v/>
      </c>
      <c r="C2597" t="n">
        <v>166309</v>
      </c>
      <c r="D2597" t="inlineStr">
        <is>
          <t>2024-03-27 10:15:36</t>
        </is>
      </c>
      <c r="E2597" t="inlineStr">
        <is>
          <t>2024-03-27 10:04:23</t>
        </is>
      </c>
      <c r="F2597" t="inlineStr">
        <is>
          <t>666</t>
        </is>
      </c>
    </row>
    <row r="2598">
      <c r="A2598" t="inlineStr">
        <is>
          <t>NURIBE MACUSI ABRAHAM_T0001526.pdf</t>
        </is>
      </c>
      <c r="B2598">
        <f>HYPERLINK("C:\Users\lmonroy\Tema\PLANILLAS\Boletas 16 - 31 Dic\NURIBE MACUSI ABRAHAM_T0001526.pdf", "Link")</f>
        <v/>
      </c>
      <c r="C2598" t="n">
        <v>166294</v>
      </c>
      <c r="D2598" t="inlineStr">
        <is>
          <t>2024-03-27 10:17:14</t>
        </is>
      </c>
      <c r="E2598" t="inlineStr">
        <is>
          <t>2024-03-27 10:05:52</t>
        </is>
      </c>
      <c r="F2598" t="inlineStr">
        <is>
          <t>666</t>
        </is>
      </c>
    </row>
    <row r="2599">
      <c r="A2599" t="inlineStr">
        <is>
          <t>NURIBE MACUSI ROISER _T0001209.pdf</t>
        </is>
      </c>
      <c r="B2599">
        <f>HYPERLINK("C:\Users\lmonroy\Tema\PLANILLAS\Boletas 16 - 31 Dic\NURIBE MACUSI ROISER _T0001209.pdf", "Link")</f>
        <v/>
      </c>
      <c r="C2599" t="n">
        <v>166135</v>
      </c>
      <c r="D2599" t="inlineStr">
        <is>
          <t>2024-03-27 10:15:27</t>
        </is>
      </c>
      <c r="E2599" t="inlineStr">
        <is>
          <t>2024-03-27 10:04:15</t>
        </is>
      </c>
      <c r="F2599" t="inlineStr">
        <is>
          <t>666</t>
        </is>
      </c>
    </row>
    <row r="2600">
      <c r="A2600" t="inlineStr">
        <is>
          <t>NURIBE NORIEGA JORGE _T0001210.pdf</t>
        </is>
      </c>
      <c r="B2600">
        <f>HYPERLINK("C:\Users\lmonroy\Tema\PLANILLAS\Boletas 16 - 31 Dic\NURIBE NORIEGA JORGE _T0001210.pdf", "Link")</f>
        <v/>
      </c>
      <c r="C2600" t="n">
        <v>166146</v>
      </c>
      <c r="D2600" t="inlineStr">
        <is>
          <t>2024-03-27 10:13:20</t>
        </is>
      </c>
      <c r="E2600" t="inlineStr">
        <is>
          <t>2024-03-27 10:02:31</t>
        </is>
      </c>
      <c r="F2600" t="inlineStr">
        <is>
          <t>666</t>
        </is>
      </c>
    </row>
    <row r="2601">
      <c r="A2601" t="inlineStr">
        <is>
          <t>NURIBE TARICUARIMA LORENZO _T0001211.pdf</t>
        </is>
      </c>
      <c r="B2601">
        <f>HYPERLINK("C:\Users\lmonroy\Tema\PLANILLAS\Boletas 16 - 31 Dic\NURIBE TARICUARIMA LORENZO _T0001211.pdf", "Link")</f>
        <v/>
      </c>
      <c r="C2601" t="n">
        <v>166146</v>
      </c>
      <c r="D2601" t="inlineStr">
        <is>
          <t>2024-03-27 10:14:58</t>
        </is>
      </c>
      <c r="E2601" t="inlineStr">
        <is>
          <t>2024-03-27 10:03:52</t>
        </is>
      </c>
      <c r="F2601" t="inlineStr">
        <is>
          <t>666</t>
        </is>
      </c>
    </row>
    <row r="2602">
      <c r="A2602" t="inlineStr">
        <is>
          <t>OCHOA MONTES SIGFRIDO _T0001212.pdf</t>
        </is>
      </c>
      <c r="B2602">
        <f>HYPERLINK("C:\Users\lmonroy\Tema\PLANILLAS\Boletas 16 - 31 Dic\OCHOA MONTES SIGFRIDO _T0001212.pdf", "Link")</f>
        <v/>
      </c>
      <c r="C2602" t="n">
        <v>166344</v>
      </c>
      <c r="D2602" t="inlineStr">
        <is>
          <t>2024-03-27 10:19:25</t>
        </is>
      </c>
      <c r="E2602" t="inlineStr">
        <is>
          <t>2024-03-27 10:08:09</t>
        </is>
      </c>
      <c r="F2602" t="inlineStr">
        <is>
          <t>666</t>
        </is>
      </c>
    </row>
    <row r="2603">
      <c r="A2603" t="inlineStr">
        <is>
          <t>OCUMBE OJANAMA ANTHONI_T0001461.pdf</t>
        </is>
      </c>
      <c r="B2603">
        <f>HYPERLINK("C:\Users\lmonroy\Tema\PLANILLAS\Boletas 16 - 31 Dic\OCUMBE OJANAMA ANTHONI_T0001461.pdf", "Link")</f>
        <v/>
      </c>
      <c r="C2603" t="n">
        <v>166324</v>
      </c>
      <c r="D2603" t="inlineStr">
        <is>
          <t>2024-03-27 10:13:33</t>
        </is>
      </c>
      <c r="E2603" t="inlineStr">
        <is>
          <t>2024-03-27 10:02:42</t>
        </is>
      </c>
      <c r="F2603" t="inlineStr">
        <is>
          <t>666</t>
        </is>
      </c>
    </row>
    <row r="2604">
      <c r="A2604" t="inlineStr">
        <is>
          <t>OJACATE VELA GILBERTO_T0001514.pdf</t>
        </is>
      </c>
      <c r="B2604">
        <f>HYPERLINK("C:\Users\lmonroy\Tema\PLANILLAS\Boletas 16 - 31 Dic\OJACATE VELA GILBERTO_T0001514.pdf", "Link")</f>
        <v/>
      </c>
      <c r="C2604" t="n">
        <v>166285</v>
      </c>
      <c r="D2604" t="inlineStr">
        <is>
          <t>2024-03-27 10:19:14</t>
        </is>
      </c>
      <c r="E2604" t="inlineStr">
        <is>
          <t>2024-03-27 10:07:59</t>
        </is>
      </c>
      <c r="F2604" t="inlineStr">
        <is>
          <t>666</t>
        </is>
      </c>
    </row>
    <row r="2605">
      <c r="A2605" t="inlineStr">
        <is>
          <t>OJAICATE ARAHUATA JONAS_T0001515.pdf</t>
        </is>
      </c>
      <c r="B2605">
        <f>HYPERLINK("C:\Users\lmonroy\Tema\PLANILLAS\Boletas 16 - 31 Dic\OJAICATE ARAHUATA JONAS_T0001515.pdf", "Link")</f>
        <v/>
      </c>
      <c r="C2605" t="n">
        <v>166319</v>
      </c>
      <c r="D2605" t="inlineStr">
        <is>
          <t>2024-03-27 10:15:37</t>
        </is>
      </c>
      <c r="E2605" t="inlineStr">
        <is>
          <t>2024-03-27 10:04:24</t>
        </is>
      </c>
      <c r="F2605" t="inlineStr">
        <is>
          <t>666</t>
        </is>
      </c>
    </row>
    <row r="2606">
      <c r="A2606" t="inlineStr">
        <is>
          <t>OJAICATE IGNACIO MARIANO _T0001214.pdf</t>
        </is>
      </c>
      <c r="B2606">
        <f>HYPERLINK("C:\Users\lmonroy\Tema\PLANILLAS\Boletas 16 - 31 Dic\OJAICATE IGNACIO MARIANO _T0001214.pdf", "Link")</f>
        <v/>
      </c>
      <c r="C2606" t="n">
        <v>166134</v>
      </c>
      <c r="D2606" t="inlineStr">
        <is>
          <t>2024-03-27 10:13:24</t>
        </is>
      </c>
      <c r="E2606" t="inlineStr">
        <is>
          <t>2024-03-27 10:02:34</t>
        </is>
      </c>
      <c r="F2606" t="inlineStr">
        <is>
          <t>666</t>
        </is>
      </c>
    </row>
    <row r="2607">
      <c r="A2607" t="inlineStr">
        <is>
          <t>OJAICURO RUIZ MARLON _T0001215.pdf</t>
        </is>
      </c>
      <c r="B2607">
        <f>HYPERLINK("C:\Users\lmonroy\Tema\PLANILLAS\Boletas 16 - 31 Dic\OJAICURO RUIZ MARLON _T0001215.pdf", "Link")</f>
        <v/>
      </c>
      <c r="C2607" t="n">
        <v>166144</v>
      </c>
      <c r="D2607" t="inlineStr">
        <is>
          <t>2024-03-27 10:18:36</t>
        </is>
      </c>
      <c r="E2607" t="inlineStr">
        <is>
          <t>2024-03-27 10:07:19</t>
        </is>
      </c>
      <c r="F2607" t="inlineStr">
        <is>
          <t>666</t>
        </is>
      </c>
    </row>
    <row r="2608">
      <c r="A2608" t="inlineStr">
        <is>
          <t>OJAICURO RUIZ WERLIN _T0001216.pdf</t>
        </is>
      </c>
      <c r="B2608">
        <f>HYPERLINK("C:\Users\lmonroy\Tema\PLANILLAS\Boletas 16 - 31 Dic\OJAICURO RUIZ WERLIN _T0001216.pdf", "Link")</f>
        <v/>
      </c>
      <c r="C2608" t="n">
        <v>166148</v>
      </c>
      <c r="D2608" t="inlineStr">
        <is>
          <t>2024-03-27 10:14:14</t>
        </is>
      </c>
      <c r="E2608" t="inlineStr">
        <is>
          <t>2024-03-27 10:03:17</t>
        </is>
      </c>
      <c r="F2608" t="inlineStr">
        <is>
          <t>666</t>
        </is>
      </c>
    </row>
    <row r="2609">
      <c r="A2609" t="inlineStr">
        <is>
          <t>OJAICURO SUGETA CESAR _T0001217.pdf</t>
        </is>
      </c>
      <c r="B2609">
        <f>HYPERLINK("C:\Users\lmonroy\Tema\PLANILLAS\Boletas 16 - 31 Dic\OJAICURO SUGETA CESAR _T0001217.pdf", "Link")</f>
        <v/>
      </c>
      <c r="C2609" t="n">
        <v>166148</v>
      </c>
      <c r="D2609" t="inlineStr">
        <is>
          <t>2024-03-27 10:12:26</t>
        </is>
      </c>
      <c r="E2609" t="inlineStr">
        <is>
          <t>2024-03-27 10:01:45</t>
        </is>
      </c>
      <c r="F2609" t="inlineStr">
        <is>
          <t>666</t>
        </is>
      </c>
    </row>
    <row r="2610">
      <c r="A2610" t="inlineStr">
        <is>
          <t>OJAICURO SUJETO ROMAN _T0001218.pdf</t>
        </is>
      </c>
      <c r="B2610">
        <f>HYPERLINK("C:\Users\lmonroy\Tema\PLANILLAS\Boletas 16 - 31 Dic\OJAICURO SUJETO ROMAN _T0001218.pdf", "Link")</f>
        <v/>
      </c>
      <c r="C2610" t="n">
        <v>166143</v>
      </c>
      <c r="D2610" t="inlineStr">
        <is>
          <t>2024-03-27 10:12:32</t>
        </is>
      </c>
      <c r="E2610" t="inlineStr">
        <is>
          <t>2024-03-27 10:01:50</t>
        </is>
      </c>
      <c r="F2610" t="inlineStr">
        <is>
          <t>666</t>
        </is>
      </c>
    </row>
    <row r="2611">
      <c r="A2611" t="inlineStr">
        <is>
          <t>OJAICURO VELA ANTONIO _T0001219.pdf</t>
        </is>
      </c>
      <c r="B2611">
        <f>HYPERLINK("C:\Users\lmonroy\Tema\PLANILLAS\Boletas 16 - 31 Dic\OJAICURO VELA ANTONIO _T0001219.pdf", "Link")</f>
        <v/>
      </c>
      <c r="C2611" t="n">
        <v>166147</v>
      </c>
      <c r="D2611" t="inlineStr">
        <is>
          <t>2024-03-27 10:15:23</t>
        </is>
      </c>
      <c r="E2611" t="inlineStr">
        <is>
          <t>2024-03-27 10:04:12</t>
        </is>
      </c>
      <c r="F2611" t="inlineStr">
        <is>
          <t>666</t>
        </is>
      </c>
    </row>
    <row r="2612">
      <c r="A2612" t="inlineStr">
        <is>
          <t>OJAICURO VELA WILDER _T0001220.pdf</t>
        </is>
      </c>
      <c r="B2612">
        <f>HYPERLINK("C:\Users\lmonroy\Tema\PLANILLAS\Boletas 16 - 31 Dic\OJAICURO VELA WILDER _T0001220.pdf", "Link")</f>
        <v/>
      </c>
      <c r="C2612" t="n">
        <v>166135</v>
      </c>
      <c r="D2612" t="inlineStr">
        <is>
          <t>2024-03-27 10:15:22</t>
        </is>
      </c>
      <c r="E2612" t="inlineStr">
        <is>
          <t>2024-03-27 10:04:11</t>
        </is>
      </c>
      <c r="F2612" t="inlineStr">
        <is>
          <t>666</t>
        </is>
      </c>
    </row>
    <row r="2613">
      <c r="A2613" t="inlineStr">
        <is>
          <t>OJECATE OJAICATE JAMES_T0001382.pdf</t>
        </is>
      </c>
      <c r="B2613">
        <f>HYPERLINK("C:\Users\lmonroy\Tema\PLANILLAS\Boletas 16 - 31 Dic\OJECATE OJAICATE JAMES_T0001382.pdf", "Link")</f>
        <v/>
      </c>
      <c r="C2613" t="n">
        <v>166116</v>
      </c>
      <c r="D2613" t="inlineStr">
        <is>
          <t>2024-03-27 10:16:56</t>
        </is>
      </c>
      <c r="E2613" t="inlineStr">
        <is>
          <t>2024-03-27 10:05:33</t>
        </is>
      </c>
      <c r="F2613" t="inlineStr">
        <is>
          <t>666</t>
        </is>
      </c>
    </row>
    <row r="2614">
      <c r="A2614" t="inlineStr">
        <is>
          <t>OJEICATE ARAHUATA SALOMON_T0001385.pdf</t>
        </is>
      </c>
      <c r="B2614">
        <f>HYPERLINK("C:\Users\lmonroy\Tema\PLANILLAS\Boletas 16 - 31 Dic\OJEICATE ARAHUATA SALOMON_T0001385.pdf", "Link")</f>
        <v/>
      </c>
      <c r="C2614" t="n">
        <v>166311</v>
      </c>
      <c r="D2614" t="inlineStr">
        <is>
          <t>2024-03-27 10:17:12</t>
        </is>
      </c>
      <c r="E2614" t="inlineStr">
        <is>
          <t>2024-03-27 10:05:50</t>
        </is>
      </c>
      <c r="F2614" t="inlineStr">
        <is>
          <t>666</t>
        </is>
      </c>
    </row>
    <row r="2615">
      <c r="A2615" t="inlineStr">
        <is>
          <t>PACAYA CURICHIMBA SEGUNDO _T0001224.pdf</t>
        </is>
      </c>
      <c r="B2615">
        <f>HYPERLINK("C:\Users\lmonroy\Tema\PLANILLAS\Boletas 16 - 31 Dic\PACAYA CURICHIMBA SEGUNDO _T0001224.pdf", "Link")</f>
        <v/>
      </c>
      <c r="C2615" t="n">
        <v>166167</v>
      </c>
      <c r="D2615" t="inlineStr">
        <is>
          <t>2024-03-27 10:19:04</t>
        </is>
      </c>
      <c r="E2615" t="inlineStr">
        <is>
          <t>2024-03-27 10:07:49</t>
        </is>
      </c>
      <c r="F2615" t="inlineStr">
        <is>
          <t>666</t>
        </is>
      </c>
    </row>
    <row r="2616">
      <c r="A2616" t="inlineStr">
        <is>
          <t>PACAYA MANAJO JHORVEL KIKE_T0001225.pdf</t>
        </is>
      </c>
      <c r="B2616">
        <f>HYPERLINK("C:\Users\lmonroy\Tema\PLANILLAS\Boletas 16 - 31 Dic\PACAYA MANAJO JHORVEL KIKE_T0001225.pdf", "Link")</f>
        <v/>
      </c>
      <c r="C2616" t="n">
        <v>166138</v>
      </c>
      <c r="D2616" t="inlineStr">
        <is>
          <t>2024-03-27 10:17:54</t>
        </is>
      </c>
      <c r="E2616" t="inlineStr">
        <is>
          <t>2024-03-27 10:06:35</t>
        </is>
      </c>
      <c r="F2616" t="inlineStr">
        <is>
          <t>666</t>
        </is>
      </c>
    </row>
    <row r="2617">
      <c r="A2617" t="inlineStr">
        <is>
          <t>PACAYA MANAJO LLERSON _T0001226.pdf</t>
        </is>
      </c>
      <c r="B2617">
        <f>HYPERLINK("C:\Users\lmonroy\Tema\PLANILLAS\Boletas 16 - 31 Dic\PACAYA MANAJO LLERSON _T0001226.pdf", "Link")</f>
        <v/>
      </c>
      <c r="C2617" t="n">
        <v>166159</v>
      </c>
      <c r="D2617" t="inlineStr">
        <is>
          <t>2024-03-27 10:13:13</t>
        </is>
      </c>
      <c r="E2617" t="inlineStr">
        <is>
          <t>2024-03-27 10:02:25</t>
        </is>
      </c>
      <c r="F2617" t="inlineStr">
        <is>
          <t>666</t>
        </is>
      </c>
    </row>
    <row r="2618">
      <c r="A2618" t="inlineStr">
        <is>
          <t>PAREDES USHIÑAHUA REITER_T0001482.pdf</t>
        </is>
      </c>
      <c r="B2618">
        <f>HYPERLINK("C:\Users\lmonroy\Tema\PLANILLAS\Boletas 16 - 31 Dic\PAREDES USHIÑAHUA REITER_T0001482.pdf", "Link")</f>
        <v/>
      </c>
      <c r="C2618" t="n">
        <v>166302</v>
      </c>
      <c r="D2618" t="inlineStr">
        <is>
          <t>2024-03-27 10:18:53</t>
        </is>
      </c>
      <c r="E2618" t="inlineStr">
        <is>
          <t>2024-03-27 10:07:37</t>
        </is>
      </c>
      <c r="F2618" t="inlineStr">
        <is>
          <t>666</t>
        </is>
      </c>
    </row>
    <row r="2619">
      <c r="A2619" t="inlineStr">
        <is>
          <t>PERAZA SANDI SEGUNDO NIVER_T0001230.pdf</t>
        </is>
      </c>
      <c r="B2619">
        <f>HYPERLINK("C:\Users\lmonroy\Tema\PLANILLAS\Boletas 16 - 31 Dic\PERAZA SANDI SEGUNDO NIVER_T0001230.pdf", "Link")</f>
        <v/>
      </c>
      <c r="C2619" t="n">
        <v>166344</v>
      </c>
      <c r="D2619" t="inlineStr">
        <is>
          <t>2024-03-27 10:13:32</t>
        </is>
      </c>
      <c r="E2619" t="inlineStr">
        <is>
          <t>2024-03-27 10:02:41</t>
        </is>
      </c>
      <c r="F2619" t="inlineStr">
        <is>
          <t>666</t>
        </is>
      </c>
    </row>
    <row r="2620">
      <c r="A2620" t="inlineStr">
        <is>
          <t>PEREA FLORES ANDERSON _T0001231.pdf</t>
        </is>
      </c>
      <c r="B2620">
        <f>HYPERLINK("C:\Users\lmonroy\Tema\PLANILLAS\Boletas 16 - 31 Dic\PEREA FLORES ANDERSON _T0001231.pdf", "Link")</f>
        <v/>
      </c>
      <c r="C2620" t="n">
        <v>166144</v>
      </c>
      <c r="D2620" t="inlineStr">
        <is>
          <t>2024-03-27 10:16:03</t>
        </is>
      </c>
      <c r="E2620" t="inlineStr">
        <is>
          <t>2024-03-27 10:04:45</t>
        </is>
      </c>
      <c r="F2620" t="inlineStr">
        <is>
          <t>666</t>
        </is>
      </c>
    </row>
    <row r="2621">
      <c r="A2621" t="inlineStr">
        <is>
          <t>PEREA ICOMENA EDO _T0001232.pdf</t>
        </is>
      </c>
      <c r="B2621">
        <f>HYPERLINK("C:\Users\lmonroy\Tema\PLANILLAS\Boletas 16 - 31 Dic\PEREA ICOMENA EDO _T0001232.pdf", "Link")</f>
        <v/>
      </c>
      <c r="C2621" t="n">
        <v>166158</v>
      </c>
      <c r="D2621" t="inlineStr">
        <is>
          <t>2024-03-27 10:12:42</t>
        </is>
      </c>
      <c r="E2621" t="inlineStr">
        <is>
          <t>2024-03-27 10:01:58</t>
        </is>
      </c>
      <c r="F2621" t="inlineStr">
        <is>
          <t>666</t>
        </is>
      </c>
    </row>
    <row r="2622">
      <c r="A2622" t="inlineStr">
        <is>
          <t>PEREA ICOMENA HOBLITAS _T0001233.pdf</t>
        </is>
      </c>
      <c r="B2622">
        <f>HYPERLINK("C:\Users\lmonroy\Tema\PLANILLAS\Boletas 16 - 31 Dic\PEREA ICOMENA HOBLITAS _T0001233.pdf", "Link")</f>
        <v/>
      </c>
      <c r="C2622" t="n">
        <v>166149</v>
      </c>
      <c r="D2622" t="inlineStr">
        <is>
          <t>2024-03-27 10:13:04</t>
        </is>
      </c>
      <c r="E2622" t="inlineStr">
        <is>
          <t>2024-03-27 10:02:17</t>
        </is>
      </c>
      <c r="F2622" t="inlineStr">
        <is>
          <t>666</t>
        </is>
      </c>
    </row>
    <row r="2623">
      <c r="A2623" t="inlineStr">
        <is>
          <t>PEREA ICOMENA SICO _T0001234.pdf</t>
        </is>
      </c>
      <c r="B2623">
        <f>HYPERLINK("C:\Users\lmonroy\Tema\PLANILLAS\Boletas 16 - 31 Dic\PEREA ICOMENA SICO _T0001234.pdf", "Link")</f>
        <v/>
      </c>
      <c r="C2623" t="n">
        <v>166158</v>
      </c>
      <c r="D2623" t="inlineStr">
        <is>
          <t>2024-03-27 10:12:40</t>
        </is>
      </c>
      <c r="E2623" t="inlineStr">
        <is>
          <t>2024-03-27 10:01:57</t>
        </is>
      </c>
      <c r="F2623" t="inlineStr">
        <is>
          <t>666</t>
        </is>
      </c>
    </row>
    <row r="2624">
      <c r="A2624" t="inlineStr">
        <is>
          <t>PEREA ICOMENA TIM _T0001235.pdf</t>
        </is>
      </c>
      <c r="B2624">
        <f>HYPERLINK("C:\Users\lmonroy\Tema\PLANILLAS\Boletas 16 - 31 Dic\PEREA ICOMENA TIM _T0001235.pdf", "Link")</f>
        <v/>
      </c>
      <c r="C2624" t="n">
        <v>166149</v>
      </c>
      <c r="D2624" t="inlineStr">
        <is>
          <t>2024-03-27 10:13:05</t>
        </is>
      </c>
      <c r="E2624" t="inlineStr">
        <is>
          <t>2024-03-27 10:02:18</t>
        </is>
      </c>
      <c r="F2624" t="inlineStr">
        <is>
          <t>666</t>
        </is>
      </c>
    </row>
    <row r="2625">
      <c r="A2625" t="inlineStr">
        <is>
          <t>PEREA ICOMENA ZIMIC _T0001236.pdf</t>
        </is>
      </c>
      <c r="B2625">
        <f>HYPERLINK("C:\Users\lmonroy\Tema\PLANILLAS\Boletas 16 - 31 Dic\PEREA ICOMENA ZIMIC _T0001236.pdf", "Link")</f>
        <v/>
      </c>
      <c r="C2625" t="n">
        <v>166156</v>
      </c>
      <c r="D2625" t="inlineStr">
        <is>
          <t>2024-03-27 10:12:14</t>
        </is>
      </c>
      <c r="E2625" t="inlineStr">
        <is>
          <t>2024-03-27 10:01:33</t>
        </is>
      </c>
      <c r="F2625" t="inlineStr">
        <is>
          <t>666</t>
        </is>
      </c>
    </row>
    <row r="2626">
      <c r="A2626" t="inlineStr">
        <is>
          <t>PEREA PEREYRA DANI DEYVIS_T0001237.pdf</t>
        </is>
      </c>
      <c r="B2626">
        <f>HYPERLINK("C:\Users\lmonroy\Tema\PLANILLAS\Boletas 16 - 31 Dic\PEREA PEREYRA DANI DEYVIS_T0001237.pdf", "Link")</f>
        <v/>
      </c>
      <c r="C2626" t="n">
        <v>166319</v>
      </c>
      <c r="D2626" t="inlineStr">
        <is>
          <t>2024-03-27 10:15:52</t>
        </is>
      </c>
      <c r="E2626" t="inlineStr">
        <is>
          <t>2024-03-27 10:04:35</t>
        </is>
      </c>
      <c r="F2626" t="inlineStr">
        <is>
          <t>666</t>
        </is>
      </c>
    </row>
    <row r="2627">
      <c r="A2627" t="inlineStr">
        <is>
          <t>PEREIRA SORIA JAIRO _T0001239.pdf</t>
        </is>
      </c>
      <c r="B2627">
        <f>HYPERLINK("C:\Users\lmonroy\Tema\PLANILLAS\Boletas 16 - 31 Dic\PEREIRA SORIA JAIRO _T0001239.pdf", "Link")</f>
        <v/>
      </c>
      <c r="C2627" t="n">
        <v>166323</v>
      </c>
      <c r="D2627" t="inlineStr">
        <is>
          <t>2024-03-27 10:12:59</t>
        </is>
      </c>
      <c r="E2627" t="inlineStr">
        <is>
          <t>2024-03-27 10:02:13</t>
        </is>
      </c>
      <c r="F2627" t="inlineStr">
        <is>
          <t>666</t>
        </is>
      </c>
    </row>
    <row r="2628">
      <c r="A2628" t="inlineStr">
        <is>
          <t>PEREIRA VARGAS CARLOS ORLANDO_T0001240.pdf</t>
        </is>
      </c>
      <c r="B2628">
        <f>HYPERLINK("C:\Users\lmonroy\Tema\PLANILLAS\Boletas 16 - 31 Dic\PEREIRA VARGAS CARLOS ORLANDO_T0001240.pdf", "Link")</f>
        <v/>
      </c>
      <c r="C2628" t="n">
        <v>166129</v>
      </c>
      <c r="D2628" t="inlineStr">
        <is>
          <t>2024-03-27 10:15:54</t>
        </is>
      </c>
      <c r="E2628" t="inlineStr">
        <is>
          <t>2024-03-27 10:04:38</t>
        </is>
      </c>
      <c r="F2628" t="inlineStr">
        <is>
          <t>666</t>
        </is>
      </c>
    </row>
    <row r="2629">
      <c r="A2629" t="inlineStr">
        <is>
          <t>PEREZ FALCON CESAR MANUEL_T0001241.pdf</t>
        </is>
      </c>
      <c r="B2629">
        <f>HYPERLINK("C:\Users\lmonroy\Tema\PLANILLAS\Boletas 16 - 31 Dic\PEREZ FALCON CESAR MANUEL_T0001241.pdf", "Link")</f>
        <v/>
      </c>
      <c r="C2629" t="n">
        <v>166349</v>
      </c>
      <c r="D2629" t="inlineStr">
        <is>
          <t>2024-03-27 10:16:25</t>
        </is>
      </c>
      <c r="E2629" t="inlineStr">
        <is>
          <t>2024-03-27 10:05:03</t>
        </is>
      </c>
      <c r="F2629" t="inlineStr">
        <is>
          <t>666</t>
        </is>
      </c>
    </row>
    <row r="2630">
      <c r="A2630" t="inlineStr">
        <is>
          <t>PEREZ FALCON DAVID _T0001242.pdf</t>
        </is>
      </c>
      <c r="B2630">
        <f>HYPERLINK("C:\Users\lmonroy\Tema\PLANILLAS\Boletas 16 - 31 Dic\PEREZ FALCON DAVID _T0001242.pdf", "Link")</f>
        <v/>
      </c>
      <c r="C2630" t="n">
        <v>166322</v>
      </c>
      <c r="D2630" t="inlineStr">
        <is>
          <t>2024-03-27 10:15:46</t>
        </is>
      </c>
      <c r="E2630" t="inlineStr">
        <is>
          <t>2024-03-27 10:04:30</t>
        </is>
      </c>
      <c r="F2630" t="inlineStr">
        <is>
          <t>666</t>
        </is>
      </c>
    </row>
    <row r="2631">
      <c r="A2631" t="inlineStr">
        <is>
          <t>PISCO TORRES JORDAN ARAN_T0001243.pdf</t>
        </is>
      </c>
      <c r="B2631">
        <f>HYPERLINK("C:\Users\lmonroy\Tema\PLANILLAS\Boletas 16 - 31 Dic\PISCO TORRES JORDAN ARAN_T0001243.pdf", "Link")</f>
        <v/>
      </c>
      <c r="C2631" t="n">
        <v>166377</v>
      </c>
      <c r="D2631" t="inlineStr">
        <is>
          <t>2024-03-27 10:14:39</t>
        </is>
      </c>
      <c r="E2631" t="inlineStr">
        <is>
          <t>2024-03-27 10:03:37</t>
        </is>
      </c>
      <c r="F2631" t="inlineStr">
        <is>
          <t>666</t>
        </is>
      </c>
    </row>
    <row r="2632">
      <c r="A2632" t="inlineStr">
        <is>
          <t>PISCO TORRES ROBLES_T0001487.pdf</t>
        </is>
      </c>
      <c r="B2632">
        <f>HYPERLINK("C:\Users\lmonroy\Tema\PLANILLAS\Boletas 16 - 31 Dic\PISCO TORRES ROBLES_T0001487.pdf", "Link")</f>
        <v/>
      </c>
      <c r="C2632" t="n">
        <v>166298</v>
      </c>
      <c r="D2632" t="inlineStr">
        <is>
          <t>2024-03-27 10:12:50</t>
        </is>
      </c>
      <c r="E2632" t="inlineStr">
        <is>
          <t>2024-03-27 10:02:05</t>
        </is>
      </c>
      <c r="F2632" t="inlineStr">
        <is>
          <t>666</t>
        </is>
      </c>
    </row>
    <row r="2633">
      <c r="A2633" t="inlineStr">
        <is>
          <t>PIZANGO PACAYA KELVIN_T0001462.pdf</t>
        </is>
      </c>
      <c r="B2633">
        <f>HYPERLINK("C:\Users\lmonroy\Tema\PLANILLAS\Boletas 16 - 31 Dic\PIZANGO PACAYA KELVIN_T0001462.pdf", "Link")</f>
        <v/>
      </c>
      <c r="C2633" t="n">
        <v>166148</v>
      </c>
      <c r="D2633" t="inlineStr">
        <is>
          <t>2024-03-27 10:14:12</t>
        </is>
      </c>
      <c r="E2633" t="inlineStr">
        <is>
          <t>2024-03-27 10:03:15</t>
        </is>
      </c>
      <c r="F2633" t="inlineStr">
        <is>
          <t>666</t>
        </is>
      </c>
    </row>
    <row r="2634">
      <c r="A2634" t="inlineStr">
        <is>
          <t>POETIZA CARITIMARI JAKER _T0001368.pdf</t>
        </is>
      </c>
      <c r="B2634">
        <f>HYPERLINK("C:\Users\lmonroy\Tema\PLANILLAS\Boletas 16 - 31 Dic\POETIZA CARITIMARI JAKER _T0001368.pdf", "Link")</f>
        <v/>
      </c>
      <c r="C2634" t="n">
        <v>166345</v>
      </c>
      <c r="D2634" t="inlineStr">
        <is>
          <t>2024-03-27 10:16:27</t>
        </is>
      </c>
      <c r="E2634" t="inlineStr">
        <is>
          <t>2024-03-27 10:05:05</t>
        </is>
      </c>
      <c r="F2634" t="inlineStr">
        <is>
          <t>666</t>
        </is>
      </c>
    </row>
    <row r="2635">
      <c r="A2635" t="inlineStr">
        <is>
          <t>POETIZA PANAIFO FREDY JONNY_T0001246.pdf</t>
        </is>
      </c>
      <c r="B2635">
        <f>HYPERLINK("C:\Users\lmonroy\Tema\PLANILLAS\Boletas 16 - 31 Dic\POETIZA PANAIFO FREDY JONNY_T0001246.pdf", "Link")</f>
        <v/>
      </c>
      <c r="C2635" t="n">
        <v>166163</v>
      </c>
      <c r="D2635" t="inlineStr">
        <is>
          <t>2024-03-27 10:13:26</t>
        </is>
      </c>
      <c r="E2635" t="inlineStr">
        <is>
          <t>2024-03-27 10:02:36</t>
        </is>
      </c>
      <c r="F2635" t="inlineStr">
        <is>
          <t>666</t>
        </is>
      </c>
    </row>
    <row r="2636">
      <c r="A2636" t="inlineStr">
        <is>
          <t>PROAÑO MANIZARI DESIDERIO _T0001247.pdf</t>
        </is>
      </c>
      <c r="B2636">
        <f>HYPERLINK("C:\Users\lmonroy\Tema\PLANILLAS\Boletas 16 - 31 Dic\PROAÑO MANIZARI DESIDERIO _T0001247.pdf", "Link")</f>
        <v/>
      </c>
      <c r="C2636" t="n">
        <v>166333</v>
      </c>
      <c r="D2636" t="inlineStr">
        <is>
          <t>2024-03-27 10:12:48</t>
        </is>
      </c>
      <c r="E2636" t="inlineStr">
        <is>
          <t>2024-03-27 10:02:04</t>
        </is>
      </c>
      <c r="F2636" t="inlineStr">
        <is>
          <t>666</t>
        </is>
      </c>
    </row>
    <row r="2637">
      <c r="A2637" t="inlineStr">
        <is>
          <t>QUISTO CLEMENTE ANTONIO_T0001516.pdf</t>
        </is>
      </c>
      <c r="B2637">
        <f>HYPERLINK("C:\Users\lmonroy\Tema\PLANILLAS\Boletas 16 - 31 Dic\QUISTO CLEMENTE ANTONIO_T0001516.pdf", "Link")</f>
        <v/>
      </c>
      <c r="C2637" t="n">
        <v>166295</v>
      </c>
      <c r="D2637" t="inlineStr">
        <is>
          <t>2024-03-27 10:19:10</t>
        </is>
      </c>
      <c r="E2637" t="inlineStr">
        <is>
          <t>2024-03-27 10:07:55</t>
        </is>
      </c>
      <c r="F2637" t="inlineStr">
        <is>
          <t>666</t>
        </is>
      </c>
    </row>
    <row r="2638">
      <c r="A2638" t="inlineStr">
        <is>
          <t>QUISTO INUMA DANIEL _T0001248.pdf</t>
        </is>
      </c>
      <c r="B2638">
        <f>HYPERLINK("C:\Users\lmonroy\Tema\PLANILLAS\Boletas 16 - 31 Dic\QUISTO INUMA DANIEL _T0001248.pdf", "Link")</f>
        <v/>
      </c>
      <c r="C2638" t="n">
        <v>166299</v>
      </c>
      <c r="D2638" t="inlineStr">
        <is>
          <t>2024-03-27 10:14:40</t>
        </is>
      </c>
      <c r="E2638" t="inlineStr">
        <is>
          <t>2024-03-27 10:03:38</t>
        </is>
      </c>
      <c r="F2638" t="inlineStr">
        <is>
          <t>666</t>
        </is>
      </c>
    </row>
    <row r="2639">
      <c r="A2639" t="inlineStr">
        <is>
          <t>QUISTO INUMA JACINTO _T0001249.pdf</t>
        </is>
      </c>
      <c r="B2639">
        <f>HYPERLINK("C:\Users\lmonroy\Tema\PLANILLAS\Boletas 16 - 31 Dic\QUISTO INUMA JACINTO _T0001249.pdf", "Link")</f>
        <v/>
      </c>
      <c r="C2639" t="n">
        <v>166150</v>
      </c>
      <c r="D2639" t="inlineStr">
        <is>
          <t>2024-03-27 10:13:40</t>
        </is>
      </c>
      <c r="E2639" t="inlineStr">
        <is>
          <t>2024-03-27 10:02:48</t>
        </is>
      </c>
      <c r="F2639" t="inlineStr">
        <is>
          <t>666</t>
        </is>
      </c>
    </row>
    <row r="2640">
      <c r="A2640" t="inlineStr">
        <is>
          <t>QUISTO INUMA MANUEL _T0001250.pdf</t>
        </is>
      </c>
      <c r="B2640">
        <f>HYPERLINK("C:\Users\lmonroy\Tema\PLANILLAS\Boletas 16 - 31 Dic\QUISTO INUMA MANUEL _T0001250.pdf", "Link")</f>
        <v/>
      </c>
      <c r="C2640" t="n">
        <v>166317</v>
      </c>
      <c r="D2640" t="inlineStr">
        <is>
          <t>2024-03-27 10:13:41</t>
        </is>
      </c>
      <c r="E2640" t="inlineStr">
        <is>
          <t>2024-03-27 10:02:49</t>
        </is>
      </c>
      <c r="F2640" t="inlineStr">
        <is>
          <t>666</t>
        </is>
      </c>
    </row>
    <row r="2641">
      <c r="A2641" t="inlineStr">
        <is>
          <t>QUISTO JOGUISTA ROBINSON _T0001251.pdf</t>
        </is>
      </c>
      <c r="B2641">
        <f>HYPERLINK("C:\Users\lmonroy\Tema\PLANILLAS\Boletas 16 - 31 Dic\QUISTO JOGUISTA ROBINSON _T0001251.pdf", "Link")</f>
        <v/>
      </c>
      <c r="C2641" t="n">
        <v>166166</v>
      </c>
      <c r="D2641" t="inlineStr">
        <is>
          <t>2024-03-27 10:15:35</t>
        </is>
      </c>
      <c r="E2641" t="inlineStr">
        <is>
          <t>2024-03-27 10:04:22</t>
        </is>
      </c>
      <c r="F2641" t="inlineStr">
        <is>
          <t>666</t>
        </is>
      </c>
    </row>
    <row r="2642">
      <c r="A2642" t="inlineStr">
        <is>
          <t>QUISTO MACUSI FERNANDO _T0001252.pdf</t>
        </is>
      </c>
      <c r="B2642">
        <f>HYPERLINK("C:\Users\lmonroy\Tema\PLANILLAS\Boletas 16 - 31 Dic\QUISTO MACUSI FERNANDO _T0001252.pdf", "Link")</f>
        <v/>
      </c>
      <c r="C2642" t="n">
        <v>166318</v>
      </c>
      <c r="D2642" t="inlineStr">
        <is>
          <t>2024-03-27 10:14:22</t>
        </is>
      </c>
      <c r="E2642" t="inlineStr">
        <is>
          <t>2024-03-27 10:03:23</t>
        </is>
      </c>
      <c r="F2642" t="inlineStr">
        <is>
          <t>666</t>
        </is>
      </c>
    </row>
    <row r="2643">
      <c r="A2643" t="inlineStr">
        <is>
          <t>QUISTO MACUSI SEGUNDO _T0001253.pdf</t>
        </is>
      </c>
      <c r="B2643">
        <f>HYPERLINK("C:\Users\lmonroy\Tema\PLANILLAS\Boletas 16 - 31 Dic\QUISTO MACUSI SEGUNDO _T0001253.pdf", "Link")</f>
        <v/>
      </c>
      <c r="C2643" t="n">
        <v>166147</v>
      </c>
      <c r="D2643" t="inlineStr">
        <is>
          <t>2024-03-27 10:15:28</t>
        </is>
      </c>
      <c r="E2643" t="inlineStr">
        <is>
          <t>2024-03-27 10:04:16</t>
        </is>
      </c>
      <c r="F2643" t="inlineStr">
        <is>
          <t>666</t>
        </is>
      </c>
    </row>
    <row r="2644">
      <c r="A2644" t="inlineStr">
        <is>
          <t>RAMIREZ HIDALGO NELVIN MANUEL _T0001255.pdf</t>
        </is>
      </c>
      <c r="B2644">
        <f>HYPERLINK("C:\Users\lmonroy\Tema\PLANILLAS\Boletas 16 - 31 Dic\RAMIREZ HIDALGO NELVIN MANUEL _T0001255.pdf", "Link")</f>
        <v/>
      </c>
      <c r="C2644" t="n">
        <v>166158</v>
      </c>
      <c r="D2644" t="inlineStr">
        <is>
          <t>2024-03-27 10:16:47</t>
        </is>
      </c>
      <c r="E2644" t="inlineStr">
        <is>
          <t>2024-03-27 10:05:24</t>
        </is>
      </c>
      <c r="F2644" t="inlineStr">
        <is>
          <t>666</t>
        </is>
      </c>
    </row>
    <row r="2645">
      <c r="A2645" t="inlineStr">
        <is>
          <t>RAMIREZ PANDURO MANUEL_T0001463.pdf</t>
        </is>
      </c>
      <c r="B2645">
        <f>HYPERLINK("C:\Users\lmonroy\Tema\PLANILLAS\Boletas 16 - 31 Dic\RAMIREZ PANDURO MANUEL_T0001463.pdf", "Link")</f>
        <v/>
      </c>
      <c r="C2645" t="n">
        <v>166146</v>
      </c>
      <c r="D2645" t="inlineStr">
        <is>
          <t>2024-03-27 10:16:10</t>
        </is>
      </c>
      <c r="E2645" t="inlineStr">
        <is>
          <t>2024-03-27 10:04:51</t>
        </is>
      </c>
      <c r="F2645" t="inlineStr">
        <is>
          <t>666</t>
        </is>
      </c>
    </row>
    <row r="2646">
      <c r="A2646" t="inlineStr">
        <is>
          <t>RAMIREZ TORRES MANUEL _T0001257.pdf</t>
        </is>
      </c>
      <c r="B2646">
        <f>HYPERLINK("C:\Users\lmonroy\Tema\PLANILLAS\Boletas 16 - 31 Dic\RAMIREZ TORRES MANUEL _T0001257.pdf", "Link")</f>
        <v/>
      </c>
      <c r="C2646" t="n">
        <v>166143</v>
      </c>
      <c r="D2646" t="inlineStr">
        <is>
          <t>2024-03-27 10:18:57</t>
        </is>
      </c>
      <c r="E2646" t="inlineStr">
        <is>
          <t>2024-03-27 10:07:42</t>
        </is>
      </c>
      <c r="F2646" t="inlineStr">
        <is>
          <t>666</t>
        </is>
      </c>
    </row>
    <row r="2647">
      <c r="A2647" t="inlineStr">
        <is>
          <t>RAMON ARAHUATE ISAAC_T0001517.pdf</t>
        </is>
      </c>
      <c r="B2647">
        <f>HYPERLINK("C:\Users\lmonroy\Tema\PLANILLAS\Boletas 16 - 31 Dic\RAMON ARAHUATE ISAAC_T0001517.pdf", "Link")</f>
        <v/>
      </c>
      <c r="C2647" t="n">
        <v>166295</v>
      </c>
      <c r="D2647" t="inlineStr">
        <is>
          <t>2024-03-27 10:15:42</t>
        </is>
      </c>
      <c r="E2647" t="inlineStr">
        <is>
          <t>2024-03-27 10:04:28</t>
        </is>
      </c>
      <c r="F2647" t="inlineStr">
        <is>
          <t>666</t>
        </is>
      </c>
    </row>
    <row r="2648">
      <c r="A2648" t="inlineStr">
        <is>
          <t>RAMON ARAHUATE JACOB_T0001518.pdf</t>
        </is>
      </c>
      <c r="B2648">
        <f>HYPERLINK("C:\Users\lmonroy\Tema\PLANILLAS\Boletas 16 - 31 Dic\RAMON ARAHUATE JACOB_T0001518.pdf", "Link")</f>
        <v/>
      </c>
      <c r="C2648" t="n">
        <v>166288</v>
      </c>
      <c r="D2648" t="inlineStr">
        <is>
          <t>2024-03-27 10:15:39</t>
        </is>
      </c>
      <c r="E2648" t="inlineStr">
        <is>
          <t>2024-03-27 10:04:25</t>
        </is>
      </c>
      <c r="F2648" t="inlineStr">
        <is>
          <t>666</t>
        </is>
      </c>
    </row>
    <row r="2649">
      <c r="A2649" t="inlineStr">
        <is>
          <t>RAMON INUMA JUAN _T0001258.pdf</t>
        </is>
      </c>
      <c r="B2649">
        <f>HYPERLINK("C:\Users\lmonroy\Tema\PLANILLAS\Boletas 16 - 31 Dic\RAMON INUMA JUAN _T0001258.pdf", "Link")</f>
        <v/>
      </c>
      <c r="C2649" t="n">
        <v>166294</v>
      </c>
      <c r="D2649" t="inlineStr">
        <is>
          <t>2024-03-27 10:17:41</t>
        </is>
      </c>
      <c r="E2649" t="inlineStr">
        <is>
          <t>2024-03-27 10:06:21</t>
        </is>
      </c>
      <c r="F2649" t="inlineStr">
        <is>
          <t>666</t>
        </is>
      </c>
    </row>
    <row r="2650">
      <c r="A2650" t="inlineStr">
        <is>
          <t>RENGIFO GARATE JHONY_T0001259.pdf</t>
        </is>
      </c>
      <c r="B2650">
        <f>HYPERLINK("C:\Users\lmonroy\Tema\PLANILLAS\Boletas 16 - 31 Dic\RENGIFO GARATE JHONY_T0001259.pdf", "Link")</f>
        <v/>
      </c>
      <c r="C2650" t="n">
        <v>166157</v>
      </c>
      <c r="D2650" t="inlineStr">
        <is>
          <t>2024-03-27 10:13:16</t>
        </is>
      </c>
      <c r="E2650" t="inlineStr">
        <is>
          <t>2024-03-27 10:02:28</t>
        </is>
      </c>
      <c r="F2650" t="inlineStr">
        <is>
          <t>666</t>
        </is>
      </c>
    </row>
    <row r="2651">
      <c r="A2651" t="inlineStr">
        <is>
          <t>RIOJA QUIROZ FRANCISCO EDWIN_T0001261.pdf</t>
        </is>
      </c>
      <c r="B2651">
        <f>HYPERLINK("C:\Users\lmonroy\Tema\PLANILLAS\Boletas 16 - 31 Dic\RIOJA QUIROZ FRANCISCO EDWIN_T0001261.pdf", "Link")</f>
        <v/>
      </c>
      <c r="C2651" t="n">
        <v>166226</v>
      </c>
      <c r="D2651" t="inlineStr">
        <is>
          <t>2024-03-27 10:17:58</t>
        </is>
      </c>
      <c r="E2651" t="inlineStr">
        <is>
          <t>2024-03-27 10:06:39</t>
        </is>
      </c>
      <c r="F2651" t="inlineStr">
        <is>
          <t>666</t>
        </is>
      </c>
    </row>
    <row r="2652">
      <c r="A2652" t="inlineStr">
        <is>
          <t>RIOS LOMAS WESEMBER _T0001263.pdf</t>
        </is>
      </c>
      <c r="B2652">
        <f>HYPERLINK("C:\Users\lmonroy\Tema\PLANILLAS\Boletas 16 - 31 Dic\RIOS LOMAS WESEMBER _T0001263.pdf", "Link")</f>
        <v/>
      </c>
      <c r="C2652" t="n">
        <v>166121</v>
      </c>
      <c r="D2652" t="inlineStr">
        <is>
          <t>2024-03-27 10:17:04</t>
        </is>
      </c>
      <c r="E2652" t="inlineStr">
        <is>
          <t>2024-03-27 10:05:42</t>
        </is>
      </c>
      <c r="F2652" t="inlineStr">
        <is>
          <t>666</t>
        </is>
      </c>
    </row>
    <row r="2653">
      <c r="A2653" t="inlineStr">
        <is>
          <t>RIOS MORI NIXON JANOBER_T0001264.pdf</t>
        </is>
      </c>
      <c r="B2653">
        <f>HYPERLINK("C:\Users\lmonroy\Tema\PLANILLAS\Boletas 16 - 31 Dic\RIOS MORI NIXON JANOBER_T0001264.pdf", "Link")</f>
        <v/>
      </c>
      <c r="C2653" t="n">
        <v>166185</v>
      </c>
      <c r="D2653" t="inlineStr">
        <is>
          <t>2024-03-27 10:12:07</t>
        </is>
      </c>
      <c r="E2653" t="inlineStr">
        <is>
          <t>2024-03-27 10:01:28</t>
        </is>
      </c>
      <c r="F2653" t="inlineStr">
        <is>
          <t>666</t>
        </is>
      </c>
    </row>
    <row r="2654">
      <c r="A2654" t="inlineStr">
        <is>
          <t>RIOS MORI ORLANDO MICHAEL_T0001265.pdf</t>
        </is>
      </c>
      <c r="B2654">
        <f>HYPERLINK("C:\Users\lmonroy\Tema\PLANILLAS\Boletas 16 - 31 Dic\RIOS MORI ORLANDO MICHAEL_T0001265.pdf", "Link")</f>
        <v/>
      </c>
      <c r="C2654" t="n">
        <v>166307</v>
      </c>
      <c r="D2654" t="inlineStr">
        <is>
          <t>2024-03-27 10:14:25</t>
        </is>
      </c>
      <c r="E2654" t="inlineStr">
        <is>
          <t>2024-03-27 10:03:26</t>
        </is>
      </c>
      <c r="F2654" t="inlineStr">
        <is>
          <t>666</t>
        </is>
      </c>
    </row>
    <row r="2655">
      <c r="A2655" t="inlineStr">
        <is>
          <t>RIOS MURAYARI MELVIN_T0001266.pdf</t>
        </is>
      </c>
      <c r="B2655">
        <f>HYPERLINK("C:\Users\lmonroy\Tema\PLANILLAS\Boletas 16 - 31 Dic\RIOS MURAYARI MELVIN_T0001266.pdf", "Link")</f>
        <v/>
      </c>
      <c r="C2655" t="n">
        <v>166136</v>
      </c>
      <c r="D2655" t="inlineStr">
        <is>
          <t>2024-03-27 10:19:16</t>
        </is>
      </c>
      <c r="E2655" t="inlineStr">
        <is>
          <t>2024-03-27 10:08:00</t>
        </is>
      </c>
      <c r="F2655" t="inlineStr">
        <is>
          <t>666</t>
        </is>
      </c>
    </row>
    <row r="2656">
      <c r="A2656" t="inlineStr">
        <is>
          <t>RIOS MURAYARI WAGNER _T0001267.pdf</t>
        </is>
      </c>
      <c r="B2656">
        <f>HYPERLINK("C:\Users\lmonroy\Tema\PLANILLAS\Boletas 16 - 31 Dic\RIOS MURAYARI WAGNER _T0001267.pdf", "Link")</f>
        <v/>
      </c>
      <c r="C2656" t="n">
        <v>166147</v>
      </c>
      <c r="D2656" t="inlineStr">
        <is>
          <t>2024-03-27 10:19:02</t>
        </is>
      </c>
      <c r="E2656" t="inlineStr">
        <is>
          <t>2024-03-27 10:07:47</t>
        </is>
      </c>
      <c r="F2656" t="inlineStr">
        <is>
          <t>666</t>
        </is>
      </c>
    </row>
    <row r="2657">
      <c r="A2657" t="inlineStr">
        <is>
          <t>RIOS PROAÑO ALCI _T0001268.pdf</t>
        </is>
      </c>
      <c r="B2657">
        <f>HYPERLINK("C:\Users\lmonroy\Tema\PLANILLAS\Boletas 16 - 31 Dic\RIOS PROAÑO ALCI _T0001268.pdf", "Link")</f>
        <v/>
      </c>
      <c r="C2657" t="n">
        <v>166346</v>
      </c>
      <c r="D2657" t="inlineStr">
        <is>
          <t>2024-03-27 10:17:02</t>
        </is>
      </c>
      <c r="E2657" t="inlineStr">
        <is>
          <t>2024-03-27 10:05:40</t>
        </is>
      </c>
      <c r="F2657" t="inlineStr">
        <is>
          <t>666</t>
        </is>
      </c>
    </row>
    <row r="2658">
      <c r="A2658" t="inlineStr">
        <is>
          <t>RIOS RIOS FREDY _T0001269.pdf</t>
        </is>
      </c>
      <c r="B2658">
        <f>HYPERLINK("C:\Users\lmonroy\Tema\PLANILLAS\Boletas 16 - 31 Dic\RIOS RIOS FREDY _T0001269.pdf", "Link")</f>
        <v/>
      </c>
      <c r="C2658" t="n">
        <v>166165</v>
      </c>
      <c r="D2658" t="inlineStr">
        <is>
          <t>2024-03-27 10:17:20</t>
        </is>
      </c>
      <c r="E2658" t="inlineStr">
        <is>
          <t>2024-03-27 10:05:59</t>
        </is>
      </c>
      <c r="F2658" t="inlineStr">
        <is>
          <t>666</t>
        </is>
      </c>
    </row>
    <row r="2659">
      <c r="A2659" t="inlineStr">
        <is>
          <t>RIOS RIOS JHACSON_T0001383.pdf</t>
        </is>
      </c>
      <c r="B2659">
        <f>HYPERLINK("C:\Users\lmonroy\Tema\PLANILLAS\Boletas 16 - 31 Dic\RIOS RIOS JHACSON_T0001383.pdf", "Link")</f>
        <v/>
      </c>
      <c r="C2659" t="n">
        <v>166323</v>
      </c>
      <c r="D2659" t="inlineStr">
        <is>
          <t>2024-03-27 10:12:43</t>
        </is>
      </c>
      <c r="E2659" t="inlineStr">
        <is>
          <t>2024-03-27 10:01:59</t>
        </is>
      </c>
      <c r="F2659" t="inlineStr">
        <is>
          <t>666</t>
        </is>
      </c>
    </row>
    <row r="2660">
      <c r="A2660" t="inlineStr">
        <is>
          <t>RIOS RIOS JHON LELIS_T0001270.pdf</t>
        </is>
      </c>
      <c r="B2660">
        <f>HYPERLINK("C:\Users\lmonroy\Tema\PLANILLAS\Boletas 16 - 31 Dic\RIOS RIOS JHON LELIS_T0001270.pdf", "Link")</f>
        <v/>
      </c>
      <c r="C2660" t="n">
        <v>166190</v>
      </c>
      <c r="D2660" t="inlineStr">
        <is>
          <t>2024-03-27 10:18:28</t>
        </is>
      </c>
      <c r="E2660" t="inlineStr">
        <is>
          <t>2024-03-27 10:07:11</t>
        </is>
      </c>
      <c r="F2660" t="inlineStr">
        <is>
          <t>666</t>
        </is>
      </c>
    </row>
    <row r="2661">
      <c r="A2661" t="inlineStr">
        <is>
          <t>RIOS RIOS SEGUNDO NICANOR_T0001271.pdf</t>
        </is>
      </c>
      <c r="B2661">
        <f>HYPERLINK("C:\Users\lmonroy\Tema\PLANILLAS\Boletas 16 - 31 Dic\RIOS RIOS SEGUNDO NICANOR_T0001271.pdf", "Link")</f>
        <v/>
      </c>
      <c r="C2661" t="n">
        <v>166184</v>
      </c>
      <c r="D2661" t="inlineStr">
        <is>
          <t>2024-03-27 10:18:29</t>
        </is>
      </c>
      <c r="E2661" t="inlineStr">
        <is>
          <t>2024-03-27 10:07:12</t>
        </is>
      </c>
      <c r="F2661" t="inlineStr">
        <is>
          <t>666</t>
        </is>
      </c>
    </row>
    <row r="2662">
      <c r="A2662" t="inlineStr">
        <is>
          <t>RODRIGUEZ RIOS FRANK _T0001272.pdf</t>
        </is>
      </c>
      <c r="B2662">
        <f>HYPERLINK("C:\Users\lmonroy\Tema\PLANILLAS\Boletas 16 - 31 Dic\RODRIGUEZ RIOS FRANK _T0001272.pdf", "Link")</f>
        <v/>
      </c>
      <c r="C2662" t="n">
        <v>166193</v>
      </c>
      <c r="D2662" t="inlineStr">
        <is>
          <t>2024-03-27 10:15:12</t>
        </is>
      </c>
      <c r="E2662" t="inlineStr">
        <is>
          <t>2024-03-27 10:04:03</t>
        </is>
      </c>
      <c r="F2662" t="inlineStr">
        <is>
          <t>666</t>
        </is>
      </c>
    </row>
    <row r="2663">
      <c r="A2663" t="inlineStr">
        <is>
          <t>ROFINO QUISTO PEDRO _T0001278.pdf</t>
        </is>
      </c>
      <c r="B2663">
        <f>HYPERLINK("C:\Users\lmonroy\Tema\PLANILLAS\Boletas 16 - 31 Dic\ROFINO QUISTO PEDRO _T0001278.pdf", "Link")</f>
        <v/>
      </c>
      <c r="C2663" t="n">
        <v>166295</v>
      </c>
      <c r="D2663" t="inlineStr">
        <is>
          <t>2024-03-27 10:15:29</t>
        </is>
      </c>
      <c r="E2663" t="inlineStr">
        <is>
          <t>2024-03-27 10:04:17</t>
        </is>
      </c>
      <c r="F2663" t="inlineStr">
        <is>
          <t>666</t>
        </is>
      </c>
    </row>
    <row r="2664">
      <c r="A2664" t="inlineStr">
        <is>
          <t>ROJAS INUMA JULIO CESAR_T0001273.pdf</t>
        </is>
      </c>
      <c r="B2664">
        <f>HYPERLINK("C:\Users\lmonroy\Tema\PLANILLAS\Boletas 16 - 31 Dic\ROJAS INUMA JULIO CESAR_T0001273.pdf", "Link")</f>
        <v/>
      </c>
      <c r="C2664" t="n">
        <v>166173</v>
      </c>
      <c r="D2664" t="inlineStr">
        <is>
          <t>2024-03-27 10:17:15</t>
        </is>
      </c>
      <c r="E2664" t="inlineStr">
        <is>
          <t>2024-03-27 10:05:53</t>
        </is>
      </c>
      <c r="F2664" t="inlineStr">
        <is>
          <t>666</t>
        </is>
      </c>
    </row>
    <row r="2665">
      <c r="A2665" t="inlineStr">
        <is>
          <t>ROJAS INUMA SEGUNDO MANUEL_T0001274.pdf</t>
        </is>
      </c>
      <c r="B2665">
        <f>HYPERLINK("C:\Users\lmonroy\Tema\PLANILLAS\Boletas 16 - 31 Dic\ROJAS INUMA SEGUNDO MANUEL_T0001274.pdf", "Link")</f>
        <v/>
      </c>
      <c r="C2665" t="n">
        <v>166326</v>
      </c>
      <c r="D2665" t="inlineStr">
        <is>
          <t>2024-03-27 10:13:01</t>
        </is>
      </c>
      <c r="E2665" t="inlineStr">
        <is>
          <t>2024-03-27 10:02:15</t>
        </is>
      </c>
      <c r="F2665" t="inlineStr">
        <is>
          <t>666</t>
        </is>
      </c>
    </row>
    <row r="2666">
      <c r="A2666" t="inlineStr">
        <is>
          <t>ROJAS JOGUISTA JULIAN _T0001275.pdf</t>
        </is>
      </c>
      <c r="B2666">
        <f>HYPERLINK("C:\Users\lmonroy\Tema\PLANILLAS\Boletas 16 - 31 Dic\ROJAS JOGUISTA JULIAN _T0001275.pdf", "Link")</f>
        <v/>
      </c>
      <c r="C2666" t="n">
        <v>166176</v>
      </c>
      <c r="D2666" t="inlineStr">
        <is>
          <t>2024-03-27 10:18:03</t>
        </is>
      </c>
      <c r="E2666" t="inlineStr">
        <is>
          <t>2024-03-27 10:06:45</t>
        </is>
      </c>
      <c r="F2666" t="inlineStr">
        <is>
          <t>666</t>
        </is>
      </c>
    </row>
    <row r="2667">
      <c r="A2667" t="inlineStr">
        <is>
          <t>ROJAS SHUÑA JHONATAN_T0001474.pdf</t>
        </is>
      </c>
      <c r="B2667">
        <f>HYPERLINK("C:\Users\lmonroy\Tema\PLANILLAS\Boletas 16 - 31 Dic\ROJAS SHUÑA JHONATAN_T0001474.pdf", "Link")</f>
        <v/>
      </c>
      <c r="C2667" t="n">
        <v>166329</v>
      </c>
      <c r="D2667" t="inlineStr">
        <is>
          <t>2024-03-27 10:12:10</t>
        </is>
      </c>
      <c r="E2667" t="inlineStr">
        <is>
          <t>2024-03-27 10:01:30</t>
        </is>
      </c>
      <c r="F2667" t="inlineStr">
        <is>
          <t>666</t>
        </is>
      </c>
    </row>
    <row r="2668">
      <c r="A2668" t="inlineStr">
        <is>
          <t>ROMERO MACUSI DANIEL _T0001276.pdf</t>
        </is>
      </c>
      <c r="B2668">
        <f>HYPERLINK("C:\Users\lmonroy\Tema\PLANILLAS\Boletas 16 - 31 Dic\ROMERO MACUSI DANIEL _T0001276.pdf", "Link")</f>
        <v/>
      </c>
      <c r="C2668" t="n">
        <v>166027</v>
      </c>
      <c r="D2668" t="inlineStr">
        <is>
          <t>2024-03-27 10:18:46</t>
        </is>
      </c>
      <c r="E2668" t="inlineStr">
        <is>
          <t>2024-03-27 10:07:29</t>
        </is>
      </c>
      <c r="F2668" t="inlineStr">
        <is>
          <t>666</t>
        </is>
      </c>
    </row>
    <row r="2669">
      <c r="A2669" t="inlineStr">
        <is>
          <t>RUFINO MACUSI ANTONIO _T0001277.pdf</t>
        </is>
      </c>
      <c r="B2669">
        <f>HYPERLINK("C:\Users\lmonroy\Tema\PLANILLAS\Boletas 16 - 31 Dic\RUFINO MACUSI ANTONIO _T0001277.pdf", "Link")</f>
        <v/>
      </c>
      <c r="C2669" t="n">
        <v>166342</v>
      </c>
      <c r="D2669" t="inlineStr">
        <is>
          <t>2024-03-27 10:13:30</t>
        </is>
      </c>
      <c r="E2669" t="inlineStr">
        <is>
          <t>2024-03-27 10:02:39</t>
        </is>
      </c>
      <c r="F2669" t="inlineStr">
        <is>
          <t>666</t>
        </is>
      </c>
    </row>
    <row r="2670">
      <c r="A2670" t="inlineStr">
        <is>
          <t>RUIZ CHANCHARI SEGUNDO _T0001279.pdf</t>
        </is>
      </c>
      <c r="B2670">
        <f>HYPERLINK("C:\Users\lmonroy\Tema\PLANILLAS\Boletas 16 - 31 Dic\RUIZ CHANCHARI SEGUNDO _T0001279.pdf", "Link")</f>
        <v/>
      </c>
      <c r="C2670" t="n">
        <v>166329</v>
      </c>
      <c r="D2670" t="inlineStr">
        <is>
          <t>2024-03-27 10:12:12</t>
        </is>
      </c>
      <c r="E2670" t="inlineStr">
        <is>
          <t>2024-03-27 10:01:32</t>
        </is>
      </c>
      <c r="F2670" t="inlineStr">
        <is>
          <t>666</t>
        </is>
      </c>
    </row>
    <row r="2671">
      <c r="A2671" t="inlineStr">
        <is>
          <t>RUIZ JOGUISTA GABRIEL _T0001280.pdf</t>
        </is>
      </c>
      <c r="B2671">
        <f>HYPERLINK("C:\Users\lmonroy\Tema\PLANILLAS\Boletas 16 - 31 Dic\RUIZ JOGUISTA GABRIEL _T0001280.pdf", "Link")</f>
        <v/>
      </c>
      <c r="C2671" t="n">
        <v>166115</v>
      </c>
      <c r="D2671" t="inlineStr">
        <is>
          <t>2024-03-27 10:12:57</t>
        </is>
      </c>
      <c r="E2671" t="inlineStr">
        <is>
          <t>2024-03-27 10:02:11</t>
        </is>
      </c>
      <c r="F2671" t="inlineStr">
        <is>
          <t>666</t>
        </is>
      </c>
    </row>
    <row r="2672">
      <c r="A2672" t="inlineStr">
        <is>
          <t>RUIZ JOGUISTA HUMBERTO _T0001281.pdf</t>
        </is>
      </c>
      <c r="B2672">
        <f>HYPERLINK("C:\Users\lmonroy\Tema\PLANILLAS\Boletas 16 - 31 Dic\RUIZ JOGUISTA HUMBERTO _T0001281.pdf", "Link")</f>
        <v/>
      </c>
      <c r="C2672" t="n">
        <v>166162</v>
      </c>
      <c r="D2672" t="inlineStr">
        <is>
          <t>2024-03-27 10:13:45</t>
        </is>
      </c>
      <c r="E2672" t="inlineStr">
        <is>
          <t>2024-03-27 10:02:52</t>
        </is>
      </c>
      <c r="F2672" t="inlineStr">
        <is>
          <t>666</t>
        </is>
      </c>
    </row>
    <row r="2673">
      <c r="A2673" t="inlineStr">
        <is>
          <t>RUIZ JOGUISTA JOSE _T0001282.pdf</t>
        </is>
      </c>
      <c r="B2673">
        <f>HYPERLINK("C:\Users\lmonroy\Tema\PLANILLAS\Boletas 16 - 31 Dic\RUIZ JOGUISTA JOSE _T0001282.pdf", "Link")</f>
        <v/>
      </c>
      <c r="C2673" t="n">
        <v>166318</v>
      </c>
      <c r="D2673" t="inlineStr">
        <is>
          <t>2024-03-27 10:12:53</t>
        </is>
      </c>
      <c r="E2673" t="inlineStr">
        <is>
          <t>2024-03-27 10:02:08</t>
        </is>
      </c>
      <c r="F2673" t="inlineStr">
        <is>
          <t>666</t>
        </is>
      </c>
    </row>
    <row r="2674">
      <c r="A2674" t="inlineStr">
        <is>
          <t>RUIZ JOGUISTA RICHER _T0001283.pdf</t>
        </is>
      </c>
      <c r="B2674">
        <f>HYPERLINK("C:\Users\lmonroy\Tema\PLANILLAS\Boletas 16 - 31 Dic\RUIZ JOGUISTA RICHER _T0001283.pdf", "Link")</f>
        <v/>
      </c>
      <c r="C2674" t="n">
        <v>166322</v>
      </c>
      <c r="D2674" t="inlineStr">
        <is>
          <t>2024-03-27 10:14:28</t>
        </is>
      </c>
      <c r="E2674" t="inlineStr">
        <is>
          <t>2024-03-27 10:03:29</t>
        </is>
      </c>
      <c r="F2674" t="inlineStr">
        <is>
          <t>666</t>
        </is>
      </c>
    </row>
    <row r="2675">
      <c r="A2675" t="inlineStr">
        <is>
          <t>RUIZ LA TORRE ELVIS CHARLES _T0001490.pdf</t>
        </is>
      </c>
      <c r="B2675">
        <f>HYPERLINK("C:\Users\lmonroy\Tema\PLANILLAS\Boletas 16 - 31 Dic\RUIZ LA TORRE ELVIS CHARLES _T0001490.pdf", "Link")</f>
        <v/>
      </c>
      <c r="C2675" t="n">
        <v>166330</v>
      </c>
      <c r="D2675" t="inlineStr">
        <is>
          <t>2024-03-27 10:17:05</t>
        </is>
      </c>
      <c r="E2675" t="inlineStr">
        <is>
          <t>2024-03-27 10:05:43</t>
        </is>
      </c>
      <c r="F2675" t="inlineStr">
        <is>
          <t>666</t>
        </is>
      </c>
    </row>
    <row r="2676">
      <c r="A2676" t="inlineStr">
        <is>
          <t>RUIZ LA TORRE JOSE_T0001488.pdf</t>
        </is>
      </c>
      <c r="B2676">
        <f>HYPERLINK("C:\Users\lmonroy\Tema\PLANILLAS\Boletas 16 - 31 Dic\RUIZ LA TORRE JOSE_T0001488.pdf", "Link")</f>
        <v/>
      </c>
      <c r="C2676" t="n">
        <v>166308</v>
      </c>
      <c r="D2676" t="inlineStr">
        <is>
          <t>2024-03-27 10:12:44</t>
        </is>
      </c>
      <c r="E2676" t="inlineStr">
        <is>
          <t>2024-03-27 10:02:00</t>
        </is>
      </c>
      <c r="F2676" t="inlineStr">
        <is>
          <t>666</t>
        </is>
      </c>
    </row>
    <row r="2677">
      <c r="A2677" t="inlineStr">
        <is>
          <t>RUIZ LOPEZ ALBERTO _T0001285.pdf</t>
        </is>
      </c>
      <c r="B2677">
        <f>HYPERLINK("C:\Users\lmonroy\Tema\PLANILLAS\Boletas 16 - 31 Dic\RUIZ LOPEZ ALBERTO _T0001285.pdf", "Link")</f>
        <v/>
      </c>
      <c r="C2677" t="n">
        <v>166143</v>
      </c>
      <c r="D2677" t="inlineStr">
        <is>
          <t>2024-03-27 10:17:47</t>
        </is>
      </c>
      <c r="E2677" t="inlineStr">
        <is>
          <t>2024-03-27 10:06:28</t>
        </is>
      </c>
      <c r="F2677" t="inlineStr">
        <is>
          <t>666</t>
        </is>
      </c>
    </row>
    <row r="2678">
      <c r="A2678" t="inlineStr">
        <is>
          <t>RUIZ MACUSI JOSE _T0001286.pdf</t>
        </is>
      </c>
      <c r="B2678">
        <f>HYPERLINK("C:\Users\lmonroy\Tema\PLANILLAS\Boletas 16 - 31 Dic\RUIZ MACUSI JOSE _T0001286.pdf", "Link")</f>
        <v/>
      </c>
      <c r="C2678" t="n">
        <v>166156</v>
      </c>
      <c r="D2678" t="inlineStr">
        <is>
          <t>2024-03-27 10:18:50</t>
        </is>
      </c>
      <c r="E2678" t="inlineStr">
        <is>
          <t>2024-03-27 10:07:34</t>
        </is>
      </c>
      <c r="F2678" t="inlineStr">
        <is>
          <t>666</t>
        </is>
      </c>
    </row>
    <row r="2679">
      <c r="A2679" t="inlineStr">
        <is>
          <t>RUIZ MACUSI NIXON _T0001287.pdf</t>
        </is>
      </c>
      <c r="B2679">
        <f>HYPERLINK("C:\Users\lmonroy\Tema\PLANILLAS\Boletas 16 - 31 Dic\RUIZ MACUSI NIXON _T0001287.pdf", "Link")</f>
        <v/>
      </c>
      <c r="C2679" t="n">
        <v>166170</v>
      </c>
      <c r="D2679" t="inlineStr">
        <is>
          <t>2024-03-27 10:14:27</t>
        </is>
      </c>
      <c r="E2679" t="inlineStr">
        <is>
          <t>2024-03-27 10:03:28</t>
        </is>
      </c>
      <c r="F2679" t="inlineStr">
        <is>
          <t>666</t>
        </is>
      </c>
    </row>
    <row r="2680">
      <c r="A2680" t="inlineStr">
        <is>
          <t>RUIZ MACUSI RIGOBERTO _T0001288.pdf</t>
        </is>
      </c>
      <c r="B2680">
        <f>HYPERLINK("C:\Users\lmonroy\Tema\PLANILLAS\Boletas 16 - 31 Dic\RUIZ MACUSI RIGOBERTO _T0001288.pdf", "Link")</f>
        <v/>
      </c>
      <c r="C2680" t="n">
        <v>166332</v>
      </c>
      <c r="D2680" t="inlineStr">
        <is>
          <t>2024-03-27 10:17:31</t>
        </is>
      </c>
      <c r="E2680" t="inlineStr">
        <is>
          <t>2024-03-27 10:06:11</t>
        </is>
      </c>
      <c r="F2680" t="inlineStr">
        <is>
          <t>666</t>
        </is>
      </c>
    </row>
    <row r="2681">
      <c r="A2681" t="inlineStr">
        <is>
          <t>RUIZ MACUSI WILMER _T0001289.pdf</t>
        </is>
      </c>
      <c r="B2681">
        <f>HYPERLINK("C:\Users\lmonroy\Tema\PLANILLAS\Boletas 16 - 31 Dic\RUIZ MACUSI WILMER _T0001289.pdf", "Link")</f>
        <v/>
      </c>
      <c r="C2681" t="n">
        <v>166168</v>
      </c>
      <c r="D2681" t="inlineStr">
        <is>
          <t>2024-03-27 10:16:23</t>
        </is>
      </c>
      <c r="E2681" t="inlineStr">
        <is>
          <t>2024-03-27 10:05:02</t>
        </is>
      </c>
      <c r="F2681" t="inlineStr">
        <is>
          <t>666</t>
        </is>
      </c>
    </row>
    <row r="2682">
      <c r="A2682" t="inlineStr">
        <is>
          <t>RUIZ RAMON JOSE _T0001290.pdf</t>
        </is>
      </c>
      <c r="B2682">
        <f>HYPERLINK("C:\Users\lmonroy\Tema\PLANILLAS\Boletas 16 - 31 Dic\RUIZ RAMON JOSE _T0001290.pdf", "Link")</f>
        <v/>
      </c>
      <c r="C2682" t="n">
        <v>166143</v>
      </c>
      <c r="D2682" t="inlineStr">
        <is>
          <t>2024-03-27 10:18:11</t>
        </is>
      </c>
      <c r="E2682" t="inlineStr">
        <is>
          <t>2024-03-27 10:06:53</t>
        </is>
      </c>
      <c r="F2682" t="inlineStr">
        <is>
          <t>666</t>
        </is>
      </c>
    </row>
    <row r="2683">
      <c r="A2683" t="inlineStr">
        <is>
          <t>RUIZ RIOS OSCAR _T0001291.pdf</t>
        </is>
      </c>
      <c r="B2683">
        <f>HYPERLINK("C:\Users\lmonroy\Tema\PLANILLAS\Boletas 16 - 31 Dic\RUIZ RIOS OSCAR _T0001291.pdf", "Link")</f>
        <v/>
      </c>
      <c r="C2683" t="n">
        <v>166143</v>
      </c>
      <c r="D2683" t="inlineStr">
        <is>
          <t>2024-03-27 10:12:19</t>
        </is>
      </c>
      <c r="E2683" t="inlineStr">
        <is>
          <t>2024-03-27 10:01:38</t>
        </is>
      </c>
      <c r="F2683" t="inlineStr">
        <is>
          <t>666</t>
        </is>
      </c>
    </row>
    <row r="2684">
      <c r="A2684" t="inlineStr">
        <is>
          <t>RUIZ TABORGA LANDER PALERMO_T0001292.pdf</t>
        </is>
      </c>
      <c r="B2684">
        <f>HYPERLINK("C:\Users\lmonroy\Tema\PLANILLAS\Boletas 16 - 31 Dic\RUIZ TABORGA LANDER PALERMO_T0001292.pdf", "Link")</f>
        <v/>
      </c>
      <c r="C2684" t="n">
        <v>166165</v>
      </c>
      <c r="D2684" t="inlineStr">
        <is>
          <t>2024-03-27 10:15:48</t>
        </is>
      </c>
      <c r="E2684" t="inlineStr">
        <is>
          <t>2024-03-27 10:04:32</t>
        </is>
      </c>
      <c r="F2684" t="inlineStr">
        <is>
          <t>666</t>
        </is>
      </c>
    </row>
    <row r="2685">
      <c r="A2685" t="inlineStr">
        <is>
          <t>SAAVEDRA SANTA MARIA RIMMER _T0001293.pdf</t>
        </is>
      </c>
      <c r="B2685">
        <f>HYPERLINK("C:\Users\lmonroy\Tema\PLANILLAS\Boletas 16 - 31 Dic\SAAVEDRA SANTA MARIA RIMMER _T0001293.pdf", "Link")</f>
        <v/>
      </c>
      <c r="C2685" t="n">
        <v>166358</v>
      </c>
      <c r="D2685" t="inlineStr">
        <is>
          <t>2024-03-27 10:18:58</t>
        </is>
      </c>
      <c r="E2685" t="inlineStr">
        <is>
          <t>2024-03-27 10:07:43</t>
        </is>
      </c>
      <c r="F2685" t="inlineStr">
        <is>
          <t>666</t>
        </is>
      </c>
    </row>
    <row r="2686">
      <c r="A2686" t="inlineStr">
        <is>
          <t>SAIRO DASILVA WALDIR _T0001294.pdf</t>
        </is>
      </c>
      <c r="B2686">
        <f>HYPERLINK("C:\Users\lmonroy\Tema\PLANILLAS\Boletas 16 - 31 Dic\SAIRO DASILVA WALDIR _T0001294.pdf", "Link")</f>
        <v/>
      </c>
      <c r="C2686" t="n">
        <v>166354</v>
      </c>
      <c r="D2686" t="inlineStr">
        <is>
          <t>2024-03-27 10:14:21</t>
        </is>
      </c>
      <c r="E2686" t="inlineStr">
        <is>
          <t>2024-03-27 10:03:23</t>
        </is>
      </c>
      <c r="F2686" t="inlineStr">
        <is>
          <t>666</t>
        </is>
      </c>
    </row>
    <row r="2687">
      <c r="A2687" t="inlineStr">
        <is>
          <t>SAIRO SABOYA JORGE _T0001295.pdf</t>
        </is>
      </c>
      <c r="B2687">
        <f>HYPERLINK("C:\Users\lmonroy\Tema\PLANILLAS\Boletas 16 - 31 Dic\SAIRO SABOYA JORGE _T0001295.pdf", "Link")</f>
        <v/>
      </c>
      <c r="C2687" t="n">
        <v>166150</v>
      </c>
      <c r="D2687" t="inlineStr">
        <is>
          <t>2024-03-27 10:12:28</t>
        </is>
      </c>
      <c r="E2687" t="inlineStr">
        <is>
          <t>2024-03-27 10:01:47</t>
        </is>
      </c>
      <c r="F2687" t="inlineStr">
        <is>
          <t>666</t>
        </is>
      </c>
    </row>
    <row r="2688">
      <c r="A2688" t="inlineStr">
        <is>
          <t>SANCHEZ MACA GIN ALEX_T0001464.pdf</t>
        </is>
      </c>
      <c r="B2688">
        <f>HYPERLINK("C:\Users\lmonroy\Tema\PLANILLAS\Boletas 16 - 31 Dic\SANCHEZ MACA GIN ALEX_T0001464.pdf", "Link")</f>
        <v/>
      </c>
      <c r="C2688" t="n">
        <v>166142</v>
      </c>
      <c r="D2688" t="inlineStr">
        <is>
          <t>2024-03-27 10:17:28</t>
        </is>
      </c>
      <c r="E2688" t="inlineStr">
        <is>
          <t>2024-03-27 10:06:07</t>
        </is>
      </c>
      <c r="F2688" t="inlineStr">
        <is>
          <t>666</t>
        </is>
      </c>
    </row>
    <row r="2689">
      <c r="A2689" t="inlineStr">
        <is>
          <t>SANDI CARIAJANO PEDRO_T0001465.pdf</t>
        </is>
      </c>
      <c r="B2689">
        <f>HYPERLINK("C:\Users\lmonroy\Tema\PLANILLAS\Boletas 16 - 31 Dic\SANDI CARIAJANO PEDRO_T0001465.pdf", "Link")</f>
        <v/>
      </c>
      <c r="C2689" t="n">
        <v>166331</v>
      </c>
      <c r="D2689" t="inlineStr">
        <is>
          <t>2024-03-27 10:12:21</t>
        </is>
      </c>
      <c r="E2689" t="inlineStr">
        <is>
          <t>2024-03-27 10:01:40</t>
        </is>
      </c>
      <c r="F2689" t="inlineStr">
        <is>
          <t>666</t>
        </is>
      </c>
    </row>
    <row r="2690">
      <c r="A2690" t="inlineStr">
        <is>
          <t>SANDI TARICUARIMA ANDRES _T0001297.pdf</t>
        </is>
      </c>
      <c r="B2690">
        <f>HYPERLINK("C:\Users\lmonroy\Tema\PLANILLAS\Boletas 16 - 31 Dic\SANDI TARICUARIMA ANDRES _T0001297.pdf", "Link")</f>
        <v/>
      </c>
      <c r="C2690" t="n">
        <v>166144</v>
      </c>
      <c r="D2690" t="inlineStr">
        <is>
          <t>2024-03-27 10:17:03</t>
        </is>
      </c>
      <c r="E2690" t="inlineStr">
        <is>
          <t>2024-03-27 10:05:41</t>
        </is>
      </c>
      <c r="F2690" t="inlineStr">
        <is>
          <t>666</t>
        </is>
      </c>
    </row>
    <row r="2691">
      <c r="A2691" t="inlineStr">
        <is>
          <t>SANDI TARICUARIMA ROQUI_T0001298.pdf</t>
        </is>
      </c>
      <c r="B2691">
        <f>HYPERLINK("C:\Users\lmonroy\Tema\PLANILLAS\Boletas 16 - 31 Dic\SANDI TARICUARIMA ROQUI_T0001298.pdf", "Link")</f>
        <v/>
      </c>
      <c r="C2691" t="n">
        <v>166134</v>
      </c>
      <c r="D2691" t="inlineStr">
        <is>
          <t>2024-03-27 10:18:48</t>
        </is>
      </c>
      <c r="E2691" t="inlineStr">
        <is>
          <t>2024-03-27 10:07:32</t>
        </is>
      </c>
      <c r="F2691" t="inlineStr">
        <is>
          <t>666</t>
        </is>
      </c>
    </row>
    <row r="2692">
      <c r="A2692" t="inlineStr">
        <is>
          <t>SHAHUANO INUACARI ERIXSON MARCELO_T0001300.pdf</t>
        </is>
      </c>
      <c r="B2692">
        <f>HYPERLINK("C:\Users\lmonroy\Tema\PLANILLAS\Boletas 16 - 31 Dic\SHAHUANO INUACARI ERIXSON MARCELO_T0001300.pdf", "Link")</f>
        <v/>
      </c>
      <c r="C2692" t="n">
        <v>166168</v>
      </c>
      <c r="D2692" t="inlineStr">
        <is>
          <t>2024-03-27 10:14:01</t>
        </is>
      </c>
      <c r="E2692" t="inlineStr">
        <is>
          <t>2024-03-27 10:03:05</t>
        </is>
      </c>
      <c r="F2692" t="inlineStr">
        <is>
          <t>666</t>
        </is>
      </c>
    </row>
    <row r="2693">
      <c r="A2693" t="inlineStr">
        <is>
          <t>SHAPIAMA COQUINCHE MARCIAL PAOLO_T0001301.pdf</t>
        </is>
      </c>
      <c r="B2693">
        <f>HYPERLINK("C:\Users\lmonroy\Tema\PLANILLAS\Boletas 16 - 31 Dic\SHAPIAMA COQUINCHE MARCIAL PAOLO_T0001301.pdf", "Link")</f>
        <v/>
      </c>
      <c r="C2693" t="n">
        <v>166150</v>
      </c>
      <c r="D2693" t="inlineStr">
        <is>
          <t>2024-03-27 10:17:24</t>
        </is>
      </c>
      <c r="E2693" t="inlineStr">
        <is>
          <t>2024-03-27 10:06:04</t>
        </is>
      </c>
      <c r="F2693" t="inlineStr">
        <is>
          <t>666</t>
        </is>
      </c>
    </row>
    <row r="2694">
      <c r="A2694" t="inlineStr">
        <is>
          <t>SORIA RODRIGUEZ LEYSER AGUSTIN_T0001466.pdf</t>
        </is>
      </c>
      <c r="B2694">
        <f>HYPERLINK("C:\Users\lmonroy\Tema\PLANILLAS\Boletas 16 - 31 Dic\SORIA RODRIGUEZ LEYSER AGUSTIN_T0001466.pdf", "Link")</f>
        <v/>
      </c>
      <c r="C2694" t="n">
        <v>166159</v>
      </c>
      <c r="D2694" t="inlineStr">
        <is>
          <t>2024-03-27 10:17:34</t>
        </is>
      </c>
      <c r="E2694" t="inlineStr">
        <is>
          <t>2024-03-27 10:06:14</t>
        </is>
      </c>
      <c r="F2694" t="inlineStr">
        <is>
          <t>666</t>
        </is>
      </c>
    </row>
    <row r="2695">
      <c r="A2695" t="inlineStr">
        <is>
          <t>SPOZZITTO YAÑEZ MIGUEL ANGEL_T0001302.pdf</t>
        </is>
      </c>
      <c r="B2695">
        <f>HYPERLINK("C:\Users\lmonroy\Tema\PLANILLAS\Boletas 16 - 31 Dic\SPOZZITTO YAÑEZ MIGUEL ANGEL_T0001302.pdf", "Link")</f>
        <v/>
      </c>
      <c r="C2695" t="n">
        <v>166280</v>
      </c>
      <c r="D2695" t="inlineStr">
        <is>
          <t>2024-03-27 10:19:24</t>
        </is>
      </c>
      <c r="E2695" t="inlineStr">
        <is>
          <t>2024-03-27 10:08:08</t>
        </is>
      </c>
      <c r="F2695" t="inlineStr">
        <is>
          <t>666</t>
        </is>
      </c>
    </row>
    <row r="2696">
      <c r="A2696" t="inlineStr">
        <is>
          <t>SUJETO MACUSI JOSE _T0001303.pdf</t>
        </is>
      </c>
      <c r="B2696">
        <f>HYPERLINK("C:\Users\lmonroy\Tema\PLANILLAS\Boletas 16 - 31 Dic\SUJETO MACUSI JOSE _T0001303.pdf", "Link")</f>
        <v/>
      </c>
      <c r="C2696" t="n">
        <v>166143</v>
      </c>
      <c r="D2696" t="inlineStr">
        <is>
          <t>2024-03-27 10:14:44</t>
        </is>
      </c>
      <c r="E2696" t="inlineStr">
        <is>
          <t>2024-03-27 10:03:41</t>
        </is>
      </c>
      <c r="F2696" t="inlineStr">
        <is>
          <t>666</t>
        </is>
      </c>
    </row>
    <row r="2697">
      <c r="A2697" t="inlineStr">
        <is>
          <t>SUJETO MACUSI LINO _T0001304.pdf</t>
        </is>
      </c>
      <c r="B2697">
        <f>HYPERLINK("C:\Users\lmonroy\Tema\PLANILLAS\Boletas 16 - 31 Dic\SUJETO MACUSI LINO _T0001304.pdf", "Link")</f>
        <v/>
      </c>
      <c r="C2697" t="n">
        <v>166325</v>
      </c>
      <c r="D2697" t="inlineStr">
        <is>
          <t>2024-03-27 10:14:45</t>
        </is>
      </c>
      <c r="E2697" t="inlineStr">
        <is>
          <t>2024-03-27 10:03:42</t>
        </is>
      </c>
      <c r="F2697" t="inlineStr">
        <is>
          <t>666</t>
        </is>
      </c>
    </row>
    <row r="2698">
      <c r="A2698" t="inlineStr">
        <is>
          <t>TAPAYURI PEREYRA SEGUNDO SAMUEL _T0001467.pdf</t>
        </is>
      </c>
      <c r="B2698">
        <f>HYPERLINK("C:\Users\lmonroy\Tema\PLANILLAS\Boletas 16 - 31 Dic\TAPAYURI PEREYRA SEGUNDO SAMUEL _T0001467.pdf", "Link")</f>
        <v/>
      </c>
      <c r="C2698" t="n">
        <v>166159</v>
      </c>
      <c r="D2698" t="inlineStr">
        <is>
          <t>2024-03-27 10:15:53</t>
        </is>
      </c>
      <c r="E2698" t="inlineStr">
        <is>
          <t>2024-03-27 10:04:37</t>
        </is>
      </c>
      <c r="F2698" t="inlineStr">
        <is>
          <t>666</t>
        </is>
      </c>
    </row>
    <row r="2699">
      <c r="A2699" t="inlineStr">
        <is>
          <t>TARICUARIMA OJAICURO RENE_T0001384.pdf</t>
        </is>
      </c>
      <c r="B2699">
        <f>HYPERLINK("C:\Users\lmonroy\Tema\PLANILLAS\Boletas 16 - 31 Dic\TARICUARIMA OJAICURO RENE_T0001384.pdf", "Link")</f>
        <v/>
      </c>
      <c r="C2699" t="n">
        <v>166336</v>
      </c>
      <c r="D2699" t="inlineStr">
        <is>
          <t>2024-03-27 10:18:40</t>
        </is>
      </c>
      <c r="E2699" t="inlineStr">
        <is>
          <t>2024-03-27 10:07:24</t>
        </is>
      </c>
      <c r="F2699" t="inlineStr">
        <is>
          <t>666</t>
        </is>
      </c>
    </row>
    <row r="2700">
      <c r="A2700" t="inlineStr">
        <is>
          <t>TIHUAIRO MURAYARI JORGE LUIS_T0001308.pdf</t>
        </is>
      </c>
      <c r="B2700">
        <f>HYPERLINK("C:\Users\lmonroy\Tema\PLANILLAS\Boletas 16 - 31 Dic\TIHUAIRO MURAYARI JORGE LUIS_T0001308.pdf", "Link")</f>
        <v/>
      </c>
      <c r="C2700" t="n">
        <v>166157</v>
      </c>
      <c r="D2700" t="inlineStr">
        <is>
          <t>2024-03-27 10:14:19</t>
        </is>
      </c>
      <c r="E2700" t="inlineStr">
        <is>
          <t>2024-03-27 10:03:21</t>
        </is>
      </c>
      <c r="F2700" t="inlineStr">
        <is>
          <t>666</t>
        </is>
      </c>
    </row>
    <row r="2701">
      <c r="A2701" t="inlineStr">
        <is>
          <t>TORRES INGA LIMBER DAVID_T0001309.pdf</t>
        </is>
      </c>
      <c r="B2701">
        <f>HYPERLINK("C:\Users\lmonroy\Tema\PLANILLAS\Boletas 16 - 31 Dic\TORRES INGA LIMBER DAVID_T0001309.pdf", "Link")</f>
        <v/>
      </c>
      <c r="C2701" t="n">
        <v>166170</v>
      </c>
      <c r="D2701" t="inlineStr">
        <is>
          <t>2024-03-27 10:17:08</t>
        </is>
      </c>
      <c r="E2701" t="inlineStr">
        <is>
          <t>2024-03-27 10:05:46</t>
        </is>
      </c>
      <c r="F2701" t="inlineStr">
        <is>
          <t>666</t>
        </is>
      </c>
    </row>
    <row r="2702">
      <c r="A2702" t="inlineStr">
        <is>
          <t>TORRES SANDOVAL ADONIAS _T0001310.pdf</t>
        </is>
      </c>
      <c r="B2702">
        <f>HYPERLINK("C:\Users\lmonroy\Tema\PLANILLAS\Boletas 16 - 31 Dic\TORRES SANDOVAL ADONIAS _T0001310.pdf", "Link")</f>
        <v/>
      </c>
      <c r="C2702" t="n">
        <v>166308</v>
      </c>
      <c r="D2702" t="inlineStr">
        <is>
          <t>2024-03-27 10:17:49</t>
        </is>
      </c>
      <c r="E2702" t="inlineStr">
        <is>
          <t>2024-03-27 10:06:30</t>
        </is>
      </c>
      <c r="F2702" t="inlineStr">
        <is>
          <t>666</t>
        </is>
      </c>
    </row>
    <row r="2703">
      <c r="A2703" t="inlineStr">
        <is>
          <t>TORRES SANDOVAL DAVID _T0001311.pdf</t>
        </is>
      </c>
      <c r="B2703">
        <f>HYPERLINK("C:\Users\lmonroy\Tema\PLANILLAS\Boletas 16 - 31 Dic\TORRES SANDOVAL DAVID _T0001311.pdf", "Link")</f>
        <v/>
      </c>
      <c r="C2703" t="n">
        <v>166343</v>
      </c>
      <c r="D2703" t="inlineStr">
        <is>
          <t>2024-03-27 10:17:51</t>
        </is>
      </c>
      <c r="E2703" t="inlineStr">
        <is>
          <t>2024-03-27 10:06:32</t>
        </is>
      </c>
      <c r="F2703" t="inlineStr">
        <is>
          <t>666</t>
        </is>
      </c>
    </row>
    <row r="2704">
      <c r="A2704" t="inlineStr">
        <is>
          <t>TUANAMA CANAYO HERMOGENES _T0001312.pdf</t>
        </is>
      </c>
      <c r="B2704">
        <f>HYPERLINK("C:\Users\lmonroy\Tema\PLANILLAS\Boletas 16 - 31 Dic\TUANAMA CANAYO HERMOGENES _T0001312.pdf", "Link")</f>
        <v/>
      </c>
      <c r="C2704" t="n">
        <v>166146</v>
      </c>
      <c r="D2704" t="inlineStr">
        <is>
          <t>2024-03-27 10:13:10</t>
        </is>
      </c>
      <c r="E2704" t="inlineStr">
        <is>
          <t>2024-03-27 10:02:22</t>
        </is>
      </c>
      <c r="F2704" t="inlineStr">
        <is>
          <t>666</t>
        </is>
      </c>
    </row>
    <row r="2705">
      <c r="A2705" t="inlineStr">
        <is>
          <t>TUANAMA IRARICA HERMOGENES CURTI_T0001313.pdf</t>
        </is>
      </c>
      <c r="B2705">
        <f>HYPERLINK("C:\Users\lmonroy\Tema\PLANILLAS\Boletas 16 - 31 Dic\TUANAMA IRARICA HERMOGENES CURTI_T0001313.pdf", "Link")</f>
        <v/>
      </c>
      <c r="C2705" t="n">
        <v>166173</v>
      </c>
      <c r="D2705" t="inlineStr">
        <is>
          <t>2024-03-27 10:16:49</t>
        </is>
      </c>
      <c r="E2705" t="inlineStr">
        <is>
          <t>2024-03-27 10:05:26</t>
        </is>
      </c>
      <c r="F2705" t="inlineStr">
        <is>
          <t>666</t>
        </is>
      </c>
    </row>
    <row r="2706">
      <c r="A2706" t="inlineStr">
        <is>
          <t>TUANAMA IRARICA JAVAN _T0001392.pdf</t>
        </is>
      </c>
      <c r="B2706">
        <f>HYPERLINK("C:\Users\lmonroy\Tema\PLANILLAS\Boletas 16 - 31 Dic\TUANAMA IRARICA JAVAN _T0001392.pdf", "Link")</f>
        <v/>
      </c>
      <c r="C2706" t="n">
        <v>166146</v>
      </c>
      <c r="D2706" t="inlineStr">
        <is>
          <t>2024-03-27 10:16:48</t>
        </is>
      </c>
      <c r="E2706" t="inlineStr">
        <is>
          <t>2024-03-27 10:05:25</t>
        </is>
      </c>
      <c r="F2706" t="inlineStr">
        <is>
          <t>666</t>
        </is>
      </c>
    </row>
    <row r="2707">
      <c r="A2707" t="inlineStr">
        <is>
          <t>TUANAMA IRARICA SANDRO RENAN_T0001483.pdf</t>
        </is>
      </c>
      <c r="B2707">
        <f>HYPERLINK("C:\Users\lmonroy\Tema\PLANILLAS\Boletas 16 - 31 Dic\TUANAMA IRARICA SANDRO RENAN_T0001483.pdf", "Link")</f>
        <v/>
      </c>
      <c r="C2707" t="n">
        <v>166305</v>
      </c>
      <c r="D2707" t="inlineStr">
        <is>
          <t>2024-03-27 10:13:52</t>
        </is>
      </c>
      <c r="E2707" t="inlineStr">
        <is>
          <t>2024-03-27 10:02:58</t>
        </is>
      </c>
      <c r="F2707" t="inlineStr">
        <is>
          <t>666</t>
        </is>
      </c>
    </row>
    <row r="2708">
      <c r="A2708" t="inlineStr">
        <is>
          <t>TUANAMA MURAYARI HUGO _T0001314.pdf</t>
        </is>
      </c>
      <c r="B2708">
        <f>HYPERLINK("C:\Users\lmonroy\Tema\PLANILLAS\Boletas 16 - 31 Dic\TUANAMA MURAYARI HUGO _T0001314.pdf", "Link")</f>
        <v/>
      </c>
      <c r="C2708" t="n">
        <v>166149</v>
      </c>
      <c r="D2708" t="inlineStr">
        <is>
          <t>2024-03-27 10:13:00</t>
        </is>
      </c>
      <c r="E2708" t="inlineStr">
        <is>
          <t>2024-03-27 10:02:14</t>
        </is>
      </c>
      <c r="F2708" t="inlineStr">
        <is>
          <t>666</t>
        </is>
      </c>
    </row>
    <row r="2709">
      <c r="A2709" t="inlineStr">
        <is>
          <t>TUANAMA MURAYARI SAMUEL _T0001316.pdf</t>
        </is>
      </c>
      <c r="B2709">
        <f>HYPERLINK("C:\Users\lmonroy\Tema\PLANILLAS\Boletas 16 - 31 Dic\TUANAMA MURAYARI SAMUEL _T0001316.pdf", "Link")</f>
        <v/>
      </c>
      <c r="C2709" t="n">
        <v>166316</v>
      </c>
      <c r="D2709" t="inlineStr">
        <is>
          <t>2024-03-27 10:17:46</t>
        </is>
      </c>
      <c r="E2709" t="inlineStr">
        <is>
          <t>2024-03-27 10:06:27</t>
        </is>
      </c>
      <c r="F2709" t="inlineStr">
        <is>
          <t>666</t>
        </is>
      </c>
    </row>
    <row r="2710">
      <c r="A2710" t="inlineStr">
        <is>
          <t>TUESTA GONZALES SAULO SEGUNDO_T0001491.pdf</t>
        </is>
      </c>
      <c r="B2710">
        <f>HYPERLINK("C:\Users\lmonroy\Tema\PLANILLAS\Boletas 16 - 31 Dic\TUESTA GONZALES SAULO SEGUNDO_T0001491.pdf", "Link")</f>
        <v/>
      </c>
      <c r="C2710" t="n">
        <v>166360</v>
      </c>
      <c r="D2710" t="inlineStr">
        <is>
          <t>2024-03-27 10:13:46</t>
        </is>
      </c>
      <c r="E2710" t="inlineStr">
        <is>
          <t>2024-03-27 10:02:53</t>
        </is>
      </c>
      <c r="F2710" t="inlineStr">
        <is>
          <t>666</t>
        </is>
      </c>
    </row>
    <row r="2711">
      <c r="A2711" t="inlineStr">
        <is>
          <t>URQUIA SALAS MARCIO LORENZO_T0001318.pdf</t>
        </is>
      </c>
      <c r="B2711">
        <f>HYPERLINK("C:\Users\lmonroy\Tema\PLANILLAS\Boletas 16 - 31 Dic\URQUIA SALAS MARCIO LORENZO_T0001318.pdf", "Link")</f>
        <v/>
      </c>
      <c r="C2711" t="n">
        <v>166170</v>
      </c>
      <c r="D2711" t="inlineStr">
        <is>
          <t>2024-03-27 10:18:52</t>
        </is>
      </c>
      <c r="E2711" t="inlineStr">
        <is>
          <t>2024-03-27 10:07:36</t>
        </is>
      </c>
      <c r="F2711" t="inlineStr">
        <is>
          <t>666</t>
        </is>
      </c>
    </row>
    <row r="2712">
      <c r="A2712" t="inlineStr">
        <is>
          <t>VALDERRAMA MACUYAMA ERICK _T0001319.pdf</t>
        </is>
      </c>
      <c r="B2712">
        <f>HYPERLINK("C:\Users\lmonroy\Tema\PLANILLAS\Boletas 16 - 31 Dic\VALDERRAMA MACUYAMA ERICK _T0001319.pdf", "Link")</f>
        <v/>
      </c>
      <c r="C2712" t="n">
        <v>166143</v>
      </c>
      <c r="D2712" t="inlineStr">
        <is>
          <t>2024-03-27 10:16:37</t>
        </is>
      </c>
      <c r="E2712" t="inlineStr">
        <is>
          <t>2024-03-27 10:05:14</t>
        </is>
      </c>
      <c r="F2712" t="inlineStr">
        <is>
          <t>666</t>
        </is>
      </c>
    </row>
    <row r="2713">
      <c r="A2713" t="inlineStr">
        <is>
          <t>VASQUEZ DEL CASTILLO WILDER _T0001320.pdf</t>
        </is>
      </c>
      <c r="B2713">
        <f>HYPERLINK("C:\Users\lmonroy\Tema\PLANILLAS\Boletas 16 - 31 Dic\VASQUEZ DEL CASTILLO WILDER _T0001320.pdf", "Link")</f>
        <v/>
      </c>
      <c r="C2713" t="n">
        <v>166182</v>
      </c>
      <c r="D2713" t="inlineStr">
        <is>
          <t>2024-03-27 10:12:34</t>
        </is>
      </c>
      <c r="E2713" t="inlineStr">
        <is>
          <t>2024-03-27 10:01:51</t>
        </is>
      </c>
      <c r="F2713" t="inlineStr">
        <is>
          <t>666</t>
        </is>
      </c>
    </row>
    <row r="2714">
      <c r="A2714" t="inlineStr">
        <is>
          <t>VASQUEZ OJAICURO GILBERTO _T0001321.pdf</t>
        </is>
      </c>
      <c r="B2714">
        <f>HYPERLINK("C:\Users\lmonroy\Tema\PLANILLAS\Boletas 16 - 31 Dic\VASQUEZ OJAICURO GILBERTO _T0001321.pdf", "Link")</f>
        <v/>
      </c>
      <c r="C2714" t="n">
        <v>166161</v>
      </c>
      <c r="D2714" t="inlineStr">
        <is>
          <t>2024-03-27 10:16:01</t>
        </is>
      </c>
      <c r="E2714" t="inlineStr">
        <is>
          <t>2024-03-27 10:04:43</t>
        </is>
      </c>
      <c r="F2714" t="inlineStr">
        <is>
          <t>666</t>
        </is>
      </c>
    </row>
    <row r="2715">
      <c r="A2715" t="inlineStr">
        <is>
          <t>VASQUEZ OJAICURO GUILLERMO _T0001322.pdf</t>
        </is>
      </c>
      <c r="B2715">
        <f>HYPERLINK("C:\Users\lmonroy\Tema\PLANILLAS\Boletas 16 - 31 Dic\VASQUEZ OJAICURO GUILLERMO _T0001322.pdf", "Link")</f>
        <v/>
      </c>
      <c r="C2715" t="n">
        <v>166155</v>
      </c>
      <c r="D2715" t="inlineStr">
        <is>
          <t>2024-03-27 10:17:17</t>
        </is>
      </c>
      <c r="E2715" t="inlineStr">
        <is>
          <t>2024-03-27 10:05:56</t>
        </is>
      </c>
      <c r="F2715" t="inlineStr">
        <is>
          <t>666</t>
        </is>
      </c>
    </row>
    <row r="2716">
      <c r="A2716" t="inlineStr">
        <is>
          <t>VASQUEZ OJAICURO MIGUEL _T0001323.pdf</t>
        </is>
      </c>
      <c r="B2716">
        <f>HYPERLINK("C:\Users\lmonroy\Tema\PLANILLAS\Boletas 16 - 31 Dic\VASQUEZ OJAICURO MIGUEL _T0001323.pdf", "Link")</f>
        <v/>
      </c>
      <c r="C2716" t="n">
        <v>166351</v>
      </c>
      <c r="D2716" t="inlineStr">
        <is>
          <t>2024-03-27 10:17:18</t>
        </is>
      </c>
      <c r="E2716" t="inlineStr">
        <is>
          <t>2024-03-27 10:05:57</t>
        </is>
      </c>
      <c r="F2716" t="inlineStr">
        <is>
          <t>666</t>
        </is>
      </c>
    </row>
    <row r="2717">
      <c r="A2717" t="inlineStr">
        <is>
          <t>VASQUEZ OJAICURO ROGER _T0001324.pdf</t>
        </is>
      </c>
      <c r="B2717">
        <f>HYPERLINK("C:\Users\lmonroy\Tema\PLANILLAS\Boletas 16 - 31 Dic\VASQUEZ OJAICURO ROGER _T0001324.pdf", "Link")</f>
        <v/>
      </c>
      <c r="C2717" t="n">
        <v>166164</v>
      </c>
      <c r="D2717" t="inlineStr">
        <is>
          <t>2024-03-27 10:19:18</t>
        </is>
      </c>
      <c r="E2717" t="inlineStr">
        <is>
          <t>2024-03-27 10:08:02</t>
        </is>
      </c>
      <c r="F2717" t="inlineStr">
        <is>
          <t>666</t>
        </is>
      </c>
    </row>
    <row r="2718">
      <c r="A2718" t="inlineStr">
        <is>
          <t>VELA CACHIRICO PERCY_T0001519.pdf</t>
        </is>
      </c>
      <c r="B2718">
        <f>HYPERLINK("C:\Users\lmonroy\Tema\PLANILLAS\Boletas 16 - 31 Dic\VELA CACHIRICO PERCY_T0001519.pdf", "Link")</f>
        <v/>
      </c>
      <c r="C2718" t="n">
        <v>166285</v>
      </c>
      <c r="D2718" t="inlineStr">
        <is>
          <t>2024-03-27 10:18:45</t>
        </is>
      </c>
      <c r="E2718" t="inlineStr">
        <is>
          <t>2024-03-27 10:07:28</t>
        </is>
      </c>
      <c r="F2718" t="inlineStr">
        <is>
          <t>666</t>
        </is>
      </c>
    </row>
    <row r="2719">
      <c r="A2719" t="inlineStr">
        <is>
          <t>VELA CLEMENTE FREDI _T0001326.pdf</t>
        </is>
      </c>
      <c r="B2719">
        <f>HYPERLINK("C:\Users\lmonroy\Tema\PLANILLAS\Boletas 16 - 31 Dic\VELA CLEMENTE FREDI _T0001326.pdf", "Link")</f>
        <v/>
      </c>
      <c r="C2719" t="n">
        <v>166228</v>
      </c>
      <c r="D2719" t="inlineStr">
        <is>
          <t>2024-03-27 10:17:50</t>
        </is>
      </c>
      <c r="E2719" t="inlineStr">
        <is>
          <t>2024-03-27 10:06:31</t>
        </is>
      </c>
      <c r="F2719" t="inlineStr">
        <is>
          <t>666</t>
        </is>
      </c>
    </row>
    <row r="2720">
      <c r="A2720" t="inlineStr">
        <is>
          <t>VELA CUNAYA EMERSON_T0001468.pdf</t>
        </is>
      </c>
      <c r="B2720">
        <f>HYPERLINK("C:\Users\lmonroy\Tema\PLANILLAS\Boletas 16 - 31 Dic\VELA CUNAYA EMERSON_T0001468.pdf", "Link")</f>
        <v/>
      </c>
      <c r="C2720" t="n">
        <v>166142</v>
      </c>
      <c r="D2720" t="inlineStr">
        <is>
          <t>2024-03-27 10:18:41</t>
        </is>
      </c>
      <c r="E2720" t="inlineStr">
        <is>
          <t>2024-03-27 10:07:25</t>
        </is>
      </c>
      <c r="F2720" t="inlineStr">
        <is>
          <t>666</t>
        </is>
      </c>
    </row>
    <row r="2721">
      <c r="A2721" t="inlineStr">
        <is>
          <t>VELA INUMA ANDRES _T0001329.pdf</t>
        </is>
      </c>
      <c r="B2721">
        <f>HYPERLINK("C:\Users\lmonroy\Tema\PLANILLAS\Boletas 16 - 31 Dic\VELA INUMA ANDRES _T0001329.pdf", "Link")</f>
        <v/>
      </c>
      <c r="C2721" t="n">
        <v>166134</v>
      </c>
      <c r="D2721" t="inlineStr">
        <is>
          <t>2024-03-27 10:18:33</t>
        </is>
      </c>
      <c r="E2721" t="inlineStr">
        <is>
          <t>2024-03-27 10:07:16</t>
        </is>
      </c>
      <c r="F2721" t="inlineStr">
        <is>
          <t>666</t>
        </is>
      </c>
    </row>
    <row r="2722">
      <c r="A2722" t="inlineStr">
        <is>
          <t>VELA INUMA ARTEMIO _T0001330.pdf</t>
        </is>
      </c>
      <c r="B2722">
        <f>HYPERLINK("C:\Users\lmonroy\Tema\PLANILLAS\Boletas 16 - 31 Dic\VELA INUMA ARTEMIO _T0001330.pdf", "Link")</f>
        <v/>
      </c>
      <c r="C2722" t="n">
        <v>166106</v>
      </c>
      <c r="D2722" t="inlineStr">
        <is>
          <t>2024-03-27 10:14:56</t>
        </is>
      </c>
      <c r="E2722" t="inlineStr">
        <is>
          <t>2024-03-27 10:03:50</t>
        </is>
      </c>
      <c r="F2722" t="inlineStr">
        <is>
          <t>666</t>
        </is>
      </c>
    </row>
    <row r="2723">
      <c r="A2723" t="inlineStr">
        <is>
          <t>VELA INUMA EDINSON _T0001469.pdf</t>
        </is>
      </c>
      <c r="B2723">
        <f>HYPERLINK("C:\Users\lmonroy\Tema\PLANILLAS\Boletas 16 - 31 Dic\VELA INUMA EDINSON _T0001469.pdf", "Link")</f>
        <v/>
      </c>
      <c r="C2723" t="n">
        <v>166289</v>
      </c>
      <c r="D2723" t="inlineStr">
        <is>
          <t>2024-03-27 10:17:00</t>
        </is>
      </c>
      <c r="E2723" t="inlineStr">
        <is>
          <t>2024-03-27 10:05:37</t>
        </is>
      </c>
      <c r="F2723" t="inlineStr">
        <is>
          <t>666</t>
        </is>
      </c>
    </row>
    <row r="2724">
      <c r="A2724" t="inlineStr">
        <is>
          <t>VELA INUMA JOSE _T0001331.pdf</t>
        </is>
      </c>
      <c r="B2724">
        <f>HYPERLINK("C:\Users\lmonroy\Tema\PLANILLAS\Boletas 16 - 31 Dic\VELA INUMA JOSE _T0001331.pdf", "Link")</f>
        <v/>
      </c>
      <c r="C2724" t="n">
        <v>166135</v>
      </c>
      <c r="D2724" t="inlineStr">
        <is>
          <t>2024-03-27 10:12:47</t>
        </is>
      </c>
      <c r="E2724" t="inlineStr">
        <is>
          <t>2024-03-27 10:02:03</t>
        </is>
      </c>
      <c r="F2724" t="inlineStr">
        <is>
          <t>666</t>
        </is>
      </c>
    </row>
    <row r="2725">
      <c r="A2725" t="inlineStr">
        <is>
          <t>VELA INUMA MANUEL _T0001332.pdf</t>
        </is>
      </c>
      <c r="B2725">
        <f>HYPERLINK("C:\Users\lmonroy\Tema\PLANILLAS\Boletas 16 - 31 Dic\VELA INUMA MANUEL _T0001332.pdf", "Link")</f>
        <v/>
      </c>
      <c r="C2725" t="n">
        <v>166119</v>
      </c>
      <c r="D2725" t="inlineStr">
        <is>
          <t>2024-03-27 10:16:32</t>
        </is>
      </c>
      <c r="E2725" t="inlineStr">
        <is>
          <t>2024-03-27 10:05:09</t>
        </is>
      </c>
      <c r="F2725" t="inlineStr">
        <is>
          <t>666</t>
        </is>
      </c>
    </row>
    <row r="2726">
      <c r="A2726" t="inlineStr">
        <is>
          <t>VELA INUMA RICARDO _T0001333.pdf</t>
        </is>
      </c>
      <c r="B2726">
        <f>HYPERLINK("C:\Users\lmonroy\Tema\PLANILLAS\Boletas 16 - 31 Dic\VELA INUMA RICARDO _T0001333.pdf", "Link")</f>
        <v/>
      </c>
      <c r="C2726" t="n">
        <v>166142</v>
      </c>
      <c r="D2726" t="inlineStr">
        <is>
          <t>2024-03-27 10:16:33</t>
        </is>
      </c>
      <c r="E2726" t="inlineStr">
        <is>
          <t>2024-03-27 10:05:10</t>
        </is>
      </c>
      <c r="F2726" t="inlineStr">
        <is>
          <t>666</t>
        </is>
      </c>
    </row>
    <row r="2727">
      <c r="A2727" t="inlineStr">
        <is>
          <t>VELA JOGUISTA MANUEL _T0001334.pdf</t>
        </is>
      </c>
      <c r="B2727">
        <f>HYPERLINK("C:\Users\lmonroy\Tema\PLANILLAS\Boletas 16 - 31 Dic\VELA JOGUISTA MANUEL _T0001334.pdf", "Link")</f>
        <v/>
      </c>
      <c r="C2727" t="n">
        <v>166147</v>
      </c>
      <c r="D2727" t="inlineStr">
        <is>
          <t>2024-03-27 10:12:52</t>
        </is>
      </c>
      <c r="E2727" t="inlineStr">
        <is>
          <t>2024-03-27 10:02:07</t>
        </is>
      </c>
      <c r="F2727" t="inlineStr">
        <is>
          <t>666</t>
        </is>
      </c>
    </row>
    <row r="2728">
      <c r="A2728" t="inlineStr">
        <is>
          <t>VELA JUGUISTA NOLVERTO _T0001335.pdf</t>
        </is>
      </c>
      <c r="B2728">
        <f>HYPERLINK("C:\Users\lmonroy\Tema\PLANILLAS\Boletas 16 - 31 Dic\VELA JUGUISTA NOLVERTO _T0001335.pdf", "Link")</f>
        <v/>
      </c>
      <c r="C2728" t="n">
        <v>166153</v>
      </c>
      <c r="D2728" t="inlineStr">
        <is>
          <t>2024-03-27 10:14:13</t>
        </is>
      </c>
      <c r="E2728" t="inlineStr">
        <is>
          <t>2024-03-27 10:03:16</t>
        </is>
      </c>
      <c r="F2728" t="inlineStr">
        <is>
          <t>666</t>
        </is>
      </c>
    </row>
    <row r="2729">
      <c r="A2729" t="inlineStr">
        <is>
          <t>VELA MACUSI ARTURO_T0001525.pdf</t>
        </is>
      </c>
      <c r="B2729">
        <f>HYPERLINK("C:\Users\lmonroy\Tema\PLANILLAS\Boletas 16 - 31 Dic\VELA MACUSI ARTURO_T0001525.pdf", "Link")</f>
        <v/>
      </c>
      <c r="C2729" t="n">
        <v>166279</v>
      </c>
      <c r="D2729" t="inlineStr">
        <is>
          <t>2024-03-27 10:13:42</t>
        </is>
      </c>
      <c r="E2729" t="inlineStr">
        <is>
          <t>2024-03-27 10:02:50</t>
        </is>
      </c>
      <c r="F2729" t="inlineStr">
        <is>
          <t>666</t>
        </is>
      </c>
    </row>
    <row r="2730">
      <c r="A2730" t="inlineStr">
        <is>
          <t>VELA MACUSI DARVIN _T0001336.pdf</t>
        </is>
      </c>
      <c r="B2730">
        <f>HYPERLINK("C:\Users\lmonroy\Tema\PLANILLAS\Boletas 16 - 31 Dic\VELA MACUSI DARVIN _T0001336.pdf", "Link")</f>
        <v/>
      </c>
      <c r="C2730" t="n">
        <v>166311</v>
      </c>
      <c r="D2730" t="inlineStr">
        <is>
          <t>2024-03-27 10:18:34</t>
        </is>
      </c>
      <c r="E2730" t="inlineStr">
        <is>
          <t>2024-03-27 10:07:17</t>
        </is>
      </c>
      <c r="F2730" t="inlineStr">
        <is>
          <t>666</t>
        </is>
      </c>
    </row>
    <row r="2731">
      <c r="A2731" t="inlineStr">
        <is>
          <t>VELA MACUSI ELVIS _T0001337.pdf</t>
        </is>
      </c>
      <c r="B2731">
        <f>HYPERLINK("C:\Users\lmonroy\Tema\PLANILLAS\Boletas 16 - 31 Dic\VELA MACUSI ELVIS _T0001337.pdf", "Link")</f>
        <v/>
      </c>
      <c r="C2731" t="n">
        <v>166143</v>
      </c>
      <c r="D2731" t="inlineStr">
        <is>
          <t>2024-03-27 10:14:48</t>
        </is>
      </c>
      <c r="E2731" t="inlineStr">
        <is>
          <t>2024-03-27 10:03:44</t>
        </is>
      </c>
      <c r="F2731" t="inlineStr">
        <is>
          <t>666</t>
        </is>
      </c>
    </row>
    <row r="2732">
      <c r="A2732" t="inlineStr">
        <is>
          <t>VELA MACUSI IGNACIO _T0001338.pdf</t>
        </is>
      </c>
      <c r="B2732">
        <f>HYPERLINK("C:\Users\lmonroy\Tema\PLANILLAS\Boletas 16 - 31 Dic\VELA MACUSI IGNACIO _T0001338.pdf", "Link")</f>
        <v/>
      </c>
      <c r="C2732" t="n">
        <v>166118</v>
      </c>
      <c r="D2732" t="inlineStr">
        <is>
          <t>2024-03-27 10:12:25</t>
        </is>
      </c>
      <c r="E2732" t="inlineStr">
        <is>
          <t>2024-03-27 10:01:44</t>
        </is>
      </c>
      <c r="F2732" t="inlineStr">
        <is>
          <t>666</t>
        </is>
      </c>
    </row>
    <row r="2733">
      <c r="A2733" t="inlineStr">
        <is>
          <t>VELA MACUSI JULIO _T0001339.pdf</t>
        </is>
      </c>
      <c r="B2733">
        <f>HYPERLINK("C:\Users\lmonroy\Tema\PLANILLAS\Boletas 16 - 31 Dic\VELA MACUSI JULIO _T0001339.pdf", "Link")</f>
        <v/>
      </c>
      <c r="C2733" t="n">
        <v>166135</v>
      </c>
      <c r="D2733" t="inlineStr">
        <is>
          <t>2024-03-27 10:14:57</t>
        </is>
      </c>
      <c r="E2733" t="inlineStr">
        <is>
          <t>2024-03-27 10:03:51</t>
        </is>
      </c>
      <c r="F2733" t="inlineStr">
        <is>
          <t>666</t>
        </is>
      </c>
    </row>
    <row r="2734">
      <c r="A2734" t="inlineStr">
        <is>
          <t>VELA MACUSI MANUEL _T0001340.pdf</t>
        </is>
      </c>
      <c r="B2734">
        <f>HYPERLINK("C:\Users\lmonroy\Tema\PLANILLAS\Boletas 16 - 31 Dic\VELA MACUSI MANUEL _T0001340.pdf", "Link")</f>
        <v/>
      </c>
      <c r="C2734" t="n">
        <v>166142</v>
      </c>
      <c r="D2734" t="inlineStr">
        <is>
          <t>2024-03-27 10:18:42</t>
        </is>
      </c>
      <c r="E2734" t="inlineStr">
        <is>
          <t>2024-03-27 10:07:26</t>
        </is>
      </c>
      <c r="F2734" t="inlineStr">
        <is>
          <t>666</t>
        </is>
      </c>
    </row>
    <row r="2735">
      <c r="A2735" t="inlineStr">
        <is>
          <t>VELA MANISARI SEGUNDO _T0001341.pdf</t>
        </is>
      </c>
      <c r="B2735">
        <f>HYPERLINK("C:\Users\lmonroy\Tema\PLANILLAS\Boletas 16 - 31 Dic\VELA MANISARI SEGUNDO _T0001341.pdf", "Link")</f>
        <v/>
      </c>
      <c r="C2735" t="n">
        <v>166150</v>
      </c>
      <c r="D2735" t="inlineStr">
        <is>
          <t>2024-03-27 10:15:01</t>
        </is>
      </c>
      <c r="E2735" t="inlineStr">
        <is>
          <t>2024-03-27 10:03:54</t>
        </is>
      </c>
      <c r="F2735" t="inlineStr">
        <is>
          <t>666</t>
        </is>
      </c>
    </row>
    <row r="2736">
      <c r="A2736" t="inlineStr">
        <is>
          <t>VELA MURAYARI SAMUEL _T0001342.pdf</t>
        </is>
      </c>
      <c r="B2736">
        <f>HYPERLINK("C:\Users\lmonroy\Tema\PLANILLAS\Boletas 16 - 31 Dic\VELA MURAYARI SAMUEL _T0001342.pdf", "Link")</f>
        <v/>
      </c>
      <c r="C2736" t="n">
        <v>166168</v>
      </c>
      <c r="D2736" t="inlineStr">
        <is>
          <t>2024-03-27 10:19:01</t>
        </is>
      </c>
      <c r="E2736" t="inlineStr">
        <is>
          <t>2024-03-27 10:07:46</t>
        </is>
      </c>
      <c r="F2736" t="inlineStr">
        <is>
          <t>666</t>
        </is>
      </c>
    </row>
    <row r="2737">
      <c r="A2737" t="inlineStr">
        <is>
          <t>VELA NORIEGA EDINSON _T0001343.pdf</t>
        </is>
      </c>
      <c r="B2737">
        <f>HYPERLINK("C:\Users\lmonroy\Tema\PLANILLAS\Boletas 16 - 31 Dic\VELA NORIEGA EDINSON _T0001343.pdf", "Link")</f>
        <v/>
      </c>
      <c r="C2737" t="n">
        <v>166324</v>
      </c>
      <c r="D2737" t="inlineStr">
        <is>
          <t>2024-03-27 10:13:55</t>
        </is>
      </c>
      <c r="E2737" t="inlineStr">
        <is>
          <t>2024-03-27 10:03:01</t>
        </is>
      </c>
      <c r="F2737" t="inlineStr">
        <is>
          <t>666</t>
        </is>
      </c>
    </row>
    <row r="2738">
      <c r="A2738" t="inlineStr">
        <is>
          <t>VELA NORIEGA RISBELTO _T0001344.pdf</t>
        </is>
      </c>
      <c r="B2738">
        <f>HYPERLINK("C:\Users\lmonroy\Tema\PLANILLAS\Boletas 16 - 31 Dic\VELA NORIEGA RISBELTO _T0001344.pdf", "Link")</f>
        <v/>
      </c>
      <c r="C2738" t="n">
        <v>166143</v>
      </c>
      <c r="D2738" t="inlineStr">
        <is>
          <t>2024-03-27 10:12:15</t>
        </is>
      </c>
      <c r="E2738" t="inlineStr">
        <is>
          <t>2024-03-27 10:01:34</t>
        </is>
      </c>
      <c r="F2738" t="inlineStr">
        <is>
          <t>666</t>
        </is>
      </c>
    </row>
    <row r="2739">
      <c r="A2739" t="inlineStr">
        <is>
          <t>VELA NURIBE DANIEL _T0001345.pdf</t>
        </is>
      </c>
      <c r="B2739">
        <f>HYPERLINK("C:\Users\lmonroy\Tema\PLANILLAS\Boletas 16 - 31 Dic\VELA NURIBE DANIEL _T0001345.pdf", "Link")</f>
        <v/>
      </c>
      <c r="C2739" t="n">
        <v>166136</v>
      </c>
      <c r="D2739" t="inlineStr">
        <is>
          <t>2024-03-27 10:14:55</t>
        </is>
      </c>
      <c r="E2739" t="inlineStr">
        <is>
          <t>2024-03-27 10:03:50</t>
        </is>
      </c>
      <c r="F2739" t="inlineStr">
        <is>
          <t>666</t>
        </is>
      </c>
    </row>
    <row r="2740">
      <c r="A2740" t="inlineStr">
        <is>
          <t>VELA NURIBE JORGE _T0001325.pdf</t>
        </is>
      </c>
      <c r="B2740">
        <f>HYPERLINK("C:\Users\lmonroy\Tema\PLANILLAS\Boletas 16 - 31 Dic\VELA NURIBE JORGE _T0001325.pdf", "Link")</f>
        <v/>
      </c>
      <c r="C2740" t="n">
        <v>166318</v>
      </c>
      <c r="D2740" t="inlineStr">
        <is>
          <t>2024-03-27 10:12:31</t>
        </is>
      </c>
      <c r="E2740" t="inlineStr">
        <is>
          <t>2024-03-27 10:01:49</t>
        </is>
      </c>
      <c r="F2740" t="inlineStr">
        <is>
          <t>666</t>
        </is>
      </c>
    </row>
    <row r="2741">
      <c r="A2741" t="inlineStr">
        <is>
          <t>VELA OJAICATE GILBERTO _T0001347.pdf</t>
        </is>
      </c>
      <c r="B2741">
        <f>HYPERLINK("C:\Users\lmonroy\Tema\PLANILLAS\Boletas 16 - 31 Dic\VELA OJAICATE GILBERTO _T0001347.pdf", "Link")</f>
        <v/>
      </c>
      <c r="C2741" t="n">
        <v>166333</v>
      </c>
      <c r="D2741" t="inlineStr">
        <is>
          <t>2024-03-27 10:12:58</t>
        </is>
      </c>
      <c r="E2741" t="inlineStr">
        <is>
          <t>2024-03-27 10:02:12</t>
        </is>
      </c>
      <c r="F2741" t="inlineStr">
        <is>
          <t>666</t>
        </is>
      </c>
    </row>
    <row r="2742">
      <c r="A2742" t="inlineStr">
        <is>
          <t>VELA OJAICURO CARLOS _T0001348.pdf</t>
        </is>
      </c>
      <c r="B2742">
        <f>HYPERLINK("C:\Users\lmonroy\Tema\PLANILLAS\Boletas 16 - 31 Dic\VELA OJAICURO CARLOS _T0001348.pdf", "Link")</f>
        <v/>
      </c>
      <c r="C2742" t="n">
        <v>166140</v>
      </c>
      <c r="D2742" t="inlineStr">
        <is>
          <t>2024-03-27 10:16:44</t>
        </is>
      </c>
      <c r="E2742" t="inlineStr">
        <is>
          <t>2024-03-27 10:05:21</t>
        </is>
      </c>
      <c r="F2742" t="inlineStr">
        <is>
          <t>666</t>
        </is>
      </c>
    </row>
    <row r="2743">
      <c r="A2743" t="inlineStr">
        <is>
          <t>VELA OJAICURO ROY _T0001349.pdf</t>
        </is>
      </c>
      <c r="B2743">
        <f>HYPERLINK("C:\Users\lmonroy\Tema\PLANILLAS\Boletas 16 - 31 Dic\VELA OJAICURO ROY _T0001349.pdf", "Link")</f>
        <v/>
      </c>
      <c r="C2743" t="n">
        <v>166159</v>
      </c>
      <c r="D2743" t="inlineStr">
        <is>
          <t>2024-03-27 10:16:06</t>
        </is>
      </c>
      <c r="E2743" t="inlineStr">
        <is>
          <t>2024-03-27 10:04:47</t>
        </is>
      </c>
      <c r="F2743" t="inlineStr">
        <is>
          <t>666</t>
        </is>
      </c>
    </row>
    <row r="2744">
      <c r="A2744" t="inlineStr">
        <is>
          <t>VELA OJEYCATE ENRIQUE _T0001350.pdf</t>
        </is>
      </c>
      <c r="B2744">
        <f>HYPERLINK("C:\Users\lmonroy\Tema\PLANILLAS\Boletas 16 - 31 Dic\VELA OJEYCATE ENRIQUE _T0001350.pdf", "Link")</f>
        <v/>
      </c>
      <c r="C2744" t="n">
        <v>166157</v>
      </c>
      <c r="D2744" t="inlineStr">
        <is>
          <t>2024-03-27 10:13:06</t>
        </is>
      </c>
      <c r="E2744" t="inlineStr">
        <is>
          <t>2024-03-27 10:02:19</t>
        </is>
      </c>
      <c r="F2744" t="inlineStr">
        <is>
          <t>666</t>
        </is>
      </c>
    </row>
    <row r="2745">
      <c r="A2745" t="inlineStr">
        <is>
          <t>VELA TARICUARIMA EDGAR _T0001352.pdf</t>
        </is>
      </c>
      <c r="B2745">
        <f>HYPERLINK("C:\Users\lmonroy\Tema\PLANILLAS\Boletas 16 - 31 Dic\VELA TARICUARIMA EDGAR _T0001352.pdf", "Link")</f>
        <v/>
      </c>
      <c r="C2745" t="n">
        <v>166142</v>
      </c>
      <c r="D2745" t="inlineStr">
        <is>
          <t>2024-03-27 10:18:44</t>
        </is>
      </c>
      <c r="E2745" t="inlineStr">
        <is>
          <t>2024-03-27 10:07:27</t>
        </is>
      </c>
      <c r="F2745" t="inlineStr">
        <is>
          <t>666</t>
        </is>
      </c>
    </row>
    <row r="2746">
      <c r="A2746" t="inlineStr">
        <is>
          <t>VELA TORRES LLEVERSON _T0001353.pdf</t>
        </is>
      </c>
      <c r="B2746">
        <f>HYPERLINK("C:\Users\lmonroy\Tema\PLANILLAS\Boletas 16 - 31 Dic\VELA TORRES LLEVERSON _T0001353.pdf", "Link")</f>
        <v/>
      </c>
      <c r="C2746" t="n">
        <v>166351</v>
      </c>
      <c r="D2746" t="inlineStr">
        <is>
          <t>2024-03-27 10:17:40</t>
        </is>
      </c>
      <c r="E2746" t="inlineStr">
        <is>
          <t>2024-03-27 10:06:20</t>
        </is>
      </c>
      <c r="F2746" t="inlineStr">
        <is>
          <t>666</t>
        </is>
      </c>
    </row>
    <row r="2747">
      <c r="A2747" t="inlineStr">
        <is>
          <t>VELA TORRES RONY MANASES_T0001354.pdf</t>
        </is>
      </c>
      <c r="B2747">
        <f>HYPERLINK("C:\Users\lmonroy\Tema\PLANILLAS\Boletas 16 - 31 Dic\VELA TORRES RONY MANASES_T0001354.pdf", "Link")</f>
        <v/>
      </c>
      <c r="C2747" t="n">
        <v>166130</v>
      </c>
      <c r="D2747" t="inlineStr">
        <is>
          <t>2024-03-27 10:16:46</t>
        </is>
      </c>
      <c r="E2747" t="inlineStr">
        <is>
          <t>2024-03-27 10:05:23</t>
        </is>
      </c>
      <c r="F2747" t="inlineStr">
        <is>
          <t>666</t>
        </is>
      </c>
    </row>
    <row r="2748">
      <c r="A2748" t="inlineStr">
        <is>
          <t>VELA TORRES SAMUEL _T0001355.pdf</t>
        </is>
      </c>
      <c r="B2748">
        <f>HYPERLINK("C:\Users\lmonroy\Tema\PLANILLAS\Boletas 16 - 31 Dic\VELA TORRES SAMUEL _T0001355.pdf", "Link")</f>
        <v/>
      </c>
      <c r="C2748" t="n">
        <v>166159</v>
      </c>
      <c r="D2748" t="inlineStr">
        <is>
          <t>2024-03-27 10:14:09</t>
        </is>
      </c>
      <c r="E2748" t="inlineStr">
        <is>
          <t>2024-03-27 10:03:12</t>
        </is>
      </c>
      <c r="F2748" t="inlineStr">
        <is>
          <t>666</t>
        </is>
      </c>
    </row>
    <row r="2749">
      <c r="A2749" t="inlineStr">
        <is>
          <t>VELASQUEZ RODRIGUEZ ROMEL_T0001470.pdf</t>
        </is>
      </c>
      <c r="B2749">
        <f>HYPERLINK("C:\Users\lmonroy\Tema\PLANILLAS\Boletas 16 - 31 Dic\VELASQUEZ RODRIGUEZ ROMEL_T0001470.pdf", "Link")</f>
        <v/>
      </c>
      <c r="C2749" t="n">
        <v>166296</v>
      </c>
      <c r="D2749" t="inlineStr">
        <is>
          <t>2024-03-27 10:17:57</t>
        </is>
      </c>
      <c r="E2749" t="inlineStr">
        <is>
          <t>2024-03-27 10:06:38</t>
        </is>
      </c>
      <c r="F2749" t="inlineStr">
        <is>
          <t>666</t>
        </is>
      </c>
    </row>
    <row r="2750">
      <c r="A2750" t="inlineStr">
        <is>
          <t>VELASQUEZ TAPULLIMA ELDER_T0001471.pdf</t>
        </is>
      </c>
      <c r="B2750">
        <f>HYPERLINK("C:\Users\lmonroy\Tema\PLANILLAS\Boletas 16 - 31 Dic\VELASQUEZ TAPULLIMA ELDER_T0001471.pdf", "Link")</f>
        <v/>
      </c>
      <c r="C2750" t="n">
        <v>166351</v>
      </c>
      <c r="D2750" t="inlineStr">
        <is>
          <t>2024-03-27 10:12:49</t>
        </is>
      </c>
      <c r="E2750" t="inlineStr">
        <is>
          <t>2024-03-27 10:02:04</t>
        </is>
      </c>
      <c r="F2750" t="inlineStr">
        <is>
          <t>666</t>
        </is>
      </c>
    </row>
    <row r="2751">
      <c r="A2751" t="inlineStr">
        <is>
          <t>VICENTE AHUITE JUAN _T0001356.pdf</t>
        </is>
      </c>
      <c r="B2751">
        <f>HYPERLINK("C:\Users\lmonroy\Tema\PLANILLAS\Boletas 16 - 31 Dic\VICENTE AHUITE JUAN _T0001356.pdf", "Link")</f>
        <v/>
      </c>
      <c r="C2751" t="n">
        <v>166117</v>
      </c>
      <c r="D2751" t="inlineStr">
        <is>
          <t>2024-03-27 10:14:29</t>
        </is>
      </c>
      <c r="E2751" t="inlineStr">
        <is>
          <t>2024-03-27 10:03:30</t>
        </is>
      </c>
      <c r="F2751" t="inlineStr">
        <is>
          <t>666</t>
        </is>
      </c>
    </row>
    <row r="2752">
      <c r="A2752" t="inlineStr">
        <is>
          <t>VICENTE AHUITE SANTIAGO_T0001369.pdf</t>
        </is>
      </c>
      <c r="B2752">
        <f>HYPERLINK("C:\Users\lmonroy\Tema\PLANILLAS\Boletas 16 - 31 Dic\VICENTE AHUITE SANTIAGO_T0001369.pdf", "Link")</f>
        <v/>
      </c>
      <c r="C2752" t="n">
        <v>166157</v>
      </c>
      <c r="D2752" t="inlineStr">
        <is>
          <t>2024-03-27 10:15:03</t>
        </is>
      </c>
      <c r="E2752" t="inlineStr">
        <is>
          <t>2024-03-27 10:03:56</t>
        </is>
      </c>
      <c r="F2752" t="inlineStr">
        <is>
          <t>666</t>
        </is>
      </c>
    </row>
    <row r="2753">
      <c r="A2753" t="inlineStr">
        <is>
          <t>VICTORIANO AHUITE MANUEL _T0001357.pdf</t>
        </is>
      </c>
      <c r="B2753">
        <f>HYPERLINK("C:\Users\lmonroy\Tema\PLANILLAS\Boletas 16 - 31 Dic\VICTORIANO AHUITE MANUEL _T0001357.pdf", "Link")</f>
        <v/>
      </c>
      <c r="C2753" t="n">
        <v>166156</v>
      </c>
      <c r="D2753" t="inlineStr">
        <is>
          <t>2024-03-27 10:12:20</t>
        </is>
      </c>
      <c r="E2753" t="inlineStr">
        <is>
          <t>2024-03-27 10:01:39</t>
        </is>
      </c>
      <c r="F2753" t="inlineStr">
        <is>
          <t>666</t>
        </is>
      </c>
    </row>
    <row r="2754">
      <c r="A2754" t="inlineStr">
        <is>
          <t>VILCA RAMIREZ PEDRO _T0001358.pdf</t>
        </is>
      </c>
      <c r="B2754">
        <f>HYPERLINK("C:\Users\lmonroy\Tema\PLANILLAS\Boletas 16 - 31 Dic\VILCA RAMIREZ PEDRO _T0001358.pdf", "Link")</f>
        <v/>
      </c>
      <c r="C2754" t="n">
        <v>166319</v>
      </c>
      <c r="D2754" t="inlineStr">
        <is>
          <t>2024-03-27 10:13:44</t>
        </is>
      </c>
      <c r="E2754" t="inlineStr">
        <is>
          <t>2024-03-27 10:02:51</t>
        </is>
      </c>
      <c r="F2754" t="inlineStr">
        <is>
          <t>666</t>
        </is>
      </c>
    </row>
    <row r="2755">
      <c r="A2755" t="inlineStr">
        <is>
          <t>VILCA RIOS EMANUEL _T0001359.pdf</t>
        </is>
      </c>
      <c r="B2755">
        <f>HYPERLINK("C:\Users\lmonroy\Tema\PLANILLAS\Boletas 16 - 31 Dic\VILCA RIOS EMANUEL _T0001359.pdf", "Link")</f>
        <v/>
      </c>
      <c r="C2755" t="n">
        <v>166177</v>
      </c>
      <c r="D2755" t="inlineStr">
        <is>
          <t>2024-03-27 10:16:26</t>
        </is>
      </c>
      <c r="E2755" t="inlineStr">
        <is>
          <t>2024-03-27 10:05:04</t>
        </is>
      </c>
      <c r="F2755" t="inlineStr">
        <is>
          <t>666</t>
        </is>
      </c>
    </row>
    <row r="2756">
      <c r="A2756" t="inlineStr">
        <is>
          <t>VILLACORTA OLIVEIRA KILER _T0001360.pdf</t>
        </is>
      </c>
      <c r="B2756">
        <f>HYPERLINK("C:\Users\lmonroy\Tema\PLANILLAS\Boletas 16 - 31 Dic\VILLACORTA OLIVEIRA KILER _T0001360.pdf", "Link")</f>
        <v/>
      </c>
      <c r="C2756" t="n">
        <v>166171</v>
      </c>
      <c r="D2756" t="inlineStr">
        <is>
          <t>2024-03-27 10:17:29</t>
        </is>
      </c>
      <c r="E2756" t="inlineStr">
        <is>
          <t>2024-03-27 10:06:08</t>
        </is>
      </c>
      <c r="F2756" t="inlineStr">
        <is>
          <t>666</t>
        </is>
      </c>
    </row>
    <row r="2757">
      <c r="A2757" t="inlineStr">
        <is>
          <t>YAHUARCANI SILVA MAGNER _T0001361.pdf</t>
        </is>
      </c>
      <c r="B2757">
        <f>HYPERLINK("C:\Users\lmonroy\Tema\PLANILLAS\Boletas 16 - 31 Dic\YAHUARCANI SILVA MAGNER _T0001361.pdf", "Link")</f>
        <v/>
      </c>
      <c r="C2757" t="n">
        <v>166166</v>
      </c>
      <c r="D2757" t="inlineStr">
        <is>
          <t>2024-03-27 10:13:38</t>
        </is>
      </c>
      <c r="E2757" t="inlineStr">
        <is>
          <t>2024-03-27 10:02:46</t>
        </is>
      </c>
      <c r="F2757" t="inlineStr">
        <is>
          <t>666</t>
        </is>
      </c>
    </row>
    <row r="2758">
      <c r="A2758" t="inlineStr">
        <is>
          <t>YAHUARCANI SILVA WILDER EDUARDO_T0001362.pdf</t>
        </is>
      </c>
      <c r="B2758">
        <f>HYPERLINK("C:\Users\lmonroy\Tema\PLANILLAS\Boletas 16 - 31 Dic\YAHUARCANI SILVA WILDER EDUARDO_T0001362.pdf", "Link")</f>
        <v/>
      </c>
      <c r="C2758" t="n">
        <v>166170</v>
      </c>
      <c r="D2758" t="inlineStr">
        <is>
          <t>2024-03-27 10:15:17</t>
        </is>
      </c>
      <c r="E2758" t="inlineStr">
        <is>
          <t>2024-03-27 10:04:07</t>
        </is>
      </c>
      <c r="F2758" t="inlineStr">
        <is>
          <t>666</t>
        </is>
      </c>
    </row>
    <row r="2759">
      <c r="A2759" t="inlineStr">
        <is>
          <t>YAICATE CLEMENTE MARIO _T0001363.pdf</t>
        </is>
      </c>
      <c r="B2759">
        <f>HYPERLINK("C:\Users\lmonroy\Tema\PLANILLAS\Boletas 16 - 31 Dic\YAICATE CLEMENTE MARIO _T0001363.pdf", "Link")</f>
        <v/>
      </c>
      <c r="C2759" t="n">
        <v>166146</v>
      </c>
      <c r="D2759" t="inlineStr">
        <is>
          <t>2024-03-27 10:14:24</t>
        </is>
      </c>
      <c r="E2759" t="inlineStr">
        <is>
          <t>2024-03-27 10:03:25</t>
        </is>
      </c>
      <c r="F2759" t="inlineStr">
        <is>
          <t>666</t>
        </is>
      </c>
    </row>
    <row r="2760">
      <c r="A2760" t="inlineStr">
        <is>
          <t>YAICATE CUNAYAPA NEMESIO _T0001365.pdf</t>
        </is>
      </c>
      <c r="B2760">
        <f>HYPERLINK("C:\Users\lmonroy\Tema\PLANILLAS\Boletas 16 - 31 Dic\YAICATE CUNAYAPA NEMESIO _T0001365.pdf", "Link")</f>
        <v/>
      </c>
      <c r="C2760" t="n">
        <v>166148</v>
      </c>
      <c r="D2760" t="inlineStr">
        <is>
          <t>2024-03-27 10:14:37</t>
        </is>
      </c>
      <c r="E2760" t="inlineStr">
        <is>
          <t>2024-03-27 10:03:36</t>
        </is>
      </c>
      <c r="F2760" t="inlineStr">
        <is>
          <t>666</t>
        </is>
      </c>
    </row>
    <row r="2761">
      <c r="A2761" t="inlineStr">
        <is>
          <t>YAICATE CURICO MOISES _T0001366.pdf</t>
        </is>
      </c>
      <c r="B2761">
        <f>HYPERLINK("C:\Users\lmonroy\Tema\PLANILLAS\Boletas 16 - 31 Dic\YAICATE CURICO MOISES _T0001366.pdf", "Link")</f>
        <v/>
      </c>
      <c r="C2761" t="n">
        <v>166147</v>
      </c>
      <c r="D2761" t="inlineStr">
        <is>
          <t>2024-03-27 10:13:43</t>
        </is>
      </c>
      <c r="E2761" t="inlineStr">
        <is>
          <t>2024-03-27 10:02:50</t>
        </is>
      </c>
      <c r="F2761" t="inlineStr">
        <is>
          <t>666</t>
        </is>
      </c>
    </row>
    <row r="2762">
      <c r="A2762" t="inlineStr">
        <is>
          <t>YALTA TORRES ROBERTO PLACIDO_T0001367.pdf</t>
        </is>
      </c>
      <c r="B2762">
        <f>HYPERLINK("C:\Users\lmonroy\Tema\PLANILLAS\Boletas 16 - 31 Dic\YALTA TORRES ROBERTO PLACIDO_T0001367.pdf", "Link")</f>
        <v/>
      </c>
      <c r="C2762" t="n">
        <v>166377</v>
      </c>
      <c r="D2762" t="inlineStr">
        <is>
          <t>2024-03-27 10:12:06</t>
        </is>
      </c>
      <c r="E2762" t="inlineStr">
        <is>
          <t>2024-03-27 10:01:26</t>
        </is>
      </c>
      <c r="F2762" t="inlineStr">
        <is>
          <t>666</t>
        </is>
      </c>
    </row>
    <row r="2763">
      <c r="A2763" t="inlineStr">
        <is>
          <t>YUYARIMA CANAQUIRI GINER_T0001480.pdf</t>
        </is>
      </c>
      <c r="B2763">
        <f>HYPERLINK("C:\Users\lmonroy\Tema\PLANILLAS\Boletas 16 - 31 Dic\YUYARIMA CANAQUIRI GINER_T0001480.pdf", "Link")</f>
        <v/>
      </c>
      <c r="C2763" t="n">
        <v>166302</v>
      </c>
      <c r="D2763" t="inlineStr">
        <is>
          <t>2024-03-27 10:14:42</t>
        </is>
      </c>
      <c r="E2763" t="inlineStr">
        <is>
          <t>2024-03-27 10:03:40</t>
        </is>
      </c>
      <c r="F2763" t="inlineStr">
        <is>
          <t>666</t>
        </is>
      </c>
    </row>
    <row r="2764">
      <c r="A2764" t="inlineStr">
        <is>
          <t>CRUCE DE INFORMACIÓN - VARIOS ARCHIVOS.xlsx</t>
        </is>
      </c>
      <c r="B2764">
        <f>HYPERLINK("C:\Users\lmonroy\Tema\Proyecto Sumaq\CRUCE DE INFORMACIÓN - VARIOS ARCHIVOS.xlsx", "Link")</f>
        <v/>
      </c>
      <c r="C2764" t="n">
        <v>593781</v>
      </c>
      <c r="D2764" t="inlineStr">
        <is>
          <t>2023-11-22 17:38:10</t>
        </is>
      </c>
      <c r="E2764" t="inlineStr">
        <is>
          <t>2023-11-21 11:01:18</t>
        </is>
      </c>
      <c r="F2764" t="inlineStr">
        <is>
          <t>666</t>
        </is>
      </c>
    </row>
    <row r="2765">
      <c r="A2765" t="inlineStr">
        <is>
          <t>Listado de Trabajadores del Proyecto - informado al 25 dic.xlsx</t>
        </is>
      </c>
      <c r="B2765">
        <f>HYPERLINK("C:\Users\lmonroy\Tema\Proyecto Sumaq\Listado de Trabajadores del Proyecto - informado al 25 dic.xlsx", "Link")</f>
        <v/>
      </c>
      <c r="C2765" t="n">
        <v>46171</v>
      </c>
      <c r="D2765" t="inlineStr">
        <is>
          <t>2023-12-26 12:42:23</t>
        </is>
      </c>
      <c r="E2765" t="inlineStr">
        <is>
          <t>2023-12-26 12:42:22</t>
        </is>
      </c>
      <c r="F2765" t="inlineStr">
        <is>
          <t>666</t>
        </is>
      </c>
    </row>
    <row r="2766">
      <c r="A2766" t="inlineStr">
        <is>
          <t>01 Presupuesto.pdf</t>
        </is>
      </c>
      <c r="B2766">
        <f>HYPERLINK("C:\Users\lmonroy\Tema\Punto 1 y 2\01-E001-41 ENMODEL S.A.C\01 Presupuesto.pdf", "Link")</f>
        <v/>
      </c>
      <c r="C2766" t="n">
        <v>86786</v>
      </c>
      <c r="D2766" t="inlineStr">
        <is>
          <t>2024-04-17 18:44:11</t>
        </is>
      </c>
      <c r="E2766" t="inlineStr">
        <is>
          <t>2024-04-18 19:20:04</t>
        </is>
      </c>
      <c r="F2766" t="inlineStr">
        <is>
          <t>666</t>
        </is>
      </c>
    </row>
    <row r="2767">
      <c r="A2767" t="inlineStr">
        <is>
          <t>01-E001-41 ENMODEL S.A.C.pdf</t>
        </is>
      </c>
      <c r="B2767">
        <f>HYPERLINK("C:\Users\lmonroy\Tema\Punto 1 y 2\01-E001-41 ENMODEL S.A.C\01-E001-41 ENMODEL S.A.C.pdf", "Link")</f>
        <v/>
      </c>
      <c r="C2767" t="n">
        <v>12143529</v>
      </c>
      <c r="D2767" t="inlineStr">
        <is>
          <t>2024-04-18 18:44:19</t>
        </is>
      </c>
      <c r="E2767" t="inlineStr">
        <is>
          <t>2024-04-18 19:20:04</t>
        </is>
      </c>
      <c r="F2767" t="inlineStr">
        <is>
          <t>666</t>
        </is>
      </c>
    </row>
    <row r="2768">
      <c r="A2768" t="inlineStr">
        <is>
          <t>02 APUs.pdf</t>
        </is>
      </c>
      <c r="B2768">
        <f>HYPERLINK("C:\Users\lmonroy\Tema\Punto 1 y 2\01-E001-41 ENMODEL S.A.C\02 APUs.pdf", "Link")</f>
        <v/>
      </c>
      <c r="C2768" t="n">
        <v>136918</v>
      </c>
      <c r="D2768" t="inlineStr">
        <is>
          <t>2024-04-17 18:44:11</t>
        </is>
      </c>
      <c r="E2768" t="inlineStr">
        <is>
          <t>2024-04-18 19:20:05</t>
        </is>
      </c>
      <c r="F2768" t="inlineStr">
        <is>
          <t>666</t>
        </is>
      </c>
    </row>
    <row r="2769">
      <c r="A2769" t="inlineStr">
        <is>
          <t>03 Lista de Insumos.pdf</t>
        </is>
      </c>
      <c r="B2769">
        <f>HYPERLINK("C:\Users\lmonroy\Tema\Punto 1 y 2\01-E001-41 ENMODEL S.A.C\03 Lista de Insumos.pdf", "Link")</f>
        <v/>
      </c>
      <c r="C2769" t="n">
        <v>99279</v>
      </c>
      <c r="D2769" t="inlineStr">
        <is>
          <t>2024-04-17 18:44:11</t>
        </is>
      </c>
      <c r="E2769" t="inlineStr">
        <is>
          <t>2024-04-18 19:20:05</t>
        </is>
      </c>
      <c r="F2769" t="inlineStr">
        <is>
          <t>666</t>
        </is>
      </c>
    </row>
    <row r="2770">
      <c r="A2770" t="inlineStr">
        <is>
          <t>04 Metrados.pdf</t>
        </is>
      </c>
      <c r="B2770">
        <f>HYPERLINK("C:\Users\lmonroy\Tema\Punto 1 y 2\01-E001-41 ENMODEL S.A.C\04 Metrados.pdf", "Link")</f>
        <v/>
      </c>
      <c r="C2770" t="n">
        <v>254676</v>
      </c>
      <c r="D2770" t="inlineStr">
        <is>
          <t>2024-04-17 18:44:11</t>
        </is>
      </c>
      <c r="E2770" t="inlineStr">
        <is>
          <t>2024-04-18 19:20:05</t>
        </is>
      </c>
      <c r="F2770" t="inlineStr">
        <is>
          <t>666</t>
        </is>
      </c>
    </row>
    <row r="2771">
      <c r="A2771" t="inlineStr">
        <is>
          <t>05 Cronograma.pdf</t>
        </is>
      </c>
      <c r="B2771">
        <f>HYPERLINK("C:\Users\lmonroy\Tema\Punto 1 y 2\01-E001-41 ENMODEL S.A.C\05 Cronograma.pdf", "Link")</f>
        <v/>
      </c>
      <c r="C2771" t="n">
        <v>294092</v>
      </c>
      <c r="D2771" t="inlineStr">
        <is>
          <t>2024-04-17 18:44:11</t>
        </is>
      </c>
      <c r="E2771" t="inlineStr">
        <is>
          <t>2024-04-18 19:20:05</t>
        </is>
      </c>
      <c r="F2771" t="inlineStr">
        <is>
          <t>666</t>
        </is>
      </c>
    </row>
    <row r="2772">
      <c r="A2772" t="inlineStr">
        <is>
          <t>61804 PAP Refinería El Milagro  V0.pdf</t>
        </is>
      </c>
      <c r="B2772">
        <f>HYPERLINK("C:\Users\lmonroy\Tema\Punto 1 y 2\01-E001-41 ENMODEL S.A.C\61804 PAP Refinería El Milagro  V0.pdf", "Link")</f>
        <v/>
      </c>
      <c r="C2772" t="n">
        <v>1429658</v>
      </c>
      <c r="D2772" t="inlineStr">
        <is>
          <t>2024-04-18 17:16:37</t>
        </is>
      </c>
      <c r="E2772" t="inlineStr">
        <is>
          <t>2024-04-18 19:20:05</t>
        </is>
      </c>
      <c r="F2772" t="inlineStr">
        <is>
          <t>666</t>
        </is>
      </c>
    </row>
    <row r="2773">
      <c r="A2773" t="inlineStr">
        <is>
          <t>61804- CLS- TEMA  - ENMODEL SAC 2_OM.PDF</t>
        </is>
      </c>
      <c r="B2773">
        <f>HYPERLINK("C:\Users\lmonroy\Tema\Punto 1 y 2\01-E001-41 ENMODEL S.A.C\61804- CLS- TEMA  - ENMODEL SAC 2_OM.PDF", "Link")</f>
        <v/>
      </c>
      <c r="C2773" t="n">
        <v>833894</v>
      </c>
      <c r="D2773" t="inlineStr">
        <is>
          <t>2024-04-18 15:07:54</t>
        </is>
      </c>
      <c r="E2773" t="inlineStr">
        <is>
          <t>2024-04-18 19:20:05</t>
        </is>
      </c>
      <c r="F2773" t="inlineStr">
        <is>
          <t>666</t>
        </is>
      </c>
    </row>
    <row r="2774">
      <c r="A2774" t="inlineStr">
        <is>
          <t>OC-643.pdf</t>
        </is>
      </c>
      <c r="B2774">
        <f>HYPERLINK("C:\Users\lmonroy\Tema\Punto 1 y 2\01-E001-41 ENMODEL S.A.C\OC-643.pdf", "Link")</f>
        <v/>
      </c>
      <c r="C2774" t="n">
        <v>175961</v>
      </c>
      <c r="D2774" t="inlineStr">
        <is>
          <t>2022-01-19 13:45:00</t>
        </is>
      </c>
      <c r="E2774" t="inlineStr">
        <is>
          <t>2024-04-18 19:20:05</t>
        </is>
      </c>
      <c r="F2774" t="inlineStr">
        <is>
          <t>666</t>
        </is>
      </c>
    </row>
    <row r="2775">
      <c r="A2775" t="inlineStr">
        <is>
          <t>PA-100-01 PLANO GENERAL.pdf</t>
        </is>
      </c>
      <c r="B2775">
        <f>HYPERLINK("C:\Users\lmonroy\Tema\Punto 1 y 2\01-E001-41 ENMODEL S.A.C\PA-100-01 PLANO GENERAL.pdf", "Link")</f>
        <v/>
      </c>
      <c r="C2775" t="n">
        <v>5562253</v>
      </c>
      <c r="D2775" t="inlineStr">
        <is>
          <t>2024-04-17 18:43:21</t>
        </is>
      </c>
      <c r="E2775" t="inlineStr">
        <is>
          <t>2024-04-18 19:20:05</t>
        </is>
      </c>
      <c r="F2775" t="inlineStr">
        <is>
          <t>666</t>
        </is>
      </c>
    </row>
    <row r="2776">
      <c r="A2776" t="inlineStr">
        <is>
          <t>PA-100-02PLANO UDP.pdf</t>
        </is>
      </c>
      <c r="B2776">
        <f>HYPERLINK("C:\Users\lmonroy\Tema\Punto 1 y 2\01-E001-41 ENMODEL S.A.C\PA-100-02PLANO UDP.pdf", "Link")</f>
        <v/>
      </c>
      <c r="C2776" t="n">
        <v>627653</v>
      </c>
      <c r="D2776" t="inlineStr">
        <is>
          <t>2024-04-17 18:43:21</t>
        </is>
      </c>
      <c r="E2776" t="inlineStr">
        <is>
          <t>2024-04-18 19:20:05</t>
        </is>
      </c>
      <c r="F2776" t="inlineStr">
        <is>
          <t>666</t>
        </is>
      </c>
    </row>
    <row r="2777">
      <c r="A2777" t="inlineStr">
        <is>
          <t>PA-100-03 PLANO TANQUES DE AGUA TRATADA.pdf</t>
        </is>
      </c>
      <c r="B2777">
        <f>HYPERLINK("C:\Users\lmonroy\Tema\Punto 1 y 2\01-E001-41 ENMODEL S.A.C\PA-100-03 PLANO TANQUES DE AGUA TRATADA.pdf", "Link")</f>
        <v/>
      </c>
      <c r="C2777" t="n">
        <v>526722</v>
      </c>
      <c r="D2777" t="inlineStr">
        <is>
          <t>2024-04-17 18:43:21</t>
        </is>
      </c>
      <c r="E2777" t="inlineStr">
        <is>
          <t>2024-04-18 19:20:05</t>
        </is>
      </c>
      <c r="F2777" t="inlineStr">
        <is>
          <t>666</t>
        </is>
      </c>
    </row>
    <row r="2778">
      <c r="A2778" t="inlineStr">
        <is>
          <t>PA-100-04 PLANO TANQUES DE SODA.pdf</t>
        </is>
      </c>
      <c r="B2778">
        <f>HYPERLINK("C:\Users\lmonroy\Tema\Punto 1 y 2\01-E001-41 ENMODEL S.A.C\PA-100-04 PLANO TANQUES DE SODA.pdf", "Link")</f>
        <v/>
      </c>
      <c r="C2778" t="n">
        <v>656612</v>
      </c>
      <c r="D2778" t="inlineStr">
        <is>
          <t>2024-04-17 18:43:21</t>
        </is>
      </c>
      <c r="E2778" t="inlineStr">
        <is>
          <t>2024-04-18 19:20:05</t>
        </is>
      </c>
      <c r="F2778" t="inlineStr">
        <is>
          <t>666</t>
        </is>
      </c>
    </row>
    <row r="2779">
      <c r="A2779" t="inlineStr">
        <is>
          <t>PA-100-05 POZA API.pdf</t>
        </is>
      </c>
      <c r="B2779">
        <f>HYPERLINK("C:\Users\lmonroy\Tema\Punto 1 y 2\01-E001-41 ENMODEL S.A.C\PA-100-05 POZA API.pdf", "Link")</f>
        <v/>
      </c>
      <c r="C2779" t="n">
        <v>477715</v>
      </c>
      <c r="D2779" t="inlineStr">
        <is>
          <t>2024-04-17 18:43:21</t>
        </is>
      </c>
      <c r="E2779" t="inlineStr">
        <is>
          <t>2024-04-18 19:20:05</t>
        </is>
      </c>
      <c r="F2779" t="inlineStr">
        <is>
          <t>666</t>
        </is>
      </c>
    </row>
    <row r="2780">
      <c r="A2780" t="inlineStr">
        <is>
          <t>PA-100-06 PLANO TANQUE SLOP 45T-1.pdf</t>
        </is>
      </c>
      <c r="B2780">
        <f>HYPERLINK("C:\Users\lmonroy\Tema\Punto 1 y 2\01-E001-41 ENMODEL S.A.C\PA-100-06 PLANO TANQUE SLOP 45T-1.pdf", "Link")</f>
        <v/>
      </c>
      <c r="C2780" t="n">
        <v>508479</v>
      </c>
      <c r="D2780" t="inlineStr">
        <is>
          <t>2024-04-17 18:43:21</t>
        </is>
      </c>
      <c r="E2780" t="inlineStr">
        <is>
          <t>2024-04-18 19:20:05</t>
        </is>
      </c>
      <c r="F2780" t="inlineStr">
        <is>
          <t>666</t>
        </is>
      </c>
    </row>
    <row r="2781">
      <c r="A2781" t="inlineStr">
        <is>
          <t>PA-100-07 PLANO CALDERO.pdf</t>
        </is>
      </c>
      <c r="B2781">
        <f>HYPERLINK("C:\Users\lmonroy\Tema\Punto 1 y 2\01-E001-41 ENMODEL S.A.C\PA-100-07 PLANO CALDERO.pdf", "Link")</f>
        <v/>
      </c>
      <c r="C2781" t="n">
        <v>655233</v>
      </c>
      <c r="D2781" t="inlineStr">
        <is>
          <t>2024-04-17 18:43:21</t>
        </is>
      </c>
      <c r="E2781" t="inlineStr">
        <is>
          <t>2024-04-18 19:20:06</t>
        </is>
      </c>
      <c r="F2781" t="inlineStr">
        <is>
          <t>666</t>
        </is>
      </c>
    </row>
    <row r="2782">
      <c r="A2782" t="inlineStr">
        <is>
          <t>PA-100-08 PLANO LABORATORIO DE ANÁLISIS ESPECIALES.pdf</t>
        </is>
      </c>
      <c r="B2782">
        <f>HYPERLINK("C:\Users\lmonroy\Tema\Punto 1 y 2\01-E001-41 ENMODEL S.A.C\PA-100-08 PLANO LABORATORIO DE ANÁLISIS ESPECIALES.pdf", "Link")</f>
        <v/>
      </c>
      <c r="C2782" t="n">
        <v>260562</v>
      </c>
      <c r="D2782" t="inlineStr">
        <is>
          <t>2024-04-17 18:43:21</t>
        </is>
      </c>
      <c r="E2782" t="inlineStr">
        <is>
          <t>2024-04-18 19:20:06</t>
        </is>
      </c>
      <c r="F2782" t="inlineStr">
        <is>
          <t>666</t>
        </is>
      </c>
    </row>
    <row r="2783">
      <c r="A2783" t="inlineStr">
        <is>
          <t>PA-100-09 PLANO FLARE.pdf</t>
        </is>
      </c>
      <c r="B2783">
        <f>HYPERLINK("C:\Users\lmonroy\Tema\Punto 1 y 2\01-E001-41 ENMODEL S.A.C\PA-100-09 PLANO FLARE.pdf", "Link")</f>
        <v/>
      </c>
      <c r="C2783" t="n">
        <v>672434</v>
      </c>
      <c r="D2783" t="inlineStr">
        <is>
          <t>2024-04-17 18:43:21</t>
        </is>
      </c>
      <c r="E2783" t="inlineStr">
        <is>
          <t>2024-04-18 19:20:06</t>
        </is>
      </c>
      <c r="F2783" t="inlineStr">
        <is>
          <t>666</t>
        </is>
      </c>
    </row>
    <row r="2784">
      <c r="A2784" t="inlineStr">
        <is>
          <t>PDF-DOC-E001-4120563657538.pdf</t>
        </is>
      </c>
      <c r="B2784">
        <f>HYPERLINK("C:\Users\lmonroy\Tema\Punto 1 y 2\01-E001-41 ENMODEL S.A.C\PDF-DOC-E001-4120563657538.pdf", "Link")</f>
        <v/>
      </c>
      <c r="C2784" t="n">
        <v>4931</v>
      </c>
      <c r="D2784" t="inlineStr">
        <is>
          <t>2022-01-19 13:45:00</t>
        </is>
      </c>
      <c r="E2784" t="inlineStr">
        <is>
          <t>2024-04-18 19:20:06</t>
        </is>
      </c>
      <c r="F2784" t="inlineStr">
        <is>
          <t>666</t>
        </is>
      </c>
    </row>
    <row r="2785">
      <c r="A2785" t="inlineStr">
        <is>
          <t>PDF-NOTA_CREDITOE001620563657538.pdf</t>
        </is>
      </c>
      <c r="B2785">
        <f>HYPERLINK("C:\Users\lmonroy\Tema\Punto 1 y 2\01-E001-41 ENMODEL S.A.C\PDF-NOTA_CREDITOE001620563657538.pdf", "Link")</f>
        <v/>
      </c>
      <c r="C2785" t="n">
        <v>3844</v>
      </c>
      <c r="D2785" t="inlineStr">
        <is>
          <t>2022-01-24 13:25:29</t>
        </is>
      </c>
      <c r="E2785" t="inlineStr">
        <is>
          <t>2024-04-18 19:20:06</t>
        </is>
      </c>
      <c r="F2785" t="inlineStr">
        <is>
          <t>666</t>
        </is>
      </c>
    </row>
    <row r="2786">
      <c r="A2786" t="inlineStr">
        <is>
          <t>Separadores V0.pdf</t>
        </is>
      </c>
      <c r="B2786">
        <f>HYPERLINK("C:\Users\lmonroy\Tema\Punto 1 y 2\01-E001-41 ENMODEL S.A.C\Separadores V0.pdf", "Link")</f>
        <v/>
      </c>
      <c r="C2786" t="n">
        <v>23506</v>
      </c>
      <c r="D2786" t="inlineStr">
        <is>
          <t>2024-04-18 17:17:19</t>
        </is>
      </c>
      <c r="E2786" t="inlineStr">
        <is>
          <t>2024-04-18 19:20:06</t>
        </is>
      </c>
      <c r="F2786" t="inlineStr">
        <is>
          <t>666</t>
        </is>
      </c>
    </row>
    <row r="2787">
      <c r="A2787" t="inlineStr">
        <is>
          <t>02-OS MEDICINE &amp; SAFETY SAC FE 134.pdf</t>
        </is>
      </c>
      <c r="B2787">
        <f>HYPERLINK("C:\Users\lmonroy\Tema\Punto 1 y 2\02-E001-134 MEDICINE &amp; SAFETY SAC\02-OS MEDICINE &amp; SAFETY SAC FE 134.pdf", "Link")</f>
        <v/>
      </c>
      <c r="C2787" t="n">
        <v>81770</v>
      </c>
      <c r="D2787" t="inlineStr">
        <is>
          <t>2024-04-18 10:41:00</t>
        </is>
      </c>
      <c r="E2787" t="inlineStr">
        <is>
          <t>2024-04-18 19:20:06</t>
        </is>
      </c>
      <c r="F2787" t="inlineStr">
        <is>
          <t>666</t>
        </is>
      </c>
    </row>
    <row r="2788">
      <c r="A2788" t="inlineStr">
        <is>
          <t>4 CPS - Salud Ocupacional - Octubre 2021.pdf</t>
        </is>
      </c>
      <c r="B2788">
        <f>HYPERLINK("C:\Users\lmonroy\Tema\Punto 1 y 2\02-E001-134 MEDICINE &amp; SAFETY SAC\4 CPS - Salud Ocupacional - Octubre 2021.pdf", "Link")</f>
        <v/>
      </c>
      <c r="C2788" t="n">
        <v>263971</v>
      </c>
      <c r="D2788" t="inlineStr">
        <is>
          <t>2024-04-18 15:11:32</t>
        </is>
      </c>
      <c r="E2788" t="inlineStr">
        <is>
          <t>2024-04-18 19:20:06</t>
        </is>
      </c>
      <c r="F2788" t="inlineStr">
        <is>
          <t>666</t>
        </is>
      </c>
    </row>
    <row r="2789">
      <c r="A2789" t="inlineStr">
        <is>
          <t>FT 000134 MEDICINE &amp; SAFETY SAC.pdf</t>
        </is>
      </c>
      <c r="B2789">
        <f>HYPERLINK("C:\Users\lmonroy\Tema\Punto 1 y 2\02-E001-134 MEDICINE &amp; SAFETY SAC\FT 000134 MEDICINE &amp; SAFETY SAC.pdf", "Link")</f>
        <v/>
      </c>
      <c r="C2789" t="n">
        <v>4804</v>
      </c>
      <c r="D2789" t="inlineStr">
        <is>
          <t>2022-01-27 10:11:00</t>
        </is>
      </c>
      <c r="E2789" t="inlineStr">
        <is>
          <t>2024-04-18 19:20:06</t>
        </is>
      </c>
      <c r="F2789" t="inlineStr">
        <is>
          <t>666</t>
        </is>
      </c>
    </row>
    <row r="2790">
      <c r="A2790" t="inlineStr">
        <is>
          <t>INFORME DE ACTIVIDADES ENERO 22.pdf</t>
        </is>
      </c>
      <c r="B2790">
        <f>HYPERLINK("C:\Users\lmonroy\Tema\Punto 1 y 2\02-E001-134 MEDICINE &amp; SAFETY SAC\INFORME DE ACTIVIDADES ENERO 22.pdf", "Link")</f>
        <v/>
      </c>
      <c r="C2790" t="n">
        <v>108825</v>
      </c>
      <c r="D2790" t="inlineStr">
        <is>
          <t>2022-01-27 10:11:00</t>
        </is>
      </c>
      <c r="E2790" t="inlineStr">
        <is>
          <t>2024-04-18 19:20:06</t>
        </is>
      </c>
      <c r="F2790" t="inlineStr">
        <is>
          <t>666</t>
        </is>
      </c>
    </row>
    <row r="2791">
      <c r="A2791" t="inlineStr">
        <is>
          <t>03-OS R &amp; S LOGISTICA Y SERVICIOS E.I.R.L. FT 208.pdf</t>
        </is>
      </c>
      <c r="B2791">
        <f>HYPERLINK("C:\Users\lmonroy\Tema\Punto 1 y 2\03-E001-208 R &amp; S LOGISTICA Y SERVICIOS E.I.R.L\03-OS R &amp; S LOGISTICA Y SERVICIOS E.I.R.L. FT 208.pdf", "Link")</f>
        <v/>
      </c>
      <c r="C2791" t="n">
        <v>97634</v>
      </c>
      <c r="D2791" t="inlineStr">
        <is>
          <t>2024-04-18 10:41:00</t>
        </is>
      </c>
      <c r="E2791" t="inlineStr">
        <is>
          <t>2024-04-18 19:20:06</t>
        </is>
      </c>
      <c r="F2791" t="inlineStr">
        <is>
          <t>666</t>
        </is>
      </c>
    </row>
    <row r="2792">
      <c r="A2792" t="inlineStr">
        <is>
          <t>CT-R&amp;S-TEMA- REPSOL QUINTO INGRESO-2021.pdf</t>
        </is>
      </c>
      <c r="B2792">
        <f>HYPERLINK("C:\Users\lmonroy\Tema\Punto 1 y 2\03-E001-208 R &amp; S LOGISTICA Y SERVICIOS E.I.R.L\CT-R&amp;S-TEMA- REPSOL QUINTO INGRESO-2021.pdf", "Link")</f>
        <v/>
      </c>
      <c r="C2792" t="n">
        <v>1156108</v>
      </c>
      <c r="D2792" t="inlineStr">
        <is>
          <t>2024-04-17 20:01:43</t>
        </is>
      </c>
      <c r="E2792" t="inlineStr">
        <is>
          <t>2024-04-18 19:20:06</t>
        </is>
      </c>
      <c r="F2792" t="inlineStr">
        <is>
          <t>666</t>
        </is>
      </c>
    </row>
    <row r="2793">
      <c r="A2793" t="inlineStr">
        <is>
          <t>FIRMAS EN OTRO PLANILLA.pdf</t>
        </is>
      </c>
      <c r="B2793">
        <f>HYPERLINK("C:\Users\lmonroy\Tema\Punto 1 y 2\03-E001-208 R &amp; S LOGISTICA Y SERVICIOS E.I.R.L\FIRMAS EN OTRO PLANILLA.pdf", "Link")</f>
        <v/>
      </c>
      <c r="C2793" t="n">
        <v>3514781</v>
      </c>
      <c r="D2793" t="inlineStr">
        <is>
          <t>2022-01-21 20:17:00</t>
        </is>
      </c>
      <c r="E2793" t="inlineStr">
        <is>
          <t>2024-04-18 19:20:06</t>
        </is>
      </c>
      <c r="F2793" t="inlineStr">
        <is>
          <t>666</t>
        </is>
      </c>
    </row>
    <row r="2794">
      <c r="A2794" t="inlineStr">
        <is>
          <t>PLANILLA KINTERONI.pdf</t>
        </is>
      </c>
      <c r="B2794">
        <f>HYPERLINK("C:\Users\lmonroy\Tema\Punto 1 y 2\03-E001-208 R &amp; S LOGISTICA Y SERVICIOS E.I.R.L\PLANILLA KINTERONI.pdf", "Link")</f>
        <v/>
      </c>
      <c r="C2794" t="n">
        <v>7060051</v>
      </c>
      <c r="D2794" t="inlineStr">
        <is>
          <t>2022-01-21 20:17:00</t>
        </is>
      </c>
      <c r="E2794" t="inlineStr">
        <is>
          <t>2024-04-18 19:20:06</t>
        </is>
      </c>
      <c r="F2794" t="inlineStr">
        <is>
          <t>666</t>
        </is>
      </c>
    </row>
    <row r="2795">
      <c r="A2795" t="inlineStr">
        <is>
          <t>PLANILLA MASHIRA.pdf</t>
        </is>
      </c>
      <c r="B2795">
        <f>HYPERLINK("C:\Users\lmonroy\Tema\Punto 1 y 2\03-E001-208 R &amp; S LOGISTICA Y SERVICIOS E.I.R.L\PLANILLA MASHIRA.pdf", "Link")</f>
        <v/>
      </c>
      <c r="C2795" t="n">
        <v>1653662</v>
      </c>
      <c r="D2795" t="inlineStr">
        <is>
          <t>2022-01-21 20:17:00</t>
        </is>
      </c>
      <c r="E2795" t="inlineStr">
        <is>
          <t>2024-04-18 19:20:07</t>
        </is>
      </c>
      <c r="F2795" t="inlineStr">
        <is>
          <t>666</t>
        </is>
      </c>
    </row>
    <row r="2796">
      <c r="A2796" t="inlineStr">
        <is>
          <t>PLANILLA SAGARI.pdf</t>
        </is>
      </c>
      <c r="B2796">
        <f>HYPERLINK("C:\Users\lmonroy\Tema\Punto 1 y 2\03-E001-208 R &amp; S LOGISTICA Y SERVICIOS E.I.R.L\PLANILLA SAGARI.pdf", "Link")</f>
        <v/>
      </c>
      <c r="C2796" t="n">
        <v>9770225</v>
      </c>
      <c r="D2796" t="inlineStr">
        <is>
          <t>2022-01-21 20:17:00</t>
        </is>
      </c>
      <c r="E2796" t="inlineStr">
        <is>
          <t>2024-04-18 19:20:07</t>
        </is>
      </c>
      <c r="F2796" t="inlineStr">
        <is>
          <t>666</t>
        </is>
      </c>
    </row>
    <row r="2797">
      <c r="A2797" t="inlineStr">
        <is>
          <t>Valorización  TEMA.xlsx 20-01-2022.xlsx</t>
        </is>
      </c>
      <c r="B2797">
        <f>HYPERLINK("C:\Users\lmonroy\Tema\Punto 1 y 2\03-E001-208 R &amp; S LOGISTICA Y SERVICIOS E.I.R.L\Valorización  TEMA.xlsx 20-01-2022.xlsx", "Link")</f>
        <v/>
      </c>
      <c r="C2797" t="n">
        <v>152814</v>
      </c>
      <c r="D2797" t="inlineStr">
        <is>
          <t>2022-01-21 20:17:00</t>
        </is>
      </c>
      <c r="E2797" t="inlineStr">
        <is>
          <t>2024-04-18 19:20:07</t>
        </is>
      </c>
      <c r="F2797" t="inlineStr">
        <is>
          <t>666</t>
        </is>
      </c>
    </row>
    <row r="2798">
      <c r="A2798" t="inlineStr">
        <is>
          <t>CONTRATO N° 123.pdf</t>
        </is>
      </c>
      <c r="B2798">
        <f>HYPERLINK("C:\Users\lmonroy\Tema\Punto 1 y 2\04-E001-398 AGORA SERVICIOS MULTIPLES S.A.C\CONTRATO N° 123.pdf", "Link")</f>
        <v/>
      </c>
      <c r="C2798" t="n">
        <v>298152</v>
      </c>
      <c r="D2798" t="inlineStr">
        <is>
          <t>2024-04-18 15:30:15</t>
        </is>
      </c>
      <c r="E2798" t="inlineStr">
        <is>
          <t>2024-04-18 19:20:07</t>
        </is>
      </c>
      <c r="F2798" t="inlineStr">
        <is>
          <t>666</t>
        </is>
      </c>
    </row>
    <row r="2799">
      <c r="A2799" t="inlineStr">
        <is>
          <t>FACTURA E001-398.pdf</t>
        </is>
      </c>
      <c r="B2799">
        <f>HYPERLINK("C:\Users\lmonroy\Tema\Punto 1 y 2\04-E001-398 AGORA SERVICIOS MULTIPLES S.A.C\FACTURA E001-398.pdf", "Link")</f>
        <v/>
      </c>
      <c r="C2799" t="n">
        <v>137713</v>
      </c>
      <c r="D2799" t="inlineStr">
        <is>
          <t>2022-02-01 15:25:00</t>
        </is>
      </c>
      <c r="E2799" t="inlineStr">
        <is>
          <t>2024-04-18 19:20:07</t>
        </is>
      </c>
      <c r="F2799" t="inlineStr">
        <is>
          <t>666</t>
        </is>
      </c>
    </row>
    <row r="2800">
      <c r="A2800" t="inlineStr">
        <is>
          <t>OC-756.pdf</t>
        </is>
      </c>
      <c r="B2800">
        <f>HYPERLINK("C:\Users\lmonroy\Tema\Punto 1 y 2\04-E001-398 AGORA SERVICIOS MULTIPLES S.A.C\OC-756.pdf", "Link")</f>
        <v/>
      </c>
      <c r="C2800" t="n">
        <v>81435</v>
      </c>
      <c r="D2800" t="inlineStr">
        <is>
          <t>2022-02-01 15:25:00</t>
        </is>
      </c>
      <c r="E2800" t="inlineStr">
        <is>
          <t>2024-04-18 19:20:07</t>
        </is>
      </c>
      <c r="F2800" t="inlineStr">
        <is>
          <t>666</t>
        </is>
      </c>
    </row>
    <row r="2801">
      <c r="A2801" t="inlineStr">
        <is>
          <t>CONTRATO N° 124.pdf</t>
        </is>
      </c>
      <c r="B2801">
        <f>HYPERLINK("C:\Users\lmonroy\Tema\Punto 1 y 2\05-E001-399 AGORA SERVICIOS MULTIPLES S.A.C\CONTRATO N° 124.pdf", "Link")</f>
        <v/>
      </c>
      <c r="C2801" t="n">
        <v>297049</v>
      </c>
      <c r="D2801" t="inlineStr">
        <is>
          <t>2024-04-18 15:30:47</t>
        </is>
      </c>
      <c r="E2801" t="inlineStr">
        <is>
          <t>2024-04-18 19:20:08</t>
        </is>
      </c>
      <c r="F2801" t="inlineStr">
        <is>
          <t>666</t>
        </is>
      </c>
    </row>
    <row r="2802">
      <c r="A2802" t="inlineStr">
        <is>
          <t>FACTURA E001-399.pdf</t>
        </is>
      </c>
      <c r="B2802">
        <f>HYPERLINK("C:\Users\lmonroy\Tema\Punto 1 y 2\05-E001-399 AGORA SERVICIOS MULTIPLES S.A.C\FACTURA E001-399.pdf", "Link")</f>
        <v/>
      </c>
      <c r="C2802" t="n">
        <v>4780</v>
      </c>
      <c r="D2802" t="inlineStr">
        <is>
          <t>2022-02-01 15:24:33</t>
        </is>
      </c>
      <c r="E2802" t="inlineStr">
        <is>
          <t>2024-04-18 19:20:08</t>
        </is>
      </c>
      <c r="F2802" t="inlineStr">
        <is>
          <t>666</t>
        </is>
      </c>
    </row>
    <row r="2803">
      <c r="A2803" t="inlineStr">
        <is>
          <t>OC-756.pdf</t>
        </is>
      </c>
      <c r="B2803">
        <f>HYPERLINK("C:\Users\lmonroy\Tema\Punto 1 y 2\05-E001-399 AGORA SERVICIOS MULTIPLES S.A.C\OC-756.pdf", "Link")</f>
        <v/>
      </c>
      <c r="C2803" t="n">
        <v>81435</v>
      </c>
      <c r="D2803" t="inlineStr">
        <is>
          <t>2022-02-01 15:25:00</t>
        </is>
      </c>
      <c r="E2803" t="inlineStr">
        <is>
          <t>2024-04-18 19:20:08</t>
        </is>
      </c>
      <c r="F2803" t="inlineStr">
        <is>
          <t>666</t>
        </is>
      </c>
    </row>
    <row r="2804">
      <c r="A2804" t="inlineStr">
        <is>
          <t>06-OS CORPORACIÓN SURE SAC FT 563.pdf</t>
        </is>
      </c>
      <c r="B2804">
        <f>HYPERLINK("C:\Users\lmonroy\Tema\Punto 1 y 2\06-E001-563 CORPORACION SURE SAC 2\06-OS CORPORACIÓN SURE SAC FT 563.pdf", "Link")</f>
        <v/>
      </c>
      <c r="C2804" t="n">
        <v>75312</v>
      </c>
      <c r="D2804" t="inlineStr">
        <is>
          <t>2024-04-18 10:41:00</t>
        </is>
      </c>
      <c r="E2804" t="inlineStr">
        <is>
          <t>2024-04-18 19:20:08</t>
        </is>
      </c>
      <c r="F2804" t="inlineStr">
        <is>
          <t>666</t>
        </is>
      </c>
    </row>
    <row r="2805">
      <c r="A2805" t="inlineStr">
        <is>
          <t>E001-563 TEMA ASESORIA SIG DIC 2021.pdf</t>
        </is>
      </c>
      <c r="B2805">
        <f>HYPERLINK("C:\Users\lmonroy\Tema\Punto 1 y 2\06-E001-563 CORPORACION SURE SAC 2\E001-563 TEMA ASESORIA SIG DIC 2021.pdf", "Link")</f>
        <v/>
      </c>
      <c r="C2805" t="n">
        <v>4863</v>
      </c>
      <c r="D2805" t="inlineStr">
        <is>
          <t>2022-01-05 15:43:20</t>
        </is>
      </c>
      <c r="E2805" t="inlineStr">
        <is>
          <t>2024-04-18 19:20:08</t>
        </is>
      </c>
      <c r="F2805" t="inlineStr">
        <is>
          <t>666</t>
        </is>
      </c>
    </row>
    <row r="2806">
      <c r="A2806" t="inlineStr">
        <is>
          <t>Informe QMS EMS SST Diciembre 2021.pdf</t>
        </is>
      </c>
      <c r="B2806">
        <f>HYPERLINK("C:\Users\lmonroy\Tema\Punto 1 y 2\06-E001-563 CORPORACION SURE SAC 2\Informe QMS EMS SST Diciembre 2021.pdf", "Link")</f>
        <v/>
      </c>
      <c r="C2806" t="n">
        <v>83069</v>
      </c>
      <c r="D2806" t="inlineStr">
        <is>
          <t>2022-01-05 15:43:00</t>
        </is>
      </c>
      <c r="E2806" t="inlineStr">
        <is>
          <t>2024-04-18 19:20:08</t>
        </is>
      </c>
      <c r="F2806" t="inlineStr">
        <is>
          <t>666</t>
        </is>
      </c>
    </row>
    <row r="2807">
      <c r="A2807" t="inlineStr">
        <is>
          <t>SUR-058-2020 SGI TEMA-adenda sep.dic 2021.pdf</t>
        </is>
      </c>
      <c r="B2807">
        <f>HYPERLINK("C:\Users\lmonroy\Tema\Punto 1 y 2\06-E001-563 CORPORACION SURE SAC 2\SUR-058-2020 SGI TEMA-adenda sep.dic 2021.pdf", "Link")</f>
        <v/>
      </c>
      <c r="C2807" t="n">
        <v>191696</v>
      </c>
      <c r="D2807" t="inlineStr">
        <is>
          <t>2024-04-18 17:20:50</t>
        </is>
      </c>
      <c r="E2807" t="inlineStr">
        <is>
          <t>2024-04-18 19:20:08</t>
        </is>
      </c>
      <c r="F2807" t="inlineStr">
        <is>
          <t>666</t>
        </is>
      </c>
    </row>
    <row r="2808">
      <c r="A2808" t="inlineStr">
        <is>
          <t>07-OS CORPORACIÓN SURE SAC . FT 570.pdf</t>
        </is>
      </c>
      <c r="B2808">
        <f>HYPERLINK("C:\Users\lmonroy\Tema\Punto 1 y 2\07-E001-570 CORPORACION SURE SAC\07-OS CORPORACIÓN SURE SAC . FT 570.pdf", "Link")</f>
        <v/>
      </c>
      <c r="C2808" t="n">
        <v>78354</v>
      </c>
      <c r="D2808" t="inlineStr">
        <is>
          <t>2024-04-18 10:41:00</t>
        </is>
      </c>
      <c r="E2808" t="inlineStr">
        <is>
          <t>2024-04-18 19:20:08</t>
        </is>
      </c>
      <c r="F2808" t="inlineStr">
        <is>
          <t>666</t>
        </is>
      </c>
    </row>
    <row r="2809">
      <c r="A2809" t="inlineStr">
        <is>
          <t>E001-570 TEMA PETRO 61455 ETAPA 3 HITO 11.pdf</t>
        </is>
      </c>
      <c r="B2809">
        <f>HYPERLINK("C:\Users\lmonroy\Tema\Punto 1 y 2\07-E001-570 CORPORACION SURE SAC\E001-570 TEMA PETRO 61455 ETAPA 3 HITO 11.pdf", "Link")</f>
        <v/>
      </c>
      <c r="C2809" t="n">
        <v>4981</v>
      </c>
      <c r="D2809" t="inlineStr">
        <is>
          <t>2022-01-31 21:15:35</t>
        </is>
      </c>
      <c r="E2809" t="inlineStr">
        <is>
          <t>2024-04-18 19:20:08</t>
        </is>
      </c>
      <c r="F2809" t="inlineStr">
        <is>
          <t>666</t>
        </is>
      </c>
    </row>
    <row r="2810">
      <c r="A2810" t="inlineStr">
        <is>
          <t>Informe Técnico Enero 2022.pdf</t>
        </is>
      </c>
      <c r="B2810">
        <f>HYPERLINK("C:\Users\lmonroy\Tema\Punto 1 y 2\07-E001-570 CORPORACION SURE SAC\Informe Técnico Enero 2022.pdf", "Link")</f>
        <v/>
      </c>
      <c r="C2810" t="n">
        <v>396550</v>
      </c>
      <c r="D2810" t="inlineStr">
        <is>
          <t>2024-04-18 17:21:31</t>
        </is>
      </c>
      <c r="E2810" t="inlineStr">
        <is>
          <t>2024-04-18 19:20:08</t>
        </is>
      </c>
      <c r="F2810" t="inlineStr">
        <is>
          <t>666</t>
        </is>
      </c>
    </row>
    <row r="2811">
      <c r="A2811" t="inlineStr">
        <is>
          <t>08-OS  BUSINESS TECHNOLOGY S.A. FT 2808.pdf</t>
        </is>
      </c>
      <c r="B2811">
        <f>HYPERLINK("C:\Users\lmonroy\Tema\Punto 1 y 2\08-F001-2808 BUSINESS TECHNOLOGY SA\08-OS  BUSINESS TECHNOLOGY S.A. FT 2808.pdf", "Link")</f>
        <v/>
      </c>
      <c r="C2811" t="n">
        <v>84717</v>
      </c>
      <c r="D2811" t="inlineStr">
        <is>
          <t>2024-04-18 10:41:00</t>
        </is>
      </c>
      <c r="E2811" t="inlineStr">
        <is>
          <t>2024-04-18 19:20:08</t>
        </is>
      </c>
      <c r="F2811" t="inlineStr">
        <is>
          <t>666</t>
        </is>
      </c>
    </row>
    <row r="2812">
      <c r="A2812" t="inlineStr">
        <is>
          <t>Cotizacion TEMA LITOCLEAN  SAC  -  ( laptop Lenovo Thinkbook  ) (20.01.22).pdf</t>
        </is>
      </c>
      <c r="B2812">
        <f>HYPERLINK("C:\Users\lmonroy\Tema\Punto 1 y 2\08-F001-2808 BUSINESS TECHNOLOGY SA\Cotizacion TEMA LITOCLEAN  SAC  -  ( laptop Lenovo Thinkbook  ) (20.01.22).pdf", "Link")</f>
        <v/>
      </c>
      <c r="C2812" t="n">
        <v>555208</v>
      </c>
      <c r="D2812" t="inlineStr">
        <is>
          <t>2022-01-28 11:23:00</t>
        </is>
      </c>
      <c r="E2812" t="inlineStr">
        <is>
          <t>2024-04-18 19:20:08</t>
        </is>
      </c>
      <c r="F2812" t="inlineStr">
        <is>
          <t>666</t>
        </is>
      </c>
    </row>
    <row r="2813">
      <c r="A2813" t="inlineStr">
        <is>
          <t>F001-2808.pdf</t>
        </is>
      </c>
      <c r="B2813">
        <f>HYPERLINK("C:\Users\lmonroy\Tema\Punto 1 y 2\08-F001-2808 BUSINESS TECHNOLOGY SA\F001-2808.pdf", "Link")</f>
        <v/>
      </c>
      <c r="C2813" t="n">
        <v>400436</v>
      </c>
      <c r="D2813" t="inlineStr">
        <is>
          <t>2022-01-28 11:23:00</t>
        </is>
      </c>
      <c r="E2813" t="inlineStr">
        <is>
          <t>2024-04-18 19:20:09</t>
        </is>
      </c>
      <c r="F2813" t="inlineStr">
        <is>
          <t>666</t>
        </is>
      </c>
    </row>
    <row r="2814">
      <c r="A2814" t="inlineStr">
        <is>
          <t>Guia Tech.pdf</t>
        </is>
      </c>
      <c r="B2814">
        <f>HYPERLINK("C:\Users\lmonroy\Tema\Punto 1 y 2\08-F001-2808 BUSINESS TECHNOLOGY SA\Guia Tech.pdf", "Link")</f>
        <v/>
      </c>
      <c r="C2814" t="n">
        <v>58494</v>
      </c>
      <c r="D2814" t="inlineStr">
        <is>
          <t>2022-01-28 11:53:29</t>
        </is>
      </c>
      <c r="E2814" t="inlineStr">
        <is>
          <t>2024-04-18 19:20:09</t>
        </is>
      </c>
      <c r="F2814" t="inlineStr">
        <is>
          <t>666</t>
        </is>
      </c>
    </row>
    <row r="2815">
      <c r="A2815" t="inlineStr">
        <is>
          <t>20100041953-01-F581-03893396.pdf</t>
        </is>
      </c>
      <c r="B2815">
        <f>HYPERLINK("C:\Users\lmonroy\Tema\Punto 1 y 2\09-F581-3893396 RIMAC\20100041953-01-F581-03893396.pdf", "Link")</f>
        <v/>
      </c>
      <c r="C2815" t="n">
        <v>13934</v>
      </c>
      <c r="D2815" t="inlineStr">
        <is>
          <t>2022-01-11 09:31:00</t>
        </is>
      </c>
      <c r="E2815" t="inlineStr">
        <is>
          <t>2024-04-18 19:20:09</t>
        </is>
      </c>
      <c r="F2815" t="inlineStr">
        <is>
          <t>666</t>
        </is>
      </c>
    </row>
    <row r="2816">
      <c r="A2816" t="inlineStr">
        <is>
          <t>Estado de cuenta TEMA rimac.pdf</t>
        </is>
      </c>
      <c r="B2816">
        <f>HYPERLINK("C:\Users\lmonroy\Tema\Punto 1 y 2\09-F581-3893396 RIMAC\Estado de cuenta TEMA rimac.pdf", "Link")</f>
        <v/>
      </c>
      <c r="C2816" t="n">
        <v>7191</v>
      </c>
      <c r="D2816" t="inlineStr">
        <is>
          <t>2024-04-18 10:21:09</t>
        </is>
      </c>
      <c r="E2816" t="inlineStr">
        <is>
          <t>2024-04-18 19:20:09</t>
        </is>
      </c>
      <c r="F2816" t="inlineStr">
        <is>
          <t>666</t>
        </is>
      </c>
    </row>
    <row r="2817">
      <c r="A2817" t="inlineStr">
        <is>
          <t>Poliza SAlud Red Medica Enrique Bernaola 2021-2022.pdf</t>
        </is>
      </c>
      <c r="B2817">
        <f>HYPERLINK("C:\Users\lmonroy\Tema\Punto 1 y 2\09-F581-3893396 RIMAC\Poliza SAlud Red Medica Enrique Bernaola 2021-2022.pdf", "Link")</f>
        <v/>
      </c>
      <c r="C2817" t="n">
        <v>1148932</v>
      </c>
      <c r="D2817" t="inlineStr">
        <is>
          <t>2024-04-18 10:37:00</t>
        </is>
      </c>
      <c r="E2817" t="inlineStr">
        <is>
          <t>2024-04-18 19:20:09</t>
        </is>
      </c>
      <c r="F2817" t="inlineStr">
        <is>
          <t>666</t>
        </is>
      </c>
    </row>
    <row r="2818">
      <c r="A2818" t="inlineStr">
        <is>
          <t>20100041953-01-F581-03942097.pdf</t>
        </is>
      </c>
      <c r="B2818">
        <f>HYPERLINK("C:\Users\lmonroy\Tema\Punto 1 y 2\10-F581-3942097 RIMAC\20100041953-01-F581-03942097.pdf", "Link")</f>
        <v/>
      </c>
      <c r="C2818" t="n">
        <v>13930</v>
      </c>
      <c r="D2818" t="inlineStr">
        <is>
          <t>2022-01-31 20:25:00</t>
        </is>
      </c>
      <c r="E2818" t="inlineStr">
        <is>
          <t>2024-04-18 19:20:09</t>
        </is>
      </c>
      <c r="F2818" t="inlineStr">
        <is>
          <t>666</t>
        </is>
      </c>
    </row>
    <row r="2819">
      <c r="A2819" t="inlineStr">
        <is>
          <t>Estado de cuenta TEMA rimac.pdf</t>
        </is>
      </c>
      <c r="B2819">
        <f>HYPERLINK("C:\Users\lmonroy\Tema\Punto 1 y 2\10-F581-3942097 RIMAC\Estado de cuenta TEMA rimac.pdf", "Link")</f>
        <v/>
      </c>
      <c r="C2819" t="n">
        <v>7191</v>
      </c>
      <c r="D2819" t="inlineStr">
        <is>
          <t>2024-04-18 10:21:19</t>
        </is>
      </c>
      <c r="E2819" t="inlineStr">
        <is>
          <t>2024-04-18 19:20:09</t>
        </is>
      </c>
      <c r="F2819" t="inlineStr">
        <is>
          <t>666</t>
        </is>
      </c>
    </row>
    <row r="2820">
      <c r="A2820" t="inlineStr">
        <is>
          <t>Poliza SAlud Red Medica Enrique Bernaola 2021-2022.pdf</t>
        </is>
      </c>
      <c r="B2820">
        <f>HYPERLINK("C:\Users\lmonroy\Tema\Punto 1 y 2\10-F581-3942097 RIMAC\Poliza SAlud Red Medica Enrique Bernaola 2021-2022.pdf", "Link")</f>
        <v/>
      </c>
      <c r="C2820" t="n">
        <v>1148932</v>
      </c>
      <c r="D2820" t="inlineStr">
        <is>
          <t>2024-04-18 10:37:00</t>
        </is>
      </c>
      <c r="E2820" t="inlineStr">
        <is>
          <t>2024-04-18 19:20:09</t>
        </is>
      </c>
      <c r="F2820" t="inlineStr">
        <is>
          <t>666</t>
        </is>
      </c>
    </row>
    <row r="2821">
      <c r="A2821" t="inlineStr">
        <is>
          <t>Contrato Oficina 501 502 503.pdf</t>
        </is>
      </c>
      <c r="B2821">
        <f>HYPERLINK("C:\Users\lmonroy\Tema\Punto 1 y 2\11-FFA1-4817 EDIFICADORA LIDER S.A.C. OLES\Contrato Oficina 501 502 503.pdf", "Link")</f>
        <v/>
      </c>
      <c r="C2821" t="n">
        <v>942543</v>
      </c>
      <c r="D2821" t="inlineStr">
        <is>
          <t>2022-08-25 17:43:17</t>
        </is>
      </c>
      <c r="E2821" t="inlineStr">
        <is>
          <t>2024-04-18 19:20:10</t>
        </is>
      </c>
      <c r="F2821" t="inlineStr">
        <is>
          <t>666</t>
        </is>
      </c>
    </row>
    <row r="2822">
      <c r="A2822" t="inlineStr">
        <is>
          <t>FT 004817 EDIFICADORA LIDER SAC.pdf</t>
        </is>
      </c>
      <c r="B2822">
        <f>HYPERLINK("C:\Users\lmonroy\Tema\Punto 1 y 2\11-FFA1-4817 EDIFICADORA LIDER S.A.C. OLES\FT 004817 EDIFICADORA LIDER SAC.pdf", "Link")</f>
        <v/>
      </c>
      <c r="C2822" t="n">
        <v>40858</v>
      </c>
      <c r="D2822" t="inlineStr">
        <is>
          <t>2022-01-19 08:55:00</t>
        </is>
      </c>
      <c r="E2822" t="inlineStr">
        <is>
          <t>2024-04-18 19:20:10</t>
        </is>
      </c>
      <c r="F2822" t="inlineStr">
        <is>
          <t>666</t>
        </is>
      </c>
    </row>
    <row r="2823">
      <c r="A2823" t="inlineStr">
        <is>
          <t>FT 000048 ENMODEL S.A.C.pdf</t>
        </is>
      </c>
      <c r="B2823">
        <f>HYPERLINK("C:\Users\lmonroy\Tema\Punto 1 y 2\12-E001-48 ENMODEL S.A.C\FT 000048 ENMODEL S.A.C.pdf", "Link")</f>
        <v/>
      </c>
      <c r="C2823" t="n">
        <v>4872</v>
      </c>
      <c r="D2823" t="inlineStr">
        <is>
          <t>2022-02-06 15:49:00</t>
        </is>
      </c>
      <c r="E2823" t="inlineStr">
        <is>
          <t>2024-04-18 19:20:10</t>
        </is>
      </c>
      <c r="F2823" t="inlineStr">
        <is>
          <t>666</t>
        </is>
      </c>
    </row>
    <row r="2824">
      <c r="A2824" t="inlineStr">
        <is>
          <t>Informe de monitoreo aereo Locacion Mashira GX.pdf</t>
        </is>
      </c>
      <c r="B2824">
        <f>HYPERLINK("C:\Users\lmonroy\Tema\Punto 1 y 2\12-E001-48 ENMODEL S.A.C\Informe de monitoreo aereo Locacion Mashira GX.pdf", "Link")</f>
        <v/>
      </c>
      <c r="C2824" t="n">
        <v>1276114</v>
      </c>
      <c r="D2824" t="inlineStr">
        <is>
          <t>2024-04-18 17:22:47</t>
        </is>
      </c>
      <c r="E2824" t="inlineStr">
        <is>
          <t>2024-04-18 19:20:10</t>
        </is>
      </c>
      <c r="F2824" t="inlineStr">
        <is>
          <t>666</t>
        </is>
      </c>
    </row>
    <row r="2825">
      <c r="A2825" t="inlineStr">
        <is>
          <t>OC-761.pdf</t>
        </is>
      </c>
      <c r="B2825">
        <f>HYPERLINK("C:\Users\lmonroy\Tema\Punto 1 y 2\12-E001-48 ENMODEL S.A.C\OC-761.pdf", "Link")</f>
        <v/>
      </c>
      <c r="C2825" t="n">
        <v>173377</v>
      </c>
      <c r="D2825" t="inlineStr">
        <is>
          <t>2022-02-06 15:49:00</t>
        </is>
      </c>
      <c r="E2825" t="inlineStr">
        <is>
          <t>2024-04-18 19:20:10</t>
        </is>
      </c>
      <c r="F2825" t="inlineStr">
        <is>
          <t>666</t>
        </is>
      </c>
    </row>
    <row r="2826">
      <c r="A2826" t="inlineStr">
        <is>
          <t>PTC-1121043 Monitoreo Biológico de áreas en abandono con drone -TEMA (1).pdf</t>
        </is>
      </c>
      <c r="B2826">
        <f>HYPERLINK("C:\Users\lmonroy\Tema\Punto 1 y 2\12-E001-48 ENMODEL S.A.C\PTC-1121043 Monitoreo Biológico de áreas en abandono con drone -TEMA (1).pdf", "Link")</f>
        <v/>
      </c>
      <c r="C2826" t="n">
        <v>283894</v>
      </c>
      <c r="D2826" t="inlineStr">
        <is>
          <t>2022-02-06 15:49:00</t>
        </is>
      </c>
      <c r="E2826" t="inlineStr">
        <is>
          <t>2024-04-18 19:20:10</t>
        </is>
      </c>
      <c r="F2826" t="inlineStr">
        <is>
          <t>666</t>
        </is>
      </c>
    </row>
    <row r="2827">
      <c r="A2827" t="inlineStr">
        <is>
          <t>61555- CLS- TEMA  - ENMODEL SAC (2022)_OM.pdf</t>
        </is>
      </c>
      <c r="B2827">
        <f>HYPERLINK("C:\Users\lmonroy\Tema\Punto 1 y 2\13-E001-50 ENMODEL S.A.C\61555- CLS- TEMA  - ENMODEL SAC (2022)_OM.pdf", "Link")</f>
        <v/>
      </c>
      <c r="C2827" t="n">
        <v>2130314</v>
      </c>
      <c r="D2827" t="inlineStr">
        <is>
          <t>2022-02-18 17:43:00</t>
        </is>
      </c>
      <c r="E2827" t="inlineStr">
        <is>
          <t>2024-04-18 19:20:10</t>
        </is>
      </c>
      <c r="F2827" t="inlineStr">
        <is>
          <t>666</t>
        </is>
      </c>
    </row>
    <row r="2828">
      <c r="A2828" t="inlineStr">
        <is>
          <t>FT 000050 ENMODEL SAC.pdf</t>
        </is>
      </c>
      <c r="B2828">
        <f>HYPERLINK("C:\Users\lmonroy\Tema\Punto 1 y 2\13-E001-50 ENMODEL S.A.C\FT 000050 ENMODEL SAC.pdf", "Link")</f>
        <v/>
      </c>
      <c r="C2828" t="n">
        <v>4838</v>
      </c>
      <c r="D2828" t="inlineStr">
        <is>
          <t>2022-02-18 17:43:00</t>
        </is>
      </c>
      <c r="E2828" t="inlineStr">
        <is>
          <t>2024-04-18 19:20:10</t>
        </is>
      </c>
      <c r="F2828" t="inlineStr">
        <is>
          <t>666</t>
        </is>
      </c>
    </row>
    <row r="2829">
      <c r="A2829" t="inlineStr">
        <is>
          <t>OC-762.pdf</t>
        </is>
      </c>
      <c r="B2829">
        <f>HYPERLINK("C:\Users\lmonroy\Tema\Punto 1 y 2\13-E001-50 ENMODEL S.A.C\OC-762.pdf", "Link")</f>
        <v/>
      </c>
      <c r="C2829" t="n">
        <v>149824</v>
      </c>
      <c r="D2829" t="inlineStr">
        <is>
          <t>2022-02-18 17:43:00</t>
        </is>
      </c>
      <c r="E2829" t="inlineStr">
        <is>
          <t>2024-04-18 19:20:10</t>
        </is>
      </c>
      <c r="F2829" t="inlineStr">
        <is>
          <t>666</t>
        </is>
      </c>
    </row>
    <row r="2830">
      <c r="A2830" t="inlineStr">
        <is>
          <t>PTC-0122009 Diseño de Ingeniería Conceptual y Básica ACRHV.pdf</t>
        </is>
      </c>
      <c r="B2830">
        <f>HYPERLINK("C:\Users\lmonroy\Tema\Punto 1 y 2\13-E001-50 ENMODEL S.A.C\PTC-0122009 Diseño de Ingeniería Conceptual y Básica ACRHV.pdf", "Link")</f>
        <v/>
      </c>
      <c r="C2830" t="n">
        <v>382698</v>
      </c>
      <c r="D2830" t="inlineStr">
        <is>
          <t>2022-02-18 17:43:00</t>
        </is>
      </c>
      <c r="E2830" t="inlineStr">
        <is>
          <t>2024-04-18 19:20:10</t>
        </is>
      </c>
      <c r="F2830" t="inlineStr">
        <is>
          <t>666</t>
        </is>
      </c>
    </row>
    <row r="2831">
      <c r="A2831" t="inlineStr">
        <is>
          <t>14-OS  AC3 CONSULTORES E.I.R.L FT 62.pdf</t>
        </is>
      </c>
      <c r="B2831">
        <f>HYPERLINK("C:\Users\lmonroy\Tema\Punto 1 y 2\14-E001-62 AC3 CONSULTORES EMPRESA INDIVIDUAL DE RESPONSABILIDAD\14-OS  AC3 CONSULTORES E.I.R.L FT 62.pdf", "Link")</f>
        <v/>
      </c>
      <c r="C2831" t="n">
        <v>78174</v>
      </c>
      <c r="D2831" t="inlineStr">
        <is>
          <t>2024-04-18 10:41:00</t>
        </is>
      </c>
      <c r="E2831" t="inlineStr">
        <is>
          <t>2024-04-18 19:20:10</t>
        </is>
      </c>
      <c r="F2831" t="inlineStr">
        <is>
          <t>666</t>
        </is>
      </c>
    </row>
    <row r="2832">
      <c r="A2832" t="inlineStr">
        <is>
          <t>Informe Técnico Enero 2022 TEMA__.pdf</t>
        </is>
      </c>
      <c r="B2832">
        <f>HYPERLINK("C:\Users\lmonroy\Tema\Punto 1 y 2\14-E001-62 AC3 CONSULTORES EMPRESA INDIVIDUAL DE RESPONSABILIDAD\Informe Técnico Enero 2022 TEMA__.pdf", "Link")</f>
        <v/>
      </c>
      <c r="C2832" t="n">
        <v>347176</v>
      </c>
      <c r="D2832" t="inlineStr">
        <is>
          <t>2024-04-18 17:24:07</t>
        </is>
      </c>
      <c r="E2832" t="inlineStr">
        <is>
          <t>2024-04-18 19:20:10</t>
        </is>
      </c>
      <c r="F2832" t="inlineStr">
        <is>
          <t>666</t>
        </is>
      </c>
    </row>
    <row r="2833">
      <c r="A2833" t="inlineStr">
        <is>
          <t>PDF-DOC-E001-6220604726264 TEMA.pdf</t>
        </is>
      </c>
      <c r="B2833">
        <f>HYPERLINK("C:\Users\lmonroy\Tema\Punto 1 y 2\14-E001-62 AC3 CONSULTORES EMPRESA INDIVIDUAL DE RESPONSABILIDAD\PDF-DOC-E001-6220604726264 TEMA.pdf", "Link")</f>
        <v/>
      </c>
      <c r="C2833" t="n">
        <v>4082</v>
      </c>
      <c r="D2833" t="inlineStr">
        <is>
          <t>2022-02-02 08:54:00</t>
        </is>
      </c>
      <c r="E2833" t="inlineStr">
        <is>
          <t>2024-04-18 19:20:10</t>
        </is>
      </c>
      <c r="F2833" t="inlineStr">
        <is>
          <t>666</t>
        </is>
      </c>
    </row>
    <row r="2834">
      <c r="A2834" t="inlineStr">
        <is>
          <t>15-OS MEDICINE &amp; SAFETY SAC FE 137.pdf</t>
        </is>
      </c>
      <c r="B2834">
        <f>HYPERLINK("C:\Users\lmonroy\Tema\Punto 1 y 2\15-E001-137 MEDICINE &amp; SAFETY SAC\15-OS MEDICINE &amp; SAFETY SAC FE 137.pdf", "Link")</f>
        <v/>
      </c>
      <c r="C2834" t="n">
        <v>81795</v>
      </c>
      <c r="D2834" t="inlineStr">
        <is>
          <t>2024-04-18 10:41:00</t>
        </is>
      </c>
      <c r="E2834" t="inlineStr">
        <is>
          <t>2024-04-18 19:20:11</t>
        </is>
      </c>
      <c r="F2834" t="inlineStr">
        <is>
          <t>666</t>
        </is>
      </c>
    </row>
    <row r="2835">
      <c r="A2835" t="inlineStr">
        <is>
          <t>4 CPS - Salud Ocupacional - Octubre 2021.pdf</t>
        </is>
      </c>
      <c r="B2835">
        <f>HYPERLINK("C:\Users\lmonroy\Tema\Punto 1 y 2\15-E001-137 MEDICINE &amp; SAFETY SAC\4 CPS - Salud Ocupacional - Octubre 2021.pdf", "Link")</f>
        <v/>
      </c>
      <c r="C2835" t="n">
        <v>146425</v>
      </c>
      <c r="D2835" t="inlineStr">
        <is>
          <t>2024-04-17 19:36:15</t>
        </is>
      </c>
      <c r="E2835" t="inlineStr">
        <is>
          <t>2024-04-18 19:20:11</t>
        </is>
      </c>
      <c r="F2835" t="inlineStr">
        <is>
          <t>666</t>
        </is>
      </c>
    </row>
    <row r="2836">
      <c r="A2836" t="inlineStr">
        <is>
          <t>FT 000137 MEDICINE &amp; SAFETY SAC.pdf</t>
        </is>
      </c>
      <c r="B2836">
        <f>HYPERLINK("C:\Users\lmonroy\Tema\Punto 1 y 2\15-E001-137 MEDICINE &amp; SAFETY SAC\FT 000137 MEDICINE &amp; SAFETY SAC.pdf", "Link")</f>
        <v/>
      </c>
      <c r="C2836" t="n">
        <v>4804</v>
      </c>
      <c r="D2836" t="inlineStr">
        <is>
          <t>2022-02-23 15:10:00</t>
        </is>
      </c>
      <c r="E2836" t="inlineStr">
        <is>
          <t>2024-04-18 19:20:11</t>
        </is>
      </c>
      <c r="F2836" t="inlineStr">
        <is>
          <t>666</t>
        </is>
      </c>
    </row>
    <row r="2837">
      <c r="A2837" t="inlineStr">
        <is>
          <t>INFORME DE ACTIVIDADES FEBRERO 22.pdf</t>
        </is>
      </c>
      <c r="B2837">
        <f>HYPERLINK("C:\Users\lmonroy\Tema\Punto 1 y 2\15-E001-137 MEDICINE &amp; SAFETY SAC\INFORME DE ACTIVIDADES FEBRERO 22.pdf", "Link")</f>
        <v/>
      </c>
      <c r="C2837" t="n">
        <v>109207</v>
      </c>
      <c r="D2837" t="inlineStr">
        <is>
          <t>2022-02-23 15:10:00</t>
        </is>
      </c>
      <c r="E2837" t="inlineStr">
        <is>
          <t>2024-04-18 19:20:11</t>
        </is>
      </c>
      <c r="F2837" t="inlineStr">
        <is>
          <t>666</t>
        </is>
      </c>
    </row>
    <row r="2838">
      <c r="A2838" t="inlineStr">
        <is>
          <t>CONTRATO N° 123.pdf</t>
        </is>
      </c>
      <c r="B2838">
        <f>HYPERLINK("C:\Users\lmonroy\Tema\Punto 1 y 2\16-E001-414 AGORA SERVICIOS MULTIPLES S.A.C. 2\CONTRATO N° 123.pdf", "Link")</f>
        <v/>
      </c>
      <c r="C2838" t="n">
        <v>298152</v>
      </c>
      <c r="D2838" t="inlineStr">
        <is>
          <t>2024-04-18 15:30:15</t>
        </is>
      </c>
      <c r="E2838" t="inlineStr">
        <is>
          <t>2024-04-18 19:20:11</t>
        </is>
      </c>
      <c r="F2838" t="inlineStr">
        <is>
          <t>666</t>
        </is>
      </c>
    </row>
    <row r="2839">
      <c r="A2839" t="inlineStr">
        <is>
          <t>FT 000414 AGORA SERVICIOS MULTIPLES SAC.pdf</t>
        </is>
      </c>
      <c r="B2839">
        <f>HYPERLINK("C:\Users\lmonroy\Tema\Punto 1 y 2\16-E001-414 AGORA SERVICIOS MULTIPLES S.A.C. 2\FT 000414 AGORA SERVICIOS MULTIPLES SAC.pdf", "Link")</f>
        <v/>
      </c>
      <c r="C2839" t="n">
        <v>4794</v>
      </c>
      <c r="D2839" t="inlineStr">
        <is>
          <t>2022-02-28 18:07:00</t>
        </is>
      </c>
      <c r="E2839" t="inlineStr">
        <is>
          <t>2024-04-18 19:20:11</t>
        </is>
      </c>
      <c r="F2839" t="inlineStr">
        <is>
          <t>666</t>
        </is>
      </c>
    </row>
    <row r="2840">
      <c r="A2840" t="inlineStr">
        <is>
          <t>OC-768.pdf</t>
        </is>
      </c>
      <c r="B2840">
        <f>HYPERLINK("C:\Users\lmonroy\Tema\Punto 1 y 2\16-E001-414 AGORA SERVICIOS MULTIPLES S.A.C. 2\OC-768.pdf", "Link")</f>
        <v/>
      </c>
      <c r="C2840" t="n">
        <v>83837</v>
      </c>
      <c r="D2840" t="inlineStr">
        <is>
          <t>2022-02-28 18:07:00</t>
        </is>
      </c>
      <c r="E2840" t="inlineStr">
        <is>
          <t>2024-04-18 19:20:11</t>
        </is>
      </c>
      <c r="F2840" t="inlineStr">
        <is>
          <t>666</t>
        </is>
      </c>
    </row>
    <row r="2841">
      <c r="A2841" t="inlineStr">
        <is>
          <t>CONTRATO N° 124.pdf</t>
        </is>
      </c>
      <c r="B2841">
        <f>HYPERLINK("C:\Users\lmonroy\Tema\Punto 1 y 2\17-E001-415 AGORA SERVICIOS MULTIPLES S.A.C. 2\CONTRATO N° 124.pdf", "Link")</f>
        <v/>
      </c>
      <c r="C2841" t="n">
        <v>297049</v>
      </c>
      <c r="D2841" t="inlineStr">
        <is>
          <t>2024-04-18 15:30:47</t>
        </is>
      </c>
      <c r="E2841" t="inlineStr">
        <is>
          <t>2024-04-18 19:20:11</t>
        </is>
      </c>
      <c r="F2841" t="inlineStr">
        <is>
          <t>666</t>
        </is>
      </c>
    </row>
    <row r="2842">
      <c r="A2842" t="inlineStr">
        <is>
          <t>FT 000415 AGORA SERVICIOS MULTIPLES SAC.pdf</t>
        </is>
      </c>
      <c r="B2842">
        <f>HYPERLINK("C:\Users\lmonroy\Tema\Punto 1 y 2\17-E001-415 AGORA SERVICIOS MULTIPLES S.A.C. 2\FT 000415 AGORA SERVICIOS MULTIPLES SAC.pdf", "Link")</f>
        <v/>
      </c>
      <c r="C2842" t="n">
        <v>4781</v>
      </c>
      <c r="D2842" t="inlineStr">
        <is>
          <t>2022-02-28 18:07:00</t>
        </is>
      </c>
      <c r="E2842" t="inlineStr">
        <is>
          <t>2024-04-18 19:20:11</t>
        </is>
      </c>
      <c r="F2842" t="inlineStr">
        <is>
          <t>666</t>
        </is>
      </c>
    </row>
    <row r="2843">
      <c r="A2843" t="inlineStr">
        <is>
          <t>OC-768.pdf</t>
        </is>
      </c>
      <c r="B2843">
        <f>HYPERLINK("C:\Users\lmonroy\Tema\Punto 1 y 2\17-E001-415 AGORA SERVICIOS MULTIPLES S.A.C. 2\OC-768.pdf", "Link")</f>
        <v/>
      </c>
      <c r="C2843" t="n">
        <v>83837</v>
      </c>
      <c r="D2843" t="inlineStr">
        <is>
          <t>2022-02-28 18:07:00</t>
        </is>
      </c>
      <c r="E2843" t="inlineStr">
        <is>
          <t>2024-04-18 19:20:11</t>
        </is>
      </c>
      <c r="F2843" t="inlineStr">
        <is>
          <t>666</t>
        </is>
      </c>
    </row>
    <row r="2844">
      <c r="A2844" t="inlineStr">
        <is>
          <t>FACTURA E001-416.pdf</t>
        </is>
      </c>
      <c r="B2844">
        <f>HYPERLINK("C:\Users\lmonroy\Tema\Punto 1 y 2\18-E001-416 AGORA SERVICIOS MULTIPLES S.A.C\FACTURA E001-416.pdf", "Link")</f>
        <v/>
      </c>
      <c r="C2844" t="n">
        <v>4678</v>
      </c>
      <c r="D2844" t="inlineStr">
        <is>
          <t>2022-02-03 16:12:00</t>
        </is>
      </c>
      <c r="E2844" t="inlineStr">
        <is>
          <t>2024-04-18 19:20:11</t>
        </is>
      </c>
      <c r="F2844" t="inlineStr">
        <is>
          <t>666</t>
        </is>
      </c>
    </row>
    <row r="2845">
      <c r="A2845" t="inlineStr">
        <is>
          <t>OC-760.pdf</t>
        </is>
      </c>
      <c r="B2845">
        <f>HYPERLINK("C:\Users\lmonroy\Tema\Punto 1 y 2\18-E001-416 AGORA SERVICIOS MULTIPLES S.A.C\OC-760.pdf", "Link")</f>
        <v/>
      </c>
      <c r="C2845" t="n">
        <v>81051</v>
      </c>
      <c r="D2845" t="inlineStr">
        <is>
          <t>2022-02-03 16:12:00</t>
        </is>
      </c>
      <c r="E2845" t="inlineStr">
        <is>
          <t>2024-04-18 19:20:11</t>
        </is>
      </c>
      <c r="F2845" t="inlineStr">
        <is>
          <t>666</t>
        </is>
      </c>
    </row>
    <row r="2846">
      <c r="A2846" t="inlineStr">
        <is>
          <t>19-OS CORPORACIÓN SURE SAC FT 571.pdf</t>
        </is>
      </c>
      <c r="B2846">
        <f>HYPERLINK("C:\Users\lmonroy\Tema\Punto 1 y 2\19-E001-571 CORPORACION SURE SAC\19-OS CORPORACIÓN SURE SAC FT 571.pdf", "Link")</f>
        <v/>
      </c>
      <c r="C2846" t="n">
        <v>81557</v>
      </c>
      <c r="D2846" t="inlineStr">
        <is>
          <t>2024-04-18 10:41:00</t>
        </is>
      </c>
      <c r="E2846" t="inlineStr">
        <is>
          <t>2024-04-18 19:20:11</t>
        </is>
      </c>
      <c r="F2846" t="inlineStr">
        <is>
          <t>666</t>
        </is>
      </c>
    </row>
    <row r="2847">
      <c r="A2847" t="inlineStr">
        <is>
          <t>FT 000571 CORPORACION SURE SAC.pdf</t>
        </is>
      </c>
      <c r="B2847">
        <f>HYPERLINK("C:\Users\lmonroy\Tema\Punto 1 y 2\19-E001-571 CORPORACION SURE SAC\FT 000571 CORPORACION SURE SAC.pdf", "Link")</f>
        <v/>
      </c>
      <c r="C2847" t="n">
        <v>4863</v>
      </c>
      <c r="D2847" t="inlineStr">
        <is>
          <t>2022-02-28 10:09:00</t>
        </is>
      </c>
      <c r="E2847" t="inlineStr">
        <is>
          <t>2024-04-18 19:20:11</t>
        </is>
      </c>
      <c r="F2847" t="inlineStr">
        <is>
          <t>666</t>
        </is>
      </c>
    </row>
    <row r="2848">
      <c r="A2848" t="inlineStr">
        <is>
          <t>FT 047548 LA LLAVE SA.pdf</t>
        </is>
      </c>
      <c r="B2848">
        <f>HYPERLINK("C:\Users\lmonroy\Tema\Punto 1 y 2\20-F001-47548 LA LLAVE S.A\FT 047548 LA LLAVE SA.pdf", "Link")</f>
        <v/>
      </c>
      <c r="C2848" t="n">
        <v>17012</v>
      </c>
      <c r="D2848" t="inlineStr">
        <is>
          <t>2022-02-18 17:39:00</t>
        </is>
      </c>
      <c r="E2848" t="inlineStr">
        <is>
          <t>2024-04-18 19:20:11</t>
        </is>
      </c>
      <c r="F2848" t="inlineStr">
        <is>
          <t>666</t>
        </is>
      </c>
    </row>
    <row r="2849">
      <c r="A2849" t="inlineStr">
        <is>
          <t>GUIA - LA LLAVE.pdf</t>
        </is>
      </c>
      <c r="B2849">
        <f>HYPERLINK("C:\Users\lmonroy\Tema\Punto 1 y 2\20-F001-47548 LA LLAVE S.A\GUIA - LA LLAVE.pdf", "Link")</f>
        <v/>
      </c>
      <c r="C2849" t="n">
        <v>264701</v>
      </c>
      <c r="D2849" t="inlineStr">
        <is>
          <t>2024-04-18 14:39:00</t>
        </is>
      </c>
      <c r="E2849" t="inlineStr">
        <is>
          <t>2024-04-18 19:20:11</t>
        </is>
      </c>
      <c r="F2849" t="inlineStr">
        <is>
          <t>666</t>
        </is>
      </c>
    </row>
    <row r="2850">
      <c r="A2850" t="inlineStr">
        <is>
          <t>OC-530 (1).pdf</t>
        </is>
      </c>
      <c r="B2850">
        <f>HYPERLINK("C:\Users\lmonroy\Tema\Punto 1 y 2\20-F001-47548 LA LLAVE S.A\OC-530 (1).pdf", "Link")</f>
        <v/>
      </c>
      <c r="C2850" t="n">
        <v>79794</v>
      </c>
      <c r="D2850" t="inlineStr">
        <is>
          <t>2022-02-18 17:39:00</t>
        </is>
      </c>
      <c r="E2850" t="inlineStr">
        <is>
          <t>2024-04-18 19:20:11</t>
        </is>
      </c>
      <c r="F2850" t="inlineStr">
        <is>
          <t>666</t>
        </is>
      </c>
    </row>
    <row r="2851">
      <c r="A2851" t="inlineStr">
        <is>
          <t>20100041953-01-F581-04005679.pdf</t>
        </is>
      </c>
      <c r="B2851">
        <f>HYPERLINK("C:\Users\lmonroy\Tema\Punto 1 y 2\21-F581-4005679 RIMAC\20100041953-01-F581-04005679.pdf", "Link")</f>
        <v/>
      </c>
      <c r="C2851" t="n">
        <v>13953</v>
      </c>
      <c r="D2851" t="inlineStr">
        <is>
          <t>2022-02-28 17:06:00</t>
        </is>
      </c>
      <c r="E2851" t="inlineStr">
        <is>
          <t>2024-04-18 19:20:11</t>
        </is>
      </c>
      <c r="F2851" t="inlineStr">
        <is>
          <t>666</t>
        </is>
      </c>
    </row>
    <row r="2852">
      <c r="A2852" t="inlineStr">
        <is>
          <t>Poliza AMF raul manda valenzuela Tema 2022_unlocked.pdf</t>
        </is>
      </c>
      <c r="B2852">
        <f>HYPERLINK("C:\Users\lmonroy\Tema\Punto 1 y 2\21-F581-4005679 RIMAC\Poliza AMF raul manda valenzuela Tema 2022_unlocked.pdf", "Link")</f>
        <v/>
      </c>
      <c r="C2852" t="n">
        <v>1190279</v>
      </c>
      <c r="D2852" t="inlineStr">
        <is>
          <t>2024-04-18 10:37:00</t>
        </is>
      </c>
      <c r="E2852" t="inlineStr">
        <is>
          <t>2024-04-18 19:20:11</t>
        </is>
      </c>
      <c r="F2852" t="inlineStr">
        <is>
          <t>666</t>
        </is>
      </c>
    </row>
    <row r="2853">
      <c r="A2853" t="inlineStr">
        <is>
          <t>20100041953-01-F581-04005681.pdf</t>
        </is>
      </c>
      <c r="B2853">
        <f>HYPERLINK("C:\Users\lmonroy\Tema\Punto 1 y 2\22-F581-4005681 RIMAC\20100041953-01-F581-04005681.pdf", "Link")</f>
        <v/>
      </c>
      <c r="C2853" t="n">
        <v>13964</v>
      </c>
      <c r="D2853" t="inlineStr">
        <is>
          <t>2022-02-28 17:05:00</t>
        </is>
      </c>
      <c r="E2853" t="inlineStr">
        <is>
          <t>2024-04-18 19:20:12</t>
        </is>
      </c>
      <c r="F2853" t="inlineStr">
        <is>
          <t>666</t>
        </is>
      </c>
    </row>
    <row r="2854">
      <c r="A2854" t="inlineStr">
        <is>
          <t>Poliza  Tema cmta ford  Rimac  endoso banco.pdf</t>
        </is>
      </c>
      <c r="B2854">
        <f>HYPERLINK("C:\Users\lmonroy\Tema\Punto 1 y 2\22-F581-4005681 RIMAC\Poliza  Tema cmta ford  Rimac  endoso banco.pdf", "Link")</f>
        <v/>
      </c>
      <c r="C2854" t="n">
        <v>473301</v>
      </c>
      <c r="D2854" t="inlineStr">
        <is>
          <t>2022-03-01 09:20:00</t>
        </is>
      </c>
      <c r="E2854" t="inlineStr">
        <is>
          <t>2024-04-18 19:20:12</t>
        </is>
      </c>
      <c r="F2854" t="inlineStr">
        <is>
          <t>666</t>
        </is>
      </c>
    </row>
    <row r="2855">
      <c r="A2855" t="inlineStr">
        <is>
          <t>Poliza  Tema cmta ford  Rimac factura.pdf</t>
        </is>
      </c>
      <c r="B2855">
        <f>HYPERLINK("C:\Users\lmonroy\Tema\Punto 1 y 2\22-F581-4005681 RIMAC\Poliza  Tema cmta ford  Rimac factura.pdf", "Link")</f>
        <v/>
      </c>
      <c r="C2855" t="n">
        <v>13964</v>
      </c>
      <c r="D2855" t="inlineStr">
        <is>
          <t>2022-03-01 09:20:00</t>
        </is>
      </c>
      <c r="E2855" t="inlineStr">
        <is>
          <t>2024-04-18 19:20:12</t>
        </is>
      </c>
      <c r="F2855" t="inlineStr">
        <is>
          <t>666</t>
        </is>
      </c>
    </row>
    <row r="2856">
      <c r="A2856" t="inlineStr">
        <is>
          <t>Poliza  Tema cmta ford  Rimac.pdf</t>
        </is>
      </c>
      <c r="B2856">
        <f>HYPERLINK("C:\Users\lmonroy\Tema\Punto 1 y 2\22-F581-4005681 RIMAC\Poliza  Tema cmta ford  Rimac.pdf", "Link")</f>
        <v/>
      </c>
      <c r="C2856" t="n">
        <v>2182188</v>
      </c>
      <c r="D2856" t="inlineStr">
        <is>
          <t>2022-03-01 09:20:00</t>
        </is>
      </c>
      <c r="E2856" t="inlineStr">
        <is>
          <t>2024-04-18 19:20:12</t>
        </is>
      </c>
      <c r="F2856" t="inlineStr">
        <is>
          <t>666</t>
        </is>
      </c>
    </row>
    <row r="2857">
      <c r="A2857" t="inlineStr">
        <is>
          <t>20504979092-01-FA01-00024762.pdf</t>
        </is>
      </c>
      <c r="B2857">
        <f>HYPERLINK("C:\Users\lmonroy\Tema\Punto 1 y 2\23-FA01-24762 ALS LS PERU S.A.C 3\20504979092-01-FA01-00024762.pdf", "Link")</f>
        <v/>
      </c>
      <c r="C2857" t="n">
        <v>13804</v>
      </c>
      <c r="D2857" t="inlineStr">
        <is>
          <t>2022-02-14 09:31:00</t>
        </is>
      </c>
      <c r="E2857" t="inlineStr">
        <is>
          <t>2024-04-18 19:20:12</t>
        </is>
      </c>
      <c r="F2857" t="inlineStr">
        <is>
          <t>666</t>
        </is>
      </c>
    </row>
    <row r="2858">
      <c r="A2858" t="inlineStr">
        <is>
          <t>FT 024762 ALS LS PERU SAC PROY 61931.pdf</t>
        </is>
      </c>
      <c r="B2858">
        <f>HYPERLINK("C:\Users\lmonroy\Tema\Punto 1 y 2\23-FA01-24762 ALS LS PERU S.A.C 3\FT 024762 ALS LS PERU SAC PROY 61931.pdf", "Link")</f>
        <v/>
      </c>
      <c r="C2858" t="n">
        <v>13804</v>
      </c>
      <c r="D2858" t="inlineStr">
        <is>
          <t>2022-02-14 09:31:00</t>
        </is>
      </c>
      <c r="E2858" t="inlineStr">
        <is>
          <t>2024-04-18 19:20:12</t>
        </is>
      </c>
      <c r="F2858" t="inlineStr">
        <is>
          <t>666</t>
        </is>
      </c>
    </row>
    <row r="2859">
      <c r="A2859" t="inlineStr">
        <is>
          <t>Informe de Ensayo Oficial 72736-2021.pdf</t>
        </is>
      </c>
      <c r="B2859">
        <f>HYPERLINK("C:\Users\lmonroy\Tema\Punto 1 y 2\23-FA01-24762 ALS LS PERU S.A.C 3\Informe de Ensayo Oficial 72736-2021.pdf", "Link")</f>
        <v/>
      </c>
      <c r="C2859" t="n">
        <v>823119</v>
      </c>
      <c r="D2859" t="inlineStr">
        <is>
          <t>2022-02-14 09:31:00</t>
        </is>
      </c>
      <c r="E2859" t="inlineStr">
        <is>
          <t>2024-04-18 19:20:12</t>
        </is>
      </c>
      <c r="F2859" t="inlineStr">
        <is>
          <t>666</t>
        </is>
      </c>
    </row>
    <row r="2860">
      <c r="A2860" t="inlineStr">
        <is>
          <t>Informe de Ensayo Oficial 72737-2021.pdf</t>
        </is>
      </c>
      <c r="B2860">
        <f>HYPERLINK("C:\Users\lmonroy\Tema\Punto 1 y 2\23-FA01-24762 ALS LS PERU S.A.C 3\Informe de Ensayo Oficial 72737-2021.pdf", "Link")</f>
        <v/>
      </c>
      <c r="C2860" t="n">
        <v>718005</v>
      </c>
      <c r="D2860" t="inlineStr">
        <is>
          <t>2022-02-14 09:31:00</t>
        </is>
      </c>
      <c r="E2860" t="inlineStr">
        <is>
          <t>2024-04-18 19:20:12</t>
        </is>
      </c>
      <c r="F2860" t="inlineStr">
        <is>
          <t>666</t>
        </is>
      </c>
    </row>
    <row r="2861">
      <c r="A2861" t="inlineStr">
        <is>
          <t>Informe de Ensayo Oficial 74190-2021.pdf</t>
        </is>
      </c>
      <c r="B2861">
        <f>HYPERLINK("C:\Users\lmonroy\Tema\Punto 1 y 2\23-FA01-24762 ALS LS PERU S.A.C 3\Informe de Ensayo Oficial 74190-2021.pdf", "Link")</f>
        <v/>
      </c>
      <c r="C2861" t="n">
        <v>823276</v>
      </c>
      <c r="D2861" t="inlineStr">
        <is>
          <t>2022-02-14 09:31:00</t>
        </is>
      </c>
      <c r="E2861" t="inlineStr">
        <is>
          <t>2024-04-18 19:20:12</t>
        </is>
      </c>
      <c r="F2861" t="inlineStr">
        <is>
          <t>666</t>
        </is>
      </c>
    </row>
    <row r="2862">
      <c r="A2862" t="inlineStr">
        <is>
          <t>Informe de Ensayo Oficial 74191-2021-1.pdf</t>
        </is>
      </c>
      <c r="B2862">
        <f>HYPERLINK("C:\Users\lmonroy\Tema\Punto 1 y 2\23-FA01-24762 ALS LS PERU S.A.C 3\Informe de Ensayo Oficial 74191-2021-1.pdf", "Link")</f>
        <v/>
      </c>
      <c r="C2862" t="n">
        <v>823597</v>
      </c>
      <c r="D2862" t="inlineStr">
        <is>
          <t>2022-02-14 09:31:00</t>
        </is>
      </c>
      <c r="E2862" t="inlineStr">
        <is>
          <t>2024-04-18 19:20:12</t>
        </is>
      </c>
      <c r="F2862" t="inlineStr">
        <is>
          <t>666</t>
        </is>
      </c>
    </row>
    <row r="2863">
      <c r="A2863" t="inlineStr">
        <is>
          <t>Informe de Ensayo Oficial 74192-2021-1.pdf</t>
        </is>
      </c>
      <c r="B2863">
        <f>HYPERLINK("C:\Users\lmonroy\Tema\Punto 1 y 2\23-FA01-24762 ALS LS PERU S.A.C 3\Informe de Ensayo Oficial 74192-2021-1.pdf", "Link")</f>
        <v/>
      </c>
      <c r="C2863" t="n">
        <v>426027</v>
      </c>
      <c r="D2863" t="inlineStr">
        <is>
          <t>2022-02-14 09:31:00</t>
        </is>
      </c>
      <c r="E2863" t="inlineStr">
        <is>
          <t>2024-04-18 19:20:12</t>
        </is>
      </c>
      <c r="F2863" t="inlineStr">
        <is>
          <t>666</t>
        </is>
      </c>
    </row>
    <row r="2864">
      <c r="A2864" t="inlineStr">
        <is>
          <t>Informe de Ensayo Oficial 75772-2021.pdf</t>
        </is>
      </c>
      <c r="B2864">
        <f>HYPERLINK("C:\Users\lmonroy\Tema\Punto 1 y 2\23-FA01-24762 ALS LS PERU S.A.C 3\Informe de Ensayo Oficial 75772-2021.pdf", "Link")</f>
        <v/>
      </c>
      <c r="C2864" t="n">
        <v>1156104</v>
      </c>
      <c r="D2864" t="inlineStr">
        <is>
          <t>2022-02-14 09:31:00</t>
        </is>
      </c>
      <c r="E2864" t="inlineStr">
        <is>
          <t>2024-04-18 19:20:12</t>
        </is>
      </c>
      <c r="F2864" t="inlineStr">
        <is>
          <t>666</t>
        </is>
      </c>
    </row>
    <row r="2865">
      <c r="A2865" t="inlineStr">
        <is>
          <t>Informe de Ensayo Oficial 75773-2021.pdf</t>
        </is>
      </c>
      <c r="B2865">
        <f>HYPERLINK("C:\Users\lmonroy\Tema\Punto 1 y 2\23-FA01-24762 ALS LS PERU S.A.C 3\Informe de Ensayo Oficial 75773-2021.pdf", "Link")</f>
        <v/>
      </c>
      <c r="C2865" t="n">
        <v>428094</v>
      </c>
      <c r="D2865" t="inlineStr">
        <is>
          <t>2022-02-14 09:31:00</t>
        </is>
      </c>
      <c r="E2865" t="inlineStr">
        <is>
          <t>2024-04-18 19:20:12</t>
        </is>
      </c>
      <c r="F2865" t="inlineStr">
        <is>
          <t>666</t>
        </is>
      </c>
    </row>
    <row r="2866">
      <c r="A2866" t="inlineStr">
        <is>
          <t>Informe de Ensayo Oficial 76904-2021.pdf</t>
        </is>
      </c>
      <c r="B2866">
        <f>HYPERLINK("C:\Users\lmonroy\Tema\Punto 1 y 2\23-FA01-24762 ALS LS PERU S.A.C 3\Informe de Ensayo Oficial 76904-2021.pdf", "Link")</f>
        <v/>
      </c>
      <c r="C2866" t="n">
        <v>1038511</v>
      </c>
      <c r="D2866" t="inlineStr">
        <is>
          <t>2022-02-14 09:31:00</t>
        </is>
      </c>
      <c r="E2866" t="inlineStr">
        <is>
          <t>2024-04-18 19:20:12</t>
        </is>
      </c>
      <c r="F2866" t="inlineStr">
        <is>
          <t>666</t>
        </is>
      </c>
    </row>
    <row r="2867">
      <c r="A2867" t="inlineStr">
        <is>
          <t>OS 522.pdf</t>
        </is>
      </c>
      <c r="B2867">
        <f>HYPERLINK("C:\Users\lmonroy\Tema\Punto 1 y 2\23-FA01-24762 ALS LS PERU S.A.C 3\OS 522.pdf", "Link")</f>
        <v/>
      </c>
      <c r="C2867" t="n">
        <v>146502</v>
      </c>
      <c r="D2867" t="inlineStr">
        <is>
          <t>2022-02-14 09:31:00</t>
        </is>
      </c>
      <c r="E2867" t="inlineStr">
        <is>
          <t>2024-04-18 19:20:12</t>
        </is>
      </c>
      <c r="F2867" t="inlineStr">
        <is>
          <t>666</t>
        </is>
      </c>
    </row>
    <row r="2868">
      <c r="A2868" t="inlineStr">
        <is>
          <t>20504979092-01-FA01-00024763.pdf</t>
        </is>
      </c>
      <c r="B2868">
        <f>HYPERLINK("C:\Users\lmonroy\Tema\Punto 1 y 2\24- FA01-24763 ALS LS PERU S.A.C 3\20504979092-01-FA01-00024763.pdf", "Link")</f>
        <v/>
      </c>
      <c r="C2868" t="n">
        <v>13812</v>
      </c>
      <c r="D2868" t="inlineStr">
        <is>
          <t>2022-02-14 09:32:00</t>
        </is>
      </c>
      <c r="E2868" t="inlineStr">
        <is>
          <t>2024-04-18 19:20:12</t>
        </is>
      </c>
      <c r="F2868" t="inlineStr">
        <is>
          <t>666</t>
        </is>
      </c>
    </row>
    <row r="2869">
      <c r="A2869" t="inlineStr">
        <is>
          <t>FT 024763 ALS LS PERU SAC PROY 61916.pdf</t>
        </is>
      </c>
      <c r="B2869">
        <f>HYPERLINK("C:\Users\lmonroy\Tema\Punto 1 y 2\24- FA01-24763 ALS LS PERU S.A.C 3\FT 024763 ALS LS PERU SAC PROY 61916.pdf", "Link")</f>
        <v/>
      </c>
      <c r="C2869" t="n">
        <v>13812</v>
      </c>
      <c r="D2869" t="inlineStr">
        <is>
          <t>2022-02-14 09:32:00</t>
        </is>
      </c>
      <c r="E2869" t="inlineStr">
        <is>
          <t>2024-04-18 19:20:13</t>
        </is>
      </c>
      <c r="F2869" t="inlineStr">
        <is>
          <t>666</t>
        </is>
      </c>
    </row>
    <row r="2870">
      <c r="A2870" t="inlineStr">
        <is>
          <t>Informe de Ensayo Oficial 74195-2021.pdf</t>
        </is>
      </c>
      <c r="B2870">
        <f>HYPERLINK("C:\Users\lmonroy\Tema\Punto 1 y 2\24- FA01-24763 ALS LS PERU S.A.C 3\Informe de Ensayo Oficial 74195-2021.pdf", "Link")</f>
        <v/>
      </c>
      <c r="C2870" t="n">
        <v>1217946</v>
      </c>
      <c r="D2870" t="inlineStr">
        <is>
          <t>2022-02-14 09:32:00</t>
        </is>
      </c>
      <c r="E2870" t="inlineStr">
        <is>
          <t>2024-04-18 19:20:13</t>
        </is>
      </c>
      <c r="F2870" t="inlineStr">
        <is>
          <t>666</t>
        </is>
      </c>
    </row>
    <row r="2871">
      <c r="A2871" t="inlineStr">
        <is>
          <t>Informe de Ensayo Oficial 74196-2021.pdf</t>
        </is>
      </c>
      <c r="B2871">
        <f>HYPERLINK("C:\Users\lmonroy\Tema\Punto 1 y 2\24- FA01-24763 ALS LS PERU S.A.C 3\Informe de Ensayo Oficial 74196-2021.pdf", "Link")</f>
        <v/>
      </c>
      <c r="C2871" t="n">
        <v>685193</v>
      </c>
      <c r="D2871" t="inlineStr">
        <is>
          <t>2022-02-14 09:32:00</t>
        </is>
      </c>
      <c r="E2871" t="inlineStr">
        <is>
          <t>2024-04-18 19:20:13</t>
        </is>
      </c>
      <c r="F2871" t="inlineStr">
        <is>
          <t>666</t>
        </is>
      </c>
    </row>
    <row r="2872">
      <c r="A2872" t="inlineStr">
        <is>
          <t>Informe de Ensayo Oficial 74200-2021.pdf</t>
        </is>
      </c>
      <c r="B2872">
        <f>HYPERLINK("C:\Users\lmonroy\Tema\Punto 1 y 2\24- FA01-24763 ALS LS PERU S.A.C 3\Informe de Ensayo Oficial 74200-2021.pdf", "Link")</f>
        <v/>
      </c>
      <c r="C2872" t="n">
        <v>420493</v>
      </c>
      <c r="D2872" t="inlineStr">
        <is>
          <t>2022-02-14 09:32:00</t>
        </is>
      </c>
      <c r="E2872" t="inlineStr">
        <is>
          <t>2024-04-18 19:20:13</t>
        </is>
      </c>
      <c r="F2872" t="inlineStr">
        <is>
          <t>666</t>
        </is>
      </c>
    </row>
    <row r="2873">
      <c r="A2873" t="inlineStr">
        <is>
          <t>Informe de Ensayo Oficial 75731-2021.pdf</t>
        </is>
      </c>
      <c r="B2873">
        <f>HYPERLINK("C:\Users\lmonroy\Tema\Punto 1 y 2\24- FA01-24763 ALS LS PERU S.A.C 3\Informe de Ensayo Oficial 75731-2021.pdf", "Link")</f>
        <v/>
      </c>
      <c r="C2873" t="n">
        <v>684946</v>
      </c>
      <c r="D2873" t="inlineStr">
        <is>
          <t>2022-02-14 09:32:00</t>
        </is>
      </c>
      <c r="E2873" t="inlineStr">
        <is>
          <t>2024-04-18 19:20:13</t>
        </is>
      </c>
      <c r="F2873" t="inlineStr">
        <is>
          <t>666</t>
        </is>
      </c>
    </row>
    <row r="2874">
      <c r="A2874" t="inlineStr">
        <is>
          <t>Informe de Ensayo Oficial 75811-2021.pdf</t>
        </is>
      </c>
      <c r="B2874">
        <f>HYPERLINK("C:\Users\lmonroy\Tema\Punto 1 y 2\24- FA01-24763 ALS LS PERU S.A.C 3\Informe de Ensayo Oficial 75811-2021.pdf", "Link")</f>
        <v/>
      </c>
      <c r="C2874" t="n">
        <v>390490</v>
      </c>
      <c r="D2874" t="inlineStr">
        <is>
          <t>2022-02-14 09:32:00</t>
        </is>
      </c>
      <c r="E2874" t="inlineStr">
        <is>
          <t>2024-04-18 19:20:13</t>
        </is>
      </c>
      <c r="F2874" t="inlineStr">
        <is>
          <t>666</t>
        </is>
      </c>
    </row>
    <row r="2875">
      <c r="A2875" t="inlineStr">
        <is>
          <t>OS 521.pdf</t>
        </is>
      </c>
      <c r="B2875">
        <f>HYPERLINK("C:\Users\lmonroy\Tema\Punto 1 y 2\24- FA01-24763 ALS LS PERU S.A.C 3\OS 521.pdf", "Link")</f>
        <v/>
      </c>
      <c r="C2875" t="n">
        <v>145074</v>
      </c>
      <c r="D2875" t="inlineStr">
        <is>
          <t>2022-02-14 09:32:00</t>
        </is>
      </c>
      <c r="E2875" t="inlineStr">
        <is>
          <t>2024-04-18 19:20:13</t>
        </is>
      </c>
      <c r="F2875" t="inlineStr">
        <is>
          <t>666</t>
        </is>
      </c>
    </row>
    <row r="2876">
      <c r="A2876" t="inlineStr">
        <is>
          <t>20504979092-01-FA01-00024766.pdf</t>
        </is>
      </c>
      <c r="B2876">
        <f>HYPERLINK("C:\Users\lmonroy\Tema\Punto 1 y 2\25-FA01-24766 ALS LS PERU S.A.C 4\20504979092-01-FA01-00024766.pdf", "Link")</f>
        <v/>
      </c>
      <c r="C2876" t="n">
        <v>13839</v>
      </c>
      <c r="D2876" t="inlineStr">
        <is>
          <t>2022-02-14 09:39:00</t>
        </is>
      </c>
      <c r="E2876" t="inlineStr">
        <is>
          <t>2024-04-18 19:20:13</t>
        </is>
      </c>
      <c r="F2876" t="inlineStr">
        <is>
          <t>666</t>
        </is>
      </c>
    </row>
    <row r="2877">
      <c r="A2877" t="inlineStr">
        <is>
          <t>FT 024766 ALS LS PERU SAC PROY 61511.pdf</t>
        </is>
      </c>
      <c r="B2877">
        <f>HYPERLINK("C:\Users\lmonroy\Tema\Punto 1 y 2\25-FA01-24766 ALS LS PERU S.A.C 4\FT 024766 ALS LS PERU SAC PROY 61511.pdf", "Link")</f>
        <v/>
      </c>
      <c r="C2877" t="n">
        <v>13839</v>
      </c>
      <c r="D2877" t="inlineStr">
        <is>
          <t>2022-02-14 09:39:00</t>
        </is>
      </c>
      <c r="E2877" t="inlineStr">
        <is>
          <t>2024-04-18 19:20:13</t>
        </is>
      </c>
      <c r="F2877" t="inlineStr">
        <is>
          <t>666</t>
        </is>
      </c>
    </row>
    <row r="2878">
      <c r="A2878" t="inlineStr">
        <is>
          <t>Informe de Ensayo Oficial 61599-2021.pdf</t>
        </is>
      </c>
      <c r="B2878">
        <f>HYPERLINK("C:\Users\lmonroy\Tema\Punto 1 y 2\25-FA01-24766 ALS LS PERU S.A.C 4\Informe de Ensayo Oficial 61599-2021.pdf", "Link")</f>
        <v/>
      </c>
      <c r="C2878" t="n">
        <v>421555</v>
      </c>
      <c r="D2878" t="inlineStr">
        <is>
          <t>2022-02-14 09:39:00</t>
        </is>
      </c>
      <c r="E2878" t="inlineStr">
        <is>
          <t>2024-04-18 19:20:13</t>
        </is>
      </c>
      <c r="F2878" t="inlineStr">
        <is>
          <t>666</t>
        </is>
      </c>
    </row>
    <row r="2879">
      <c r="A2879" t="inlineStr">
        <is>
          <t>Informe de Ensayo Oficial 66774-2021.pdf</t>
        </is>
      </c>
      <c r="B2879">
        <f>HYPERLINK("C:\Users\lmonroy\Tema\Punto 1 y 2\25-FA01-24766 ALS LS PERU S.A.C 4\Informe de Ensayo Oficial 66774-2021.pdf", "Link")</f>
        <v/>
      </c>
      <c r="C2879" t="n">
        <v>939875</v>
      </c>
      <c r="D2879" t="inlineStr">
        <is>
          <t>2022-02-14 09:39:00</t>
        </is>
      </c>
      <c r="E2879" t="inlineStr">
        <is>
          <t>2024-04-18 19:20:13</t>
        </is>
      </c>
      <c r="F2879" t="inlineStr">
        <is>
          <t>666</t>
        </is>
      </c>
    </row>
    <row r="2880">
      <c r="A2880" t="inlineStr">
        <is>
          <t>Informe de Ensayo Oficial 67920-2021.pdf</t>
        </is>
      </c>
      <c r="B2880">
        <f>HYPERLINK("C:\Users\lmonroy\Tema\Punto 1 y 2\25-FA01-24766 ALS LS PERU S.A.C 4\Informe de Ensayo Oficial 67920-2021.pdf", "Link")</f>
        <v/>
      </c>
      <c r="C2880" t="n">
        <v>528900</v>
      </c>
      <c r="D2880" t="inlineStr">
        <is>
          <t>2022-02-14 09:39:00</t>
        </is>
      </c>
      <c r="E2880" t="inlineStr">
        <is>
          <t>2024-04-18 19:20:13</t>
        </is>
      </c>
      <c r="F2880" t="inlineStr">
        <is>
          <t>666</t>
        </is>
      </c>
    </row>
    <row r="2881">
      <c r="A2881" t="inlineStr">
        <is>
          <t>Informe de Ensayo Oficial 70547-2021.pdf</t>
        </is>
      </c>
      <c r="B2881">
        <f>HYPERLINK("C:\Users\lmonroy\Tema\Punto 1 y 2\25-FA01-24766 ALS LS PERU S.A.C 4\Informe de Ensayo Oficial 70547-2021.pdf", "Link")</f>
        <v/>
      </c>
      <c r="C2881" t="n">
        <v>548356</v>
      </c>
      <c r="D2881" t="inlineStr">
        <is>
          <t>2022-02-14 09:39:00</t>
        </is>
      </c>
      <c r="E2881" t="inlineStr">
        <is>
          <t>2024-04-18 19:20:13</t>
        </is>
      </c>
      <c r="F2881" t="inlineStr">
        <is>
          <t>666</t>
        </is>
      </c>
    </row>
    <row r="2882">
      <c r="A2882" t="inlineStr">
        <is>
          <t>Informe de Ensayo Oficial 70698-2021.pdf</t>
        </is>
      </c>
      <c r="B2882">
        <f>HYPERLINK("C:\Users\lmonroy\Tema\Punto 1 y 2\25-FA01-24766 ALS LS PERU S.A.C 4\Informe de Ensayo Oficial 70698-2021.pdf", "Link")</f>
        <v/>
      </c>
      <c r="C2882" t="n">
        <v>404609</v>
      </c>
      <c r="D2882" t="inlineStr">
        <is>
          <t>2022-02-14 09:39:00</t>
        </is>
      </c>
      <c r="E2882" t="inlineStr">
        <is>
          <t>2024-04-18 19:20:13</t>
        </is>
      </c>
      <c r="F2882" t="inlineStr">
        <is>
          <t>666</t>
        </is>
      </c>
    </row>
    <row r="2883">
      <c r="A2883" t="inlineStr">
        <is>
          <t>Informe de Ensayo Oficial 70699-2021-1.pdf</t>
        </is>
      </c>
      <c r="B2883">
        <f>HYPERLINK("C:\Users\lmonroy\Tema\Punto 1 y 2\25-FA01-24766 ALS LS PERU S.A.C 4\Informe de Ensayo Oficial 70699-2021-1.pdf", "Link")</f>
        <v/>
      </c>
      <c r="C2883" t="n">
        <v>277706</v>
      </c>
      <c r="D2883" t="inlineStr">
        <is>
          <t>2022-02-14 09:39:00</t>
        </is>
      </c>
      <c r="E2883" t="inlineStr">
        <is>
          <t>2024-04-18 19:20:13</t>
        </is>
      </c>
      <c r="F2883" t="inlineStr">
        <is>
          <t>666</t>
        </is>
      </c>
    </row>
    <row r="2884">
      <c r="A2884" t="inlineStr">
        <is>
          <t>OS 528.pdf</t>
        </is>
      </c>
      <c r="B2884">
        <f>HYPERLINK("C:\Users\lmonroy\Tema\Punto 1 y 2\25-FA01-24766 ALS LS PERU S.A.C 4\OS 528.pdf", "Link")</f>
        <v/>
      </c>
      <c r="C2884" t="n">
        <v>145592</v>
      </c>
      <c r="D2884" t="inlineStr">
        <is>
          <t>2022-02-14 09:39:00</t>
        </is>
      </c>
      <c r="E2884" t="inlineStr">
        <is>
          <t>2024-04-18 19:20:13</t>
        </is>
      </c>
      <c r="F2884" t="inlineStr">
        <is>
          <t>666</t>
        </is>
      </c>
    </row>
    <row r="2885">
      <c r="A2885" t="inlineStr">
        <is>
          <t>FT 024767 ALS LS PERU SAC PROY 61511.pdf</t>
        </is>
      </c>
      <c r="B2885">
        <f>HYPERLINK("C:\Users\lmonroy\Tema\Punto 1 y 2\26 FA01-24767 ALS LS PERU S.A.C 4\FT 024767 ALS LS PERU SAC PROY 61511.pdf", "Link")</f>
        <v/>
      </c>
      <c r="C2885" t="n">
        <v>13803</v>
      </c>
      <c r="D2885" t="inlineStr">
        <is>
          <t>2022-02-14 09:40:00</t>
        </is>
      </c>
      <c r="E2885" t="inlineStr">
        <is>
          <t>2024-04-18 19:20:13</t>
        </is>
      </c>
      <c r="F2885" t="inlineStr">
        <is>
          <t>666</t>
        </is>
      </c>
    </row>
    <row r="2886">
      <c r="A2886" t="inlineStr">
        <is>
          <t>Informe de Ensayo Oficial 61599-2021.pdf</t>
        </is>
      </c>
      <c r="B2886">
        <f>HYPERLINK("C:\Users\lmonroy\Tema\Punto 1 y 2\26 FA01-24767 ALS LS PERU S.A.C 4\Informe de Ensayo Oficial 61599-2021.pdf", "Link")</f>
        <v/>
      </c>
      <c r="C2886" t="n">
        <v>421555</v>
      </c>
      <c r="D2886" t="inlineStr">
        <is>
          <t>2022-02-14 09:40:00</t>
        </is>
      </c>
      <c r="E2886" t="inlineStr">
        <is>
          <t>2024-04-18 19:20:13</t>
        </is>
      </c>
      <c r="F2886" t="inlineStr">
        <is>
          <t>666</t>
        </is>
      </c>
    </row>
    <row r="2887">
      <c r="A2887" t="inlineStr">
        <is>
          <t>Informe de Ensayo Oficial 66774-2021.pdf</t>
        </is>
      </c>
      <c r="B2887">
        <f>HYPERLINK("C:\Users\lmonroy\Tema\Punto 1 y 2\26 FA01-24767 ALS LS PERU S.A.C 4\Informe de Ensayo Oficial 66774-2021.pdf", "Link")</f>
        <v/>
      </c>
      <c r="C2887" t="n">
        <v>939875</v>
      </c>
      <c r="D2887" t="inlineStr">
        <is>
          <t>2022-02-14 09:40:00</t>
        </is>
      </c>
      <c r="E2887" t="inlineStr">
        <is>
          <t>2024-04-18 19:20:14</t>
        </is>
      </c>
      <c r="F2887" t="inlineStr">
        <is>
          <t>666</t>
        </is>
      </c>
    </row>
    <row r="2888">
      <c r="A2888" t="inlineStr">
        <is>
          <t>OS 527.pdf</t>
        </is>
      </c>
      <c r="B2888">
        <f>HYPERLINK("C:\Users\lmonroy\Tema\Punto 1 y 2\26 FA01-24767 ALS LS PERU S.A.C 4\OS 527.pdf", "Link")</f>
        <v/>
      </c>
      <c r="C2888" t="n">
        <v>143772</v>
      </c>
      <c r="D2888" t="inlineStr">
        <is>
          <t>2022-02-14 09:40:00</t>
        </is>
      </c>
      <c r="E2888" t="inlineStr">
        <is>
          <t>2024-04-18 19:20:14</t>
        </is>
      </c>
      <c r="F2888" t="inlineStr">
        <is>
          <t>666</t>
        </is>
      </c>
    </row>
    <row r="2889">
      <c r="A2889" t="inlineStr">
        <is>
          <t>20504979092-01-FA01-00024768.pdf</t>
        </is>
      </c>
      <c r="B2889">
        <f>HYPERLINK("C:\Users\lmonroy\Tema\Punto 1 y 2\27-FA01-24768 ALS LS PERU S.A.C 2\20504979092-01-FA01-00024768.pdf", "Link")</f>
        <v/>
      </c>
      <c r="C2889" t="n">
        <v>13831</v>
      </c>
      <c r="D2889" t="inlineStr">
        <is>
          <t>2022-02-14 09:43:00</t>
        </is>
      </c>
      <c r="E2889" t="inlineStr">
        <is>
          <t>2024-04-18 19:20:14</t>
        </is>
      </c>
      <c r="F2889" t="inlineStr">
        <is>
          <t>666</t>
        </is>
      </c>
    </row>
    <row r="2890">
      <c r="A2890" t="inlineStr">
        <is>
          <t>FT 024768 ALS LS PERU SAC PROY 61511.pdf</t>
        </is>
      </c>
      <c r="B2890">
        <f>HYPERLINK("C:\Users\lmonroy\Tema\Punto 1 y 2\27-FA01-24768 ALS LS PERU S.A.C 2\FT 024768 ALS LS PERU SAC PROY 61511.pdf", "Link")</f>
        <v/>
      </c>
      <c r="C2890" t="n">
        <v>13831</v>
      </c>
      <c r="D2890" t="inlineStr">
        <is>
          <t>2022-02-14 09:43:00</t>
        </is>
      </c>
      <c r="E2890" t="inlineStr">
        <is>
          <t>2024-04-18 19:20:14</t>
        </is>
      </c>
      <c r="F2890" t="inlineStr">
        <is>
          <t>666</t>
        </is>
      </c>
    </row>
    <row r="2891">
      <c r="A2891" t="inlineStr">
        <is>
          <t>Informe de Ensayo Oficial 68658-2021.pdf</t>
        </is>
      </c>
      <c r="B2891">
        <f>HYPERLINK("C:\Users\lmonroy\Tema\Punto 1 y 2\27-FA01-24768 ALS LS PERU S.A.C 2\Informe de Ensayo Oficial 68658-2021.pdf", "Link")</f>
        <v/>
      </c>
      <c r="C2891" t="n">
        <v>813708</v>
      </c>
      <c r="D2891" t="inlineStr">
        <is>
          <t>2022-02-14 09:43:00</t>
        </is>
      </c>
      <c r="E2891" t="inlineStr">
        <is>
          <t>2024-04-18 19:20:14</t>
        </is>
      </c>
      <c r="F2891" t="inlineStr">
        <is>
          <t>666</t>
        </is>
      </c>
    </row>
    <row r="2892">
      <c r="A2892" t="inlineStr">
        <is>
          <t>Informe de Ensayo Oficial 68659-2021-1.pdf</t>
        </is>
      </c>
      <c r="B2892">
        <f>HYPERLINK("C:\Users\lmonroy\Tema\Punto 1 y 2\27-FA01-24768 ALS LS PERU S.A.C 2\Informe de Ensayo Oficial 68659-2021-1.pdf", "Link")</f>
        <v/>
      </c>
      <c r="C2892" t="n">
        <v>812835</v>
      </c>
      <c r="D2892" t="inlineStr">
        <is>
          <t>2022-02-14 09:43:00</t>
        </is>
      </c>
      <c r="E2892" t="inlineStr">
        <is>
          <t>2024-04-18 19:20:14</t>
        </is>
      </c>
      <c r="F2892" t="inlineStr">
        <is>
          <t>666</t>
        </is>
      </c>
    </row>
    <row r="2893">
      <c r="A2893" t="inlineStr">
        <is>
          <t>Informe de Ensayo Oficial 68660-2021.pdf</t>
        </is>
      </c>
      <c r="B2893">
        <f>HYPERLINK("C:\Users\lmonroy\Tema\Punto 1 y 2\27-FA01-24768 ALS LS PERU S.A.C 2\Informe de Ensayo Oficial 68660-2021.pdf", "Link")</f>
        <v/>
      </c>
      <c r="C2893" t="n">
        <v>544130</v>
      </c>
      <c r="D2893" t="inlineStr">
        <is>
          <t>2022-02-14 09:43:00</t>
        </is>
      </c>
      <c r="E2893" t="inlineStr">
        <is>
          <t>2024-04-18 19:20:14</t>
        </is>
      </c>
      <c r="F2893" t="inlineStr">
        <is>
          <t>666</t>
        </is>
      </c>
    </row>
    <row r="2894">
      <c r="A2894" t="inlineStr">
        <is>
          <t>Informe de Ensayo Oficial 68661-2021.pdf</t>
        </is>
      </c>
      <c r="B2894">
        <f>HYPERLINK("C:\Users\lmonroy\Tema\Punto 1 y 2\27-FA01-24768 ALS LS PERU S.A.C 2\Informe de Ensayo Oficial 68661-2021.pdf", "Link")</f>
        <v/>
      </c>
      <c r="C2894" t="n">
        <v>872243</v>
      </c>
      <c r="D2894" t="inlineStr">
        <is>
          <t>2022-02-14 09:43:00</t>
        </is>
      </c>
      <c r="E2894" t="inlineStr">
        <is>
          <t>2024-04-18 19:20:14</t>
        </is>
      </c>
      <c r="F2894" t="inlineStr">
        <is>
          <t>666</t>
        </is>
      </c>
    </row>
    <row r="2895">
      <c r="A2895" t="inlineStr">
        <is>
          <t>Informe de Ensayo Oficial 68662-2021.pdf</t>
        </is>
      </c>
      <c r="B2895">
        <f>HYPERLINK("C:\Users\lmonroy\Tema\Punto 1 y 2\27-FA01-24768 ALS LS PERU S.A.C 2\Informe de Ensayo Oficial 68662-2021.pdf", "Link")</f>
        <v/>
      </c>
      <c r="C2895" t="n">
        <v>744186</v>
      </c>
      <c r="D2895" t="inlineStr">
        <is>
          <t>2022-02-14 09:43:00</t>
        </is>
      </c>
      <c r="E2895" t="inlineStr">
        <is>
          <t>2024-04-18 19:20:14</t>
        </is>
      </c>
      <c r="F2895" t="inlineStr">
        <is>
          <t>666</t>
        </is>
      </c>
    </row>
    <row r="2896">
      <c r="A2896" t="inlineStr">
        <is>
          <t>Informe de Ensayo Oficial 68663-2021.pdf</t>
        </is>
      </c>
      <c r="B2896">
        <f>HYPERLINK("C:\Users\lmonroy\Tema\Punto 1 y 2\27-FA01-24768 ALS LS PERU S.A.C 2\Informe de Ensayo Oficial 68663-2021.pdf", "Link")</f>
        <v/>
      </c>
      <c r="C2896" t="n">
        <v>558745</v>
      </c>
      <c r="D2896" t="inlineStr">
        <is>
          <t>2022-02-14 09:43:00</t>
        </is>
      </c>
      <c r="E2896" t="inlineStr">
        <is>
          <t>2024-04-18 19:20:14</t>
        </is>
      </c>
      <c r="F2896" t="inlineStr">
        <is>
          <t>666</t>
        </is>
      </c>
    </row>
    <row r="2897">
      <c r="A2897" t="inlineStr">
        <is>
          <t>Informe de Ensayo Oficial 68664-2021.pdf</t>
        </is>
      </c>
      <c r="B2897">
        <f>HYPERLINK("C:\Users\lmonroy\Tema\Punto 1 y 2\27-FA01-24768 ALS LS PERU S.A.C 2\Informe de Ensayo Oficial 68664-2021.pdf", "Link")</f>
        <v/>
      </c>
      <c r="C2897" t="n">
        <v>273722</v>
      </c>
      <c r="D2897" t="inlineStr">
        <is>
          <t>2022-02-14 09:43:00</t>
        </is>
      </c>
      <c r="E2897" t="inlineStr">
        <is>
          <t>2024-04-18 19:20:14</t>
        </is>
      </c>
      <c r="F2897" t="inlineStr">
        <is>
          <t>666</t>
        </is>
      </c>
    </row>
    <row r="2898">
      <c r="A2898" t="inlineStr">
        <is>
          <t>Informe de Ensayo Oficial 68670-2021-1.pdf</t>
        </is>
      </c>
      <c r="B2898">
        <f>HYPERLINK("C:\Users\lmonroy\Tema\Punto 1 y 2\27-FA01-24768 ALS LS PERU S.A.C 2\Informe de Ensayo Oficial 68670-2021-1.pdf", "Link")</f>
        <v/>
      </c>
      <c r="C2898" t="n">
        <v>1145939</v>
      </c>
      <c r="D2898" t="inlineStr">
        <is>
          <t>2022-02-14 09:43:00</t>
        </is>
      </c>
      <c r="E2898" t="inlineStr">
        <is>
          <t>2024-04-18 19:20:14</t>
        </is>
      </c>
      <c r="F2898" t="inlineStr">
        <is>
          <t>666</t>
        </is>
      </c>
    </row>
    <row r="2899">
      <c r="A2899" t="inlineStr">
        <is>
          <t>Informe de Ensayo Oficial 68671-2021.pdf</t>
        </is>
      </c>
      <c r="B2899">
        <f>HYPERLINK("C:\Users\lmonroy\Tema\Punto 1 y 2\27-FA01-24768 ALS LS PERU S.A.C 2\Informe de Ensayo Oficial 68671-2021.pdf", "Link")</f>
        <v/>
      </c>
      <c r="C2899" t="n">
        <v>930162</v>
      </c>
      <c r="D2899" t="inlineStr">
        <is>
          <t>2022-02-14 09:43:00</t>
        </is>
      </c>
      <c r="E2899" t="inlineStr">
        <is>
          <t>2024-04-18 19:20:14</t>
        </is>
      </c>
      <c r="F2899" t="inlineStr">
        <is>
          <t>666</t>
        </is>
      </c>
    </row>
    <row r="2900">
      <c r="A2900" t="inlineStr">
        <is>
          <t>OS 526.pdf</t>
        </is>
      </c>
      <c r="B2900">
        <f>HYPERLINK("C:\Users\lmonroy\Tema\Punto 1 y 2\27-FA01-24768 ALS LS PERU S.A.C 2\OS 526.pdf", "Link")</f>
        <v/>
      </c>
      <c r="C2900" t="n">
        <v>145858</v>
      </c>
      <c r="D2900" t="inlineStr">
        <is>
          <t>2022-02-14 09:43:00</t>
        </is>
      </c>
      <c r="E2900" t="inlineStr">
        <is>
          <t>2024-04-18 19:20:14</t>
        </is>
      </c>
      <c r="F2900" t="inlineStr">
        <is>
          <t>666</t>
        </is>
      </c>
    </row>
    <row r="2901">
      <c r="A2901" t="inlineStr">
        <is>
          <t>20504979092-01-FA01-00024769.pdf</t>
        </is>
      </c>
      <c r="B2901">
        <f>HYPERLINK("C:\Users\lmonroy\Tema\Punto 1 y 2\28-FA01-24769 ALS LS PERU S.A.C 2\20504979092-01-FA01-00024769.pdf", "Link")</f>
        <v/>
      </c>
      <c r="C2901" t="n">
        <v>13808</v>
      </c>
      <c r="D2901" t="inlineStr">
        <is>
          <t>2022-02-14 09:46:00</t>
        </is>
      </c>
      <c r="E2901" t="inlineStr">
        <is>
          <t>2024-04-18 19:20:14</t>
        </is>
      </c>
      <c r="F2901" t="inlineStr">
        <is>
          <t>666</t>
        </is>
      </c>
    </row>
    <row r="2902">
      <c r="A2902" t="inlineStr">
        <is>
          <t>FT 024769 ALS LS PERU SAC PROY 61511.pdf</t>
        </is>
      </c>
      <c r="B2902">
        <f>HYPERLINK("C:\Users\lmonroy\Tema\Punto 1 y 2\28-FA01-24769 ALS LS PERU S.A.C 2\FT 024769 ALS LS PERU SAC PROY 61511.pdf", "Link")</f>
        <v/>
      </c>
      <c r="C2902" t="n">
        <v>13808</v>
      </c>
      <c r="D2902" t="inlineStr">
        <is>
          <t>2022-02-14 09:46:00</t>
        </is>
      </c>
      <c r="E2902" t="inlineStr">
        <is>
          <t>2024-04-18 19:20:14</t>
        </is>
      </c>
      <c r="F2902" t="inlineStr">
        <is>
          <t>666</t>
        </is>
      </c>
    </row>
    <row r="2903">
      <c r="A2903" t="inlineStr">
        <is>
          <t>Informe de Ensayo Oficial 71405-2021.pdf</t>
        </is>
      </c>
      <c r="B2903">
        <f>HYPERLINK("C:\Users\lmonroy\Tema\Punto 1 y 2\28-FA01-24769 ALS LS PERU S.A.C 2\Informe de Ensayo Oficial 71405-2021.pdf", "Link")</f>
        <v/>
      </c>
      <c r="C2903" t="n">
        <v>873056</v>
      </c>
      <c r="D2903" t="inlineStr">
        <is>
          <t>2022-02-14 09:46:00</t>
        </is>
      </c>
      <c r="E2903" t="inlineStr">
        <is>
          <t>2024-04-18 19:20:14</t>
        </is>
      </c>
      <c r="F2903" t="inlineStr">
        <is>
          <t>666</t>
        </is>
      </c>
    </row>
    <row r="2904">
      <c r="A2904" t="inlineStr">
        <is>
          <t>Informe de Ensayo Oficial 71406-2021.pdf</t>
        </is>
      </c>
      <c r="B2904">
        <f>HYPERLINK("C:\Users\lmonroy\Tema\Punto 1 y 2\28-FA01-24769 ALS LS PERU S.A.C 2\Informe de Ensayo Oficial 71406-2021.pdf", "Link")</f>
        <v/>
      </c>
      <c r="C2904" t="n">
        <v>995697</v>
      </c>
      <c r="D2904" t="inlineStr">
        <is>
          <t>2022-02-14 09:46:00</t>
        </is>
      </c>
      <c r="E2904" t="inlineStr">
        <is>
          <t>2024-04-18 19:20:15</t>
        </is>
      </c>
      <c r="F2904" t="inlineStr">
        <is>
          <t>666</t>
        </is>
      </c>
    </row>
    <row r="2905">
      <c r="A2905" t="inlineStr">
        <is>
          <t>Informe de Ensayo Oficial 71409-2021.pdf</t>
        </is>
      </c>
      <c r="B2905">
        <f>HYPERLINK("C:\Users\lmonroy\Tema\Punto 1 y 2\28-FA01-24769 ALS LS PERU S.A.C 2\Informe de Ensayo Oficial 71409-2021.pdf", "Link")</f>
        <v/>
      </c>
      <c r="C2905" t="n">
        <v>1053856</v>
      </c>
      <c r="D2905" t="inlineStr">
        <is>
          <t>2022-02-14 09:46:00</t>
        </is>
      </c>
      <c r="E2905" t="inlineStr">
        <is>
          <t>2024-04-18 19:20:15</t>
        </is>
      </c>
      <c r="F2905" t="inlineStr">
        <is>
          <t>666</t>
        </is>
      </c>
    </row>
    <row r="2906">
      <c r="A2906" t="inlineStr">
        <is>
          <t>Informe de Ensayo Oficial 71410-2021.pdf</t>
        </is>
      </c>
      <c r="B2906">
        <f>HYPERLINK("C:\Users\lmonroy\Tema\Punto 1 y 2\28-FA01-24769 ALS LS PERU S.A.C 2\Informe de Ensayo Oficial 71410-2021.pdf", "Link")</f>
        <v/>
      </c>
      <c r="C2906" t="n">
        <v>1299603</v>
      </c>
      <c r="D2906" t="inlineStr">
        <is>
          <t>2022-02-14 09:46:00</t>
        </is>
      </c>
      <c r="E2906" t="inlineStr">
        <is>
          <t>2024-04-18 19:20:15</t>
        </is>
      </c>
      <c r="F2906" t="inlineStr">
        <is>
          <t>666</t>
        </is>
      </c>
    </row>
    <row r="2907">
      <c r="A2907" t="inlineStr">
        <is>
          <t>Informe de Ensayo Oficial 72282-2021.pdf</t>
        </is>
      </c>
      <c r="B2907">
        <f>HYPERLINK("C:\Users\lmonroy\Tema\Punto 1 y 2\28-FA01-24769 ALS LS PERU S.A.C 2\Informe de Ensayo Oficial 72282-2021.pdf", "Link")</f>
        <v/>
      </c>
      <c r="C2907" t="n">
        <v>807484</v>
      </c>
      <c r="D2907" t="inlineStr">
        <is>
          <t>2022-02-14 09:46:00</t>
        </is>
      </c>
      <c r="E2907" t="inlineStr">
        <is>
          <t>2024-04-18 19:20:15</t>
        </is>
      </c>
      <c r="F2907" t="inlineStr">
        <is>
          <t>666</t>
        </is>
      </c>
    </row>
    <row r="2908">
      <c r="A2908" t="inlineStr">
        <is>
          <t>Informe de Ensayo Oficial 72283-2021.pdf</t>
        </is>
      </c>
      <c r="B2908">
        <f>HYPERLINK("C:\Users\lmonroy\Tema\Punto 1 y 2\28-FA01-24769 ALS LS PERU S.A.C 2\Informe de Ensayo Oficial 72283-2021.pdf", "Link")</f>
        <v/>
      </c>
      <c r="C2908" t="n">
        <v>871996</v>
      </c>
      <c r="D2908" t="inlineStr">
        <is>
          <t>2022-02-14 09:46:00</t>
        </is>
      </c>
      <c r="E2908" t="inlineStr">
        <is>
          <t>2024-04-18 19:20:15</t>
        </is>
      </c>
      <c r="F2908" t="inlineStr">
        <is>
          <t>666</t>
        </is>
      </c>
    </row>
    <row r="2909">
      <c r="A2909" t="inlineStr">
        <is>
          <t>Informe de Ensayo Oficial 72284-2021.pdf</t>
        </is>
      </c>
      <c r="B2909">
        <f>HYPERLINK("C:\Users\lmonroy\Tema\Punto 1 y 2\28-FA01-24769 ALS LS PERU S.A.C 2\Informe de Ensayo Oficial 72284-2021.pdf", "Link")</f>
        <v/>
      </c>
      <c r="C2909" t="n">
        <v>746640</v>
      </c>
      <c r="D2909" t="inlineStr">
        <is>
          <t>2022-02-14 09:46:00</t>
        </is>
      </c>
      <c r="E2909" t="inlineStr">
        <is>
          <t>2024-04-18 19:20:15</t>
        </is>
      </c>
      <c r="F2909" t="inlineStr">
        <is>
          <t>666</t>
        </is>
      </c>
    </row>
    <row r="2910">
      <c r="A2910" t="inlineStr">
        <is>
          <t>Informe de Ensayo Oficial 73654-2021.pdf</t>
        </is>
      </c>
      <c r="B2910">
        <f>HYPERLINK("C:\Users\lmonroy\Tema\Punto 1 y 2\28-FA01-24769 ALS LS PERU S.A.C 2\Informe de Ensayo Oficial 73654-2021.pdf", "Link")</f>
        <v/>
      </c>
      <c r="C2910" t="n">
        <v>751763</v>
      </c>
      <c r="D2910" t="inlineStr">
        <is>
          <t>2022-02-14 09:46:00</t>
        </is>
      </c>
      <c r="E2910" t="inlineStr">
        <is>
          <t>2024-04-18 19:20:15</t>
        </is>
      </c>
      <c r="F2910" t="inlineStr">
        <is>
          <t>666</t>
        </is>
      </c>
    </row>
    <row r="2911">
      <c r="A2911" t="inlineStr">
        <is>
          <t>Informe de Ensayo Oficial 73660-2021.pdf</t>
        </is>
      </c>
      <c r="B2911">
        <f>HYPERLINK("C:\Users\lmonroy\Tema\Punto 1 y 2\28-FA01-24769 ALS LS PERU S.A.C 2\Informe de Ensayo Oficial 73660-2021.pdf", "Link")</f>
        <v/>
      </c>
      <c r="C2911" t="n">
        <v>923303</v>
      </c>
      <c r="D2911" t="inlineStr">
        <is>
          <t>2022-02-14 09:46:00</t>
        </is>
      </c>
      <c r="E2911" t="inlineStr">
        <is>
          <t>2024-04-18 19:20:15</t>
        </is>
      </c>
      <c r="F2911" t="inlineStr">
        <is>
          <t>666</t>
        </is>
      </c>
    </row>
    <row r="2912">
      <c r="A2912" t="inlineStr">
        <is>
          <t>Informe de Ensayo Oficial 73669-2021.pdf</t>
        </is>
      </c>
      <c r="B2912">
        <f>HYPERLINK("C:\Users\lmonroy\Tema\Punto 1 y 2\28-FA01-24769 ALS LS PERU S.A.C 2\Informe de Ensayo Oficial 73669-2021.pdf", "Link")</f>
        <v/>
      </c>
      <c r="C2912" t="n">
        <v>561754</v>
      </c>
      <c r="D2912" t="inlineStr">
        <is>
          <t>2022-02-14 09:46:00</t>
        </is>
      </c>
      <c r="E2912" t="inlineStr">
        <is>
          <t>2024-04-18 19:20:15</t>
        </is>
      </c>
      <c r="F2912" t="inlineStr">
        <is>
          <t>666</t>
        </is>
      </c>
    </row>
    <row r="2913">
      <c r="A2913" t="inlineStr">
        <is>
          <t>Informe de Ensayo Oficial 74049-2021.pdf</t>
        </is>
      </c>
      <c r="B2913">
        <f>HYPERLINK("C:\Users\lmonroy\Tema\Punto 1 y 2\28-FA01-24769 ALS LS PERU S.A.C 2\Informe de Ensayo Oficial 74049-2021.pdf", "Link")</f>
        <v/>
      </c>
      <c r="C2913" t="n">
        <v>1053754</v>
      </c>
      <c r="D2913" t="inlineStr">
        <is>
          <t>2022-02-14 09:46:00</t>
        </is>
      </c>
      <c r="E2913" t="inlineStr">
        <is>
          <t>2024-04-18 19:20:15</t>
        </is>
      </c>
      <c r="F2913" t="inlineStr">
        <is>
          <t>666</t>
        </is>
      </c>
    </row>
    <row r="2914">
      <c r="A2914" t="inlineStr">
        <is>
          <t>Informe de Ensayo Oficial 74058-2021.pdf</t>
        </is>
      </c>
      <c r="B2914">
        <f>HYPERLINK("C:\Users\lmonroy\Tema\Punto 1 y 2\28-FA01-24769 ALS LS PERU S.A.C 2\Informe de Ensayo Oficial 74058-2021.pdf", "Link")</f>
        <v/>
      </c>
      <c r="C2914" t="n">
        <v>746215</v>
      </c>
      <c r="D2914" t="inlineStr">
        <is>
          <t>2022-02-14 09:46:00</t>
        </is>
      </c>
      <c r="E2914" t="inlineStr">
        <is>
          <t>2024-04-18 19:20:15</t>
        </is>
      </c>
      <c r="F2914" t="inlineStr">
        <is>
          <t>666</t>
        </is>
      </c>
    </row>
    <row r="2915">
      <c r="A2915" t="inlineStr">
        <is>
          <t>Informe de Ensayo Oficial 74061-2021.pdf</t>
        </is>
      </c>
      <c r="B2915">
        <f>HYPERLINK("C:\Users\lmonroy\Tema\Punto 1 y 2\28-FA01-24769 ALS LS PERU S.A.C 2\Informe de Ensayo Oficial 74061-2021.pdf", "Link")</f>
        <v/>
      </c>
      <c r="C2915" t="n">
        <v>875341</v>
      </c>
      <c r="D2915" t="inlineStr">
        <is>
          <t>2022-02-14 09:46:00</t>
        </is>
      </c>
      <c r="E2915" t="inlineStr">
        <is>
          <t>2024-04-18 19:20:15</t>
        </is>
      </c>
      <c r="F2915" t="inlineStr">
        <is>
          <t>666</t>
        </is>
      </c>
    </row>
    <row r="2916">
      <c r="A2916" t="inlineStr">
        <is>
          <t>Informe de Ensayo Oficial 74064-2021-1.pdf</t>
        </is>
      </c>
      <c r="B2916">
        <f>HYPERLINK("C:\Users\lmonroy\Tema\Punto 1 y 2\28-FA01-24769 ALS LS PERU S.A.C 2\Informe de Ensayo Oficial 74064-2021-1.pdf", "Link")</f>
        <v/>
      </c>
      <c r="C2916" t="n">
        <v>718209</v>
      </c>
      <c r="D2916" t="inlineStr">
        <is>
          <t>2022-02-14 09:46:00</t>
        </is>
      </c>
      <c r="E2916" t="inlineStr">
        <is>
          <t>2024-04-18 19:20:15</t>
        </is>
      </c>
      <c r="F2916" t="inlineStr">
        <is>
          <t>666</t>
        </is>
      </c>
    </row>
    <row r="2917">
      <c r="A2917" t="inlineStr">
        <is>
          <t>OS 525.pdf</t>
        </is>
      </c>
      <c r="B2917">
        <f>HYPERLINK("C:\Users\lmonroy\Tema\Punto 1 y 2\28-FA01-24769 ALS LS PERU S.A.C 2\OS 525.pdf", "Link")</f>
        <v/>
      </c>
      <c r="C2917" t="n">
        <v>146991</v>
      </c>
      <c r="D2917" t="inlineStr">
        <is>
          <t>2022-02-14 09:46:00</t>
        </is>
      </c>
      <c r="E2917" t="inlineStr">
        <is>
          <t>2024-04-18 19:20:15</t>
        </is>
      </c>
      <c r="F2917" t="inlineStr">
        <is>
          <t>666</t>
        </is>
      </c>
    </row>
    <row r="2918">
      <c r="A2918" t="inlineStr">
        <is>
          <t>FT 024772 ALS LS PERU SAC PROY 61795.pdf</t>
        </is>
      </c>
      <c r="B2918">
        <f>HYPERLINK("C:\Users\lmonroy\Tema\Punto 1 y 2\29-FA01-24772 ALS LS PERU SAC. 2\FT 024772 ALS LS PERU SAC PROY 61795.pdf", "Link")</f>
        <v/>
      </c>
      <c r="C2918" t="n">
        <v>13798</v>
      </c>
      <c r="D2918" t="inlineStr">
        <is>
          <t>2022-02-14 09:43:00</t>
        </is>
      </c>
      <c r="E2918" t="inlineStr">
        <is>
          <t>2024-04-18 19:20:15</t>
        </is>
      </c>
      <c r="F2918" t="inlineStr">
        <is>
          <t>666</t>
        </is>
      </c>
    </row>
    <row r="2919">
      <c r="A2919" t="inlineStr">
        <is>
          <t>Informe de Ensayo Oficial 56896-2021.pdf</t>
        </is>
      </c>
      <c r="B2919">
        <f>HYPERLINK("C:\Users\lmonroy\Tema\Punto 1 y 2\29-FA01-24772 ALS LS PERU SAC. 2\Informe de Ensayo Oficial 56896-2021.pdf", "Link")</f>
        <v/>
      </c>
      <c r="C2919" t="n">
        <v>8347344</v>
      </c>
      <c r="D2919" t="inlineStr">
        <is>
          <t>2022-02-14 09:43:00</t>
        </is>
      </c>
      <c r="E2919" t="inlineStr">
        <is>
          <t>2024-04-18 19:20:15</t>
        </is>
      </c>
      <c r="F2919" t="inlineStr">
        <is>
          <t>666</t>
        </is>
      </c>
    </row>
    <row r="2920">
      <c r="A2920" t="inlineStr">
        <is>
          <t>Informe de Ensayo Oficial 59974-2021.pdf</t>
        </is>
      </c>
      <c r="B2920">
        <f>HYPERLINK("C:\Users\lmonroy\Tema\Punto 1 y 2\29-FA01-24772 ALS LS PERU SAC. 2\Informe de Ensayo Oficial 59974-2021.pdf", "Link")</f>
        <v/>
      </c>
      <c r="C2920" t="n">
        <v>462160</v>
      </c>
      <c r="D2920" t="inlineStr">
        <is>
          <t>2022-02-14 09:43:00</t>
        </is>
      </c>
      <c r="E2920" t="inlineStr">
        <is>
          <t>2024-04-18 19:20:16</t>
        </is>
      </c>
      <c r="F2920" t="inlineStr">
        <is>
          <t>666</t>
        </is>
      </c>
    </row>
    <row r="2921">
      <c r="A2921" t="inlineStr">
        <is>
          <t>Informe de Ensayo Oficial 59975-2021.pdf</t>
        </is>
      </c>
      <c r="B2921">
        <f>HYPERLINK("C:\Users\lmonroy\Tema\Punto 1 y 2\29-FA01-24772 ALS LS PERU SAC. 2\Informe de Ensayo Oficial 59975-2021.pdf", "Link")</f>
        <v/>
      </c>
      <c r="C2921" t="n">
        <v>661441</v>
      </c>
      <c r="D2921" t="inlineStr">
        <is>
          <t>2022-02-14 09:43:00</t>
        </is>
      </c>
      <c r="E2921" t="inlineStr">
        <is>
          <t>2024-04-18 19:20:16</t>
        </is>
      </c>
      <c r="F2921" t="inlineStr">
        <is>
          <t>666</t>
        </is>
      </c>
    </row>
    <row r="2922">
      <c r="A2922" t="inlineStr">
        <is>
          <t>Informe de Ensayo Oficial 59976-2021.pdf</t>
        </is>
      </c>
      <c r="B2922">
        <f>HYPERLINK("C:\Users\lmonroy\Tema\Punto 1 y 2\29-FA01-24772 ALS LS PERU SAC. 2\Informe de Ensayo Oficial 59976-2021.pdf", "Link")</f>
        <v/>
      </c>
      <c r="C2922" t="n">
        <v>2743352</v>
      </c>
      <c r="D2922" t="inlineStr">
        <is>
          <t>2022-02-14 09:43:00</t>
        </is>
      </c>
      <c r="E2922" t="inlineStr">
        <is>
          <t>2024-04-18 19:20:16</t>
        </is>
      </c>
      <c r="F2922" t="inlineStr">
        <is>
          <t>666</t>
        </is>
      </c>
    </row>
    <row r="2923">
      <c r="A2923" t="inlineStr">
        <is>
          <t>Informe de Ensayo Oficial 59977-2021.pdf</t>
        </is>
      </c>
      <c r="B2923">
        <f>HYPERLINK("C:\Users\lmonroy\Tema\Punto 1 y 2\29-FA01-24772 ALS LS PERU SAC. 2\Informe de Ensayo Oficial 59977-2021.pdf", "Link")</f>
        <v/>
      </c>
      <c r="C2923" t="n">
        <v>2742944</v>
      </c>
      <c r="D2923" t="inlineStr">
        <is>
          <t>2022-02-14 09:43:00</t>
        </is>
      </c>
      <c r="E2923" t="inlineStr">
        <is>
          <t>2024-04-18 19:20:16</t>
        </is>
      </c>
      <c r="F2923" t="inlineStr">
        <is>
          <t>666</t>
        </is>
      </c>
    </row>
    <row r="2924">
      <c r="A2924" t="inlineStr">
        <is>
          <t>Informe de Ensayo Oficial 59978-2021.pdf</t>
        </is>
      </c>
      <c r="B2924">
        <f>HYPERLINK("C:\Users\lmonroy\Tema\Punto 1 y 2\29-FA01-24772 ALS LS PERU SAC. 2\Informe de Ensayo Oficial 59978-2021.pdf", "Link")</f>
        <v/>
      </c>
      <c r="C2924" t="n">
        <v>1263690</v>
      </c>
      <c r="D2924" t="inlineStr">
        <is>
          <t>2022-02-14 09:43:00</t>
        </is>
      </c>
      <c r="E2924" t="inlineStr">
        <is>
          <t>2024-04-18 19:20:16</t>
        </is>
      </c>
      <c r="F2924" t="inlineStr">
        <is>
          <t>666</t>
        </is>
      </c>
    </row>
    <row r="2925">
      <c r="A2925" t="inlineStr">
        <is>
          <t>Informe de Ensayo Oficial 60624-2021.pdf</t>
        </is>
      </c>
      <c r="B2925">
        <f>HYPERLINK("C:\Users\lmonroy\Tema\Punto 1 y 2\29-FA01-24772 ALS LS PERU SAC. 2\Informe de Ensayo Oficial 60624-2021.pdf", "Link")</f>
        <v/>
      </c>
      <c r="C2925" t="n">
        <v>1205742</v>
      </c>
      <c r="D2925" t="inlineStr">
        <is>
          <t>2022-02-14 09:43:00</t>
        </is>
      </c>
      <c r="E2925" t="inlineStr">
        <is>
          <t>2024-04-18 19:20:16</t>
        </is>
      </c>
      <c r="F2925" t="inlineStr">
        <is>
          <t>666</t>
        </is>
      </c>
    </row>
    <row r="2926">
      <c r="A2926" t="inlineStr">
        <is>
          <t>Informe de Ensayo Oficial 60625-2021.pdf</t>
        </is>
      </c>
      <c r="B2926">
        <f>HYPERLINK("C:\Users\lmonroy\Tema\Punto 1 y 2\29-FA01-24772 ALS LS PERU SAC. 2\Informe de Ensayo Oficial 60625-2021.pdf", "Link")</f>
        <v/>
      </c>
      <c r="C2926" t="n">
        <v>812849</v>
      </c>
      <c r="D2926" t="inlineStr">
        <is>
          <t>2022-02-14 09:43:00</t>
        </is>
      </c>
      <c r="E2926" t="inlineStr">
        <is>
          <t>2024-04-18 19:20:17</t>
        </is>
      </c>
      <c r="F2926" t="inlineStr">
        <is>
          <t>666</t>
        </is>
      </c>
    </row>
    <row r="2927">
      <c r="A2927" t="inlineStr">
        <is>
          <t>Informe de Ensayo Oficial 60935-2021.pdf</t>
        </is>
      </c>
      <c r="B2927">
        <f>HYPERLINK("C:\Users\lmonroy\Tema\Punto 1 y 2\29-FA01-24772 ALS LS PERU SAC. 2\Informe de Ensayo Oficial 60935-2021.pdf", "Link")</f>
        <v/>
      </c>
      <c r="C2927" t="n">
        <v>662066</v>
      </c>
      <c r="D2927" t="inlineStr">
        <is>
          <t>2022-02-14 09:43:00</t>
        </is>
      </c>
      <c r="E2927" t="inlineStr">
        <is>
          <t>2024-04-18 19:20:17</t>
        </is>
      </c>
      <c r="F2927" t="inlineStr">
        <is>
          <t>666</t>
        </is>
      </c>
    </row>
    <row r="2928">
      <c r="A2928" t="inlineStr">
        <is>
          <t>Informe de Ensayo Oficial 60936-2021.pdf</t>
        </is>
      </c>
      <c r="B2928">
        <f>HYPERLINK("C:\Users\lmonroy\Tema\Punto 1 y 2\29-FA01-24772 ALS LS PERU SAC. 2\Informe de Ensayo Oficial 60936-2021.pdf", "Link")</f>
        <v/>
      </c>
      <c r="C2928" t="n">
        <v>812824</v>
      </c>
      <c r="D2928" t="inlineStr">
        <is>
          <t>2022-02-14 09:43:00</t>
        </is>
      </c>
      <c r="E2928" t="inlineStr">
        <is>
          <t>2024-04-18 19:20:17</t>
        </is>
      </c>
      <c r="F2928" t="inlineStr">
        <is>
          <t>666</t>
        </is>
      </c>
    </row>
    <row r="2929">
      <c r="A2929" t="inlineStr">
        <is>
          <t>Informe de Ensayo Oficial 61597-2021-1.pdf</t>
        </is>
      </c>
      <c r="B2929">
        <f>HYPERLINK("C:\Users\lmonroy\Tema\Punto 1 y 2\29-FA01-24772 ALS LS PERU SAC. 2\Informe de Ensayo Oficial 61597-2021-1.pdf", "Link")</f>
        <v/>
      </c>
      <c r="C2929" t="n">
        <v>930222</v>
      </c>
      <c r="D2929" t="inlineStr">
        <is>
          <t>2022-02-14 09:43:00</t>
        </is>
      </c>
      <c r="E2929" t="inlineStr">
        <is>
          <t>2024-04-18 19:20:17</t>
        </is>
      </c>
      <c r="F2929" t="inlineStr">
        <is>
          <t>666</t>
        </is>
      </c>
    </row>
    <row r="2930">
      <c r="A2930" t="inlineStr">
        <is>
          <t>Informe de Ensayo Oficial 61598-2021.pdf</t>
        </is>
      </c>
      <c r="B2930">
        <f>HYPERLINK("C:\Users\lmonroy\Tema\Punto 1 y 2\29-FA01-24772 ALS LS PERU SAC. 2\Informe de Ensayo Oficial 61598-2021.pdf", "Link")</f>
        <v/>
      </c>
      <c r="C2930" t="n">
        <v>460684</v>
      </c>
      <c r="D2930" t="inlineStr">
        <is>
          <t>2022-02-14 09:43:00</t>
        </is>
      </c>
      <c r="E2930" t="inlineStr">
        <is>
          <t>2024-04-18 19:20:17</t>
        </is>
      </c>
      <c r="F2930" t="inlineStr">
        <is>
          <t>666</t>
        </is>
      </c>
    </row>
    <row r="2931">
      <c r="A2931" t="inlineStr">
        <is>
          <t>OS 532.pdf</t>
        </is>
      </c>
      <c r="B2931">
        <f>HYPERLINK("C:\Users\lmonroy\Tema\Punto 1 y 2\29-FA01-24772 ALS LS PERU SAC. 2\OS 532.pdf", "Link")</f>
        <v/>
      </c>
      <c r="C2931" t="n">
        <v>146008</v>
      </c>
      <c r="D2931" t="inlineStr">
        <is>
          <t>2022-02-14 09:43:00</t>
        </is>
      </c>
      <c r="E2931" t="inlineStr">
        <is>
          <t>2024-04-18 19:20:17</t>
        </is>
      </c>
      <c r="F2931" t="inlineStr">
        <is>
          <t>666</t>
        </is>
      </c>
    </row>
    <row r="2932">
      <c r="A2932" t="inlineStr">
        <is>
          <t>Contrato Oficina 501 502 503.pdf</t>
        </is>
      </c>
      <c r="B2932">
        <f>HYPERLINK("C:\Users\lmonroy\Tema\Punto 1 y 2\30-FFA1-4872 EDIFICADORA LIDER S.A.C. 3\Contrato Oficina 501 502 503.pdf", "Link")</f>
        <v/>
      </c>
      <c r="C2932" t="n">
        <v>942543</v>
      </c>
      <c r="D2932" t="inlineStr">
        <is>
          <t>2022-08-25 17:43:17</t>
        </is>
      </c>
      <c r="E2932" t="inlineStr">
        <is>
          <t>2024-04-18 19:20:17</t>
        </is>
      </c>
      <c r="F2932" t="inlineStr">
        <is>
          <t>666</t>
        </is>
      </c>
    </row>
    <row r="2933">
      <c r="A2933" t="inlineStr">
        <is>
          <t>FT 004872 EDIFICADORA LIDER S.A.C..pdf</t>
        </is>
      </c>
      <c r="B2933">
        <f>HYPERLINK("C:\Users\lmonroy\Tema\Punto 1 y 2\30-FFA1-4872 EDIFICADORA LIDER S.A.C. 3\FT 004872 EDIFICADORA LIDER S.A.C..pdf", "Link")</f>
        <v/>
      </c>
      <c r="C2933" t="n">
        <v>103204</v>
      </c>
      <c r="D2933" t="inlineStr">
        <is>
          <t>2022-02-11 09:35:00</t>
        </is>
      </c>
      <c r="E2933" t="inlineStr">
        <is>
          <t>2024-04-18 19:20:17</t>
        </is>
      </c>
      <c r="F2933" t="inlineStr">
        <is>
          <t>666</t>
        </is>
      </c>
    </row>
    <row r="2934">
      <c r="A2934" t="inlineStr">
        <is>
          <t>Contrato Oficina 501 502 503.pdf</t>
        </is>
      </c>
      <c r="B2934">
        <f>HYPERLINK("C:\Users\lmonroy\Tema\Punto 1 y 2\31-FFA1-4910 EDIFICADORA LIDER SAC SOLES 2\Contrato Oficina 501 502 503.pdf", "Link")</f>
        <v/>
      </c>
      <c r="C2934" t="n">
        <v>942543</v>
      </c>
      <c r="D2934" t="inlineStr">
        <is>
          <t>2022-08-25 17:43:17</t>
        </is>
      </c>
      <c r="E2934" t="inlineStr">
        <is>
          <t>2024-04-18 19:20:17</t>
        </is>
      </c>
      <c r="F2934" t="inlineStr">
        <is>
          <t>666</t>
        </is>
      </c>
    </row>
    <row r="2935">
      <c r="A2935" t="inlineStr">
        <is>
          <t>FT 004910 EDIFICADORA LIDER SAC.pdf</t>
        </is>
      </c>
      <c r="B2935">
        <f>HYPERLINK("C:\Users\lmonroy\Tema\Punto 1 y 2\31-FFA1-4910 EDIFICADORA LIDER SAC SOLES 2\FT 004910 EDIFICADORA LIDER SAC.pdf", "Link")</f>
        <v/>
      </c>
      <c r="C2935" t="n">
        <v>102753</v>
      </c>
      <c r="D2935" t="inlineStr">
        <is>
          <t>2022-02-23 10:17:00</t>
        </is>
      </c>
      <c r="E2935" t="inlineStr">
        <is>
          <t>2024-04-18 19:20:17</t>
        </is>
      </c>
      <c r="F2935" t="inlineStr">
        <is>
          <t>666</t>
        </is>
      </c>
    </row>
    <row r="2936">
      <c r="A2936" t="inlineStr">
        <is>
          <t>01 Memoria Técnica 2022.02.22.pdf</t>
        </is>
      </c>
      <c r="B2936">
        <f>HYPERLINK("C:\Users\lmonroy\Tema\Punto 1 y 2\32-E001-53 ENMODEL S.A.C\01 Memoria Técnica 2022.02.22.pdf", "Link")</f>
        <v/>
      </c>
      <c r="C2936" t="n">
        <v>710137</v>
      </c>
      <c r="D2936" t="inlineStr">
        <is>
          <t>2024-04-18 17:25:54</t>
        </is>
      </c>
      <c r="E2936" t="inlineStr">
        <is>
          <t>2024-04-18 19:20:18</t>
        </is>
      </c>
      <c r="F2936" t="inlineStr">
        <is>
          <t>666</t>
        </is>
      </c>
    </row>
    <row r="2937">
      <c r="A2937" t="inlineStr">
        <is>
          <t>61555- CLS- TEMA  - ENMODEL SAC (2022)_OM.pdf</t>
        </is>
      </c>
      <c r="B2937">
        <f>HYPERLINK("C:\Users\lmonroy\Tema\Punto 1 y 2\32-E001-53 ENMODEL S.A.C\61555- CLS- TEMA  - ENMODEL SAC (2022)_OM.pdf", "Link")</f>
        <v/>
      </c>
      <c r="C2937" t="n">
        <v>2130314</v>
      </c>
      <c r="D2937" t="inlineStr">
        <is>
          <t>2022-02-18 17:43:00</t>
        </is>
      </c>
      <c r="E2937" t="inlineStr">
        <is>
          <t>2024-04-18 19:20:18</t>
        </is>
      </c>
      <c r="F2937" t="inlineStr">
        <is>
          <t>666</t>
        </is>
      </c>
    </row>
    <row r="2938">
      <c r="A2938" t="inlineStr">
        <is>
          <t>APU Alternativa 01.pdf</t>
        </is>
      </c>
      <c r="B2938">
        <f>HYPERLINK("C:\Users\lmonroy\Tema\Punto 1 y 2\32-E001-53 ENMODEL S.A.C\APU Alternativa 01.pdf", "Link")</f>
        <v/>
      </c>
      <c r="C2938" t="n">
        <v>65553</v>
      </c>
      <c r="D2938" t="inlineStr">
        <is>
          <t>2024-04-18 12:49:20</t>
        </is>
      </c>
      <c r="E2938" t="inlineStr">
        <is>
          <t>2024-04-18 19:20:18</t>
        </is>
      </c>
      <c r="F2938" t="inlineStr">
        <is>
          <t>666</t>
        </is>
      </c>
    </row>
    <row r="2939">
      <c r="A2939" t="inlineStr">
        <is>
          <t>APU Alternativa 02.pdf</t>
        </is>
      </c>
      <c r="B2939">
        <f>HYPERLINK("C:\Users\lmonroy\Tema\Punto 1 y 2\32-E001-53 ENMODEL S.A.C\APU Alternativa 02.pdf", "Link")</f>
        <v/>
      </c>
      <c r="C2939" t="n">
        <v>65543</v>
      </c>
      <c r="D2939" t="inlineStr">
        <is>
          <t>2024-04-18 12:49:23</t>
        </is>
      </c>
      <c r="E2939" t="inlineStr">
        <is>
          <t>2024-04-18 19:20:18</t>
        </is>
      </c>
      <c r="F2939" t="inlineStr">
        <is>
          <t>666</t>
        </is>
      </c>
    </row>
    <row r="2940">
      <c r="A2940" t="inlineStr">
        <is>
          <t>APU Alternativa 03.pdf</t>
        </is>
      </c>
      <c r="B2940">
        <f>HYPERLINK("C:\Users\lmonroy\Tema\Punto 1 y 2\32-E001-53 ENMODEL S.A.C\APU Alternativa 03.pdf", "Link")</f>
        <v/>
      </c>
      <c r="C2940" t="n">
        <v>65542</v>
      </c>
      <c r="D2940" t="inlineStr">
        <is>
          <t>2024-04-18 12:49:24</t>
        </is>
      </c>
      <c r="E2940" t="inlineStr">
        <is>
          <t>2024-04-18 19:20:18</t>
        </is>
      </c>
      <c r="F2940" t="inlineStr">
        <is>
          <t>666</t>
        </is>
      </c>
    </row>
    <row r="2941">
      <c r="A2941" t="inlineStr">
        <is>
          <t>FT 000053 ENMODEL SAC.pdf</t>
        </is>
      </c>
      <c r="B2941">
        <f>HYPERLINK("C:\Users\lmonroy\Tema\Punto 1 y 2\32-E001-53 ENMODEL S.A.C\FT 000053 ENMODEL SAC.pdf", "Link")</f>
        <v/>
      </c>
      <c r="C2941" t="n">
        <v>4854</v>
      </c>
      <c r="D2941" t="inlineStr">
        <is>
          <t>2022-03-10 17:31:00</t>
        </is>
      </c>
      <c r="E2941" t="inlineStr">
        <is>
          <t>2024-04-18 19:20:18</t>
        </is>
      </c>
      <c r="F2941" t="inlineStr">
        <is>
          <t>666</t>
        </is>
      </c>
    </row>
    <row r="2942">
      <c r="A2942" t="inlineStr">
        <is>
          <t>Insumos Alternativa 01.pdf</t>
        </is>
      </c>
      <c r="B2942">
        <f>HYPERLINK("C:\Users\lmonroy\Tema\Punto 1 y 2\32-E001-53 ENMODEL S.A.C\Insumos Alternativa 01.pdf", "Link")</f>
        <v/>
      </c>
      <c r="C2942" t="n">
        <v>53637</v>
      </c>
      <c r="D2942" t="inlineStr">
        <is>
          <t>2024-04-18 12:49:44</t>
        </is>
      </c>
      <c r="E2942" t="inlineStr">
        <is>
          <t>2024-04-18 19:20:18</t>
        </is>
      </c>
      <c r="F2942" t="inlineStr">
        <is>
          <t>666</t>
        </is>
      </c>
    </row>
    <row r="2943">
      <c r="A2943" t="inlineStr">
        <is>
          <t>Insumos Alternativa 02.pdf</t>
        </is>
      </c>
      <c r="B2943">
        <f>HYPERLINK("C:\Users\lmonroy\Tema\Punto 1 y 2\32-E001-53 ENMODEL S.A.C\Insumos Alternativa 02.pdf", "Link")</f>
        <v/>
      </c>
      <c r="C2943" t="n">
        <v>53645</v>
      </c>
      <c r="D2943" t="inlineStr">
        <is>
          <t>2024-04-18 12:49:45</t>
        </is>
      </c>
      <c r="E2943" t="inlineStr">
        <is>
          <t>2024-04-18 19:20:18</t>
        </is>
      </c>
      <c r="F2943" t="inlineStr">
        <is>
          <t>666</t>
        </is>
      </c>
    </row>
    <row r="2944">
      <c r="A2944" t="inlineStr">
        <is>
          <t>Insumos Alternativa 03.pdf</t>
        </is>
      </c>
      <c r="B2944">
        <f>HYPERLINK("C:\Users\lmonroy\Tema\Punto 1 y 2\32-E001-53 ENMODEL S.A.C\Insumos Alternativa 03.pdf", "Link")</f>
        <v/>
      </c>
      <c r="C2944" t="n">
        <v>53647</v>
      </c>
      <c r="D2944" t="inlineStr">
        <is>
          <t>2024-04-18 12:49:46</t>
        </is>
      </c>
      <c r="E2944" t="inlineStr">
        <is>
          <t>2024-04-18 19:20:19</t>
        </is>
      </c>
      <c r="F2944" t="inlineStr">
        <is>
          <t>666</t>
        </is>
      </c>
    </row>
    <row r="2945">
      <c r="A2945" t="inlineStr">
        <is>
          <t>OC-762.pdf</t>
        </is>
      </c>
      <c r="B2945">
        <f>HYPERLINK("C:\Users\lmonroy\Tema\Punto 1 y 2\32-E001-53 ENMODEL S.A.C\OC-762.pdf", "Link")</f>
        <v/>
      </c>
      <c r="C2945" t="n">
        <v>149824</v>
      </c>
      <c r="D2945" t="inlineStr">
        <is>
          <t>2022-03-10 17:31:00</t>
        </is>
      </c>
      <c r="E2945" t="inlineStr">
        <is>
          <t>2024-04-18 19:20:19</t>
        </is>
      </c>
      <c r="F2945" t="inlineStr">
        <is>
          <t>666</t>
        </is>
      </c>
    </row>
    <row r="2946">
      <c r="A2946" t="inlineStr">
        <is>
          <t>Presupuesto Alternativa 01.pdf</t>
        </is>
      </c>
      <c r="B2946">
        <f>HYPERLINK("C:\Users\lmonroy\Tema\Punto 1 y 2\32-E001-53 ENMODEL S.A.C\Presupuesto Alternativa 01.pdf", "Link")</f>
        <v/>
      </c>
      <c r="C2946" t="n">
        <v>63679</v>
      </c>
      <c r="D2946" t="inlineStr">
        <is>
          <t>2024-04-18 12:47:37</t>
        </is>
      </c>
      <c r="E2946" t="inlineStr">
        <is>
          <t>2024-04-18 19:20:19</t>
        </is>
      </c>
      <c r="F2946" t="inlineStr">
        <is>
          <t>666</t>
        </is>
      </c>
    </row>
    <row r="2947">
      <c r="A2947" t="inlineStr">
        <is>
          <t>Presupuesto Alternativa 02.pdf</t>
        </is>
      </c>
      <c r="B2947">
        <f>HYPERLINK("C:\Users\lmonroy\Tema\Punto 1 y 2\32-E001-53 ENMODEL S.A.C\Presupuesto Alternativa 02.pdf", "Link")</f>
        <v/>
      </c>
      <c r="C2947" t="n">
        <v>64766</v>
      </c>
      <c r="D2947" t="inlineStr">
        <is>
          <t>2024-04-18 12:47:38</t>
        </is>
      </c>
      <c r="E2947" t="inlineStr">
        <is>
          <t>2024-04-18 19:20:19</t>
        </is>
      </c>
      <c r="F2947" t="inlineStr">
        <is>
          <t>666</t>
        </is>
      </c>
    </row>
    <row r="2948">
      <c r="A2948" t="inlineStr">
        <is>
          <t>Presupuesto Alternativa 03.pdf</t>
        </is>
      </c>
      <c r="B2948">
        <f>HYPERLINK("C:\Users\lmonroy\Tema\Punto 1 y 2\32-E001-53 ENMODEL S.A.C\Presupuesto Alternativa 03.pdf", "Link")</f>
        <v/>
      </c>
      <c r="C2948" t="n">
        <v>64608</v>
      </c>
      <c r="D2948" t="inlineStr">
        <is>
          <t>2024-04-18 12:47:35</t>
        </is>
      </c>
      <c r="E2948" t="inlineStr">
        <is>
          <t>2024-04-18 19:20:19</t>
        </is>
      </c>
      <c r="F2948" t="inlineStr">
        <is>
          <t>666</t>
        </is>
      </c>
    </row>
    <row r="2949">
      <c r="A2949" t="inlineStr">
        <is>
          <t>PRJ01-TP-301 C Planos_Alternativa 1.pdf</t>
        </is>
      </c>
      <c r="B2949">
        <f>HYPERLINK("C:\Users\lmonroy\Tema\Punto 1 y 2\32-E001-53 ENMODEL S.A.C\PRJ01-TP-301 C Planos_Alternativa 1.pdf", "Link")</f>
        <v/>
      </c>
      <c r="C2949" t="n">
        <v>35511902</v>
      </c>
      <c r="D2949" t="inlineStr">
        <is>
          <t>2024-04-18 12:47:04</t>
        </is>
      </c>
      <c r="E2949" t="inlineStr">
        <is>
          <t>2024-04-18 19:20:19</t>
        </is>
      </c>
      <c r="F2949" t="inlineStr">
        <is>
          <t>666</t>
        </is>
      </c>
    </row>
    <row r="2950">
      <c r="A2950" t="inlineStr">
        <is>
          <t>PRJ01-TP-302 C Planos_Alternativa 2.pdf</t>
        </is>
      </c>
      <c r="B2950">
        <f>HYPERLINK("C:\Users\lmonroy\Tema\Punto 1 y 2\32-E001-53 ENMODEL S.A.C\PRJ01-TP-302 C Planos_Alternativa 2.pdf", "Link")</f>
        <v/>
      </c>
      <c r="C2950" t="n">
        <v>15374107</v>
      </c>
      <c r="D2950" t="inlineStr">
        <is>
          <t>2024-04-18 12:47:07</t>
        </is>
      </c>
      <c r="E2950" t="inlineStr">
        <is>
          <t>2024-04-18 19:20:21</t>
        </is>
      </c>
      <c r="F2950" t="inlineStr">
        <is>
          <t>666</t>
        </is>
      </c>
    </row>
    <row r="2951">
      <c r="A2951" t="inlineStr">
        <is>
          <t>PRJ01-TP-303 C Plano_Alternativa 3.pdf</t>
        </is>
      </c>
      <c r="B2951">
        <f>HYPERLINK("C:\Users\lmonroy\Tema\Punto 1 y 2\32-E001-53 ENMODEL S.A.C\PRJ01-TP-303 C Plano_Alternativa 3.pdf", "Link")</f>
        <v/>
      </c>
      <c r="C2951" t="n">
        <v>58257078</v>
      </c>
      <c r="D2951" t="inlineStr">
        <is>
          <t>2024-04-18 12:47:15</t>
        </is>
      </c>
      <c r="E2951" t="inlineStr">
        <is>
          <t>2024-04-18 19:20:21</t>
        </is>
      </c>
      <c r="F2951" t="inlineStr">
        <is>
          <t>666</t>
        </is>
      </c>
    </row>
    <row r="2952">
      <c r="A2952" t="inlineStr">
        <is>
          <t>33-OS  AC3 CONSULTORES E.I.R.L FT 63.pdf</t>
        </is>
      </c>
      <c r="B2952">
        <f>HYPERLINK("C:\Users\lmonroy\Tema\Punto 1 y 2\33-E001-63 AC3 CONSULTORES EIRL\33-OS  AC3 CONSULTORES E.I.R.L FT 63.pdf", "Link")</f>
        <v/>
      </c>
      <c r="C2952" t="n">
        <v>78835</v>
      </c>
      <c r="D2952" t="inlineStr">
        <is>
          <t>2024-04-18 10:41:00</t>
        </is>
      </c>
      <c r="E2952" t="inlineStr">
        <is>
          <t>2024-04-18 19:20:24</t>
        </is>
      </c>
      <c r="F2952" t="inlineStr">
        <is>
          <t>666</t>
        </is>
      </c>
    </row>
    <row r="2953">
      <c r="A2953" t="inlineStr">
        <is>
          <t>FT 000063 AC3 CONSULTORES EIRL.pdf</t>
        </is>
      </c>
      <c r="B2953">
        <f>HYPERLINK("C:\Users\lmonroy\Tema\Punto 1 y 2\33-E001-63 AC3 CONSULTORES EIRL\FT 000063 AC3 CONSULTORES EIRL.pdf", "Link")</f>
        <v/>
      </c>
      <c r="C2953" t="n">
        <v>64729</v>
      </c>
      <c r="D2953" t="inlineStr">
        <is>
          <t>2022-03-02 10:23:00</t>
        </is>
      </c>
      <c r="E2953" t="inlineStr">
        <is>
          <t>2024-04-18 19:20:24</t>
        </is>
      </c>
      <c r="F2953" t="inlineStr">
        <is>
          <t>666</t>
        </is>
      </c>
    </row>
    <row r="2954">
      <c r="A2954" t="inlineStr">
        <is>
          <t>Informe Técnico Febrero 2022 TEMA__.pdf</t>
        </is>
      </c>
      <c r="B2954">
        <f>HYPERLINK("C:\Users\lmonroy\Tema\Punto 1 y 2\33-E001-63 AC3 CONSULTORES EIRL\Informe Técnico Febrero 2022 TEMA__.pdf", "Link")</f>
        <v/>
      </c>
      <c r="C2954" t="n">
        <v>351918</v>
      </c>
      <c r="D2954" t="inlineStr">
        <is>
          <t>2024-04-18 17:26:52</t>
        </is>
      </c>
      <c r="E2954" t="inlineStr">
        <is>
          <t>2024-04-18 19:20:24</t>
        </is>
      </c>
      <c r="F2954" t="inlineStr">
        <is>
          <t>666</t>
        </is>
      </c>
    </row>
    <row r="2955">
      <c r="A2955" t="inlineStr">
        <is>
          <t>CONTRATO N° 128.pdf</t>
        </is>
      </c>
      <c r="B2955">
        <f>HYPERLINK("C:\Users\lmonroy\Tema\Punto 1 y 2\34-E001-432 AGORA SERVICIOS MULTIPLES S.A.C\CONTRATO N° 128.pdf", "Link")</f>
        <v/>
      </c>
      <c r="C2955" t="n">
        <v>298393</v>
      </c>
      <c r="D2955" t="inlineStr">
        <is>
          <t>2024-04-18 15:35:06</t>
        </is>
      </c>
      <c r="E2955" t="inlineStr">
        <is>
          <t>2024-04-18 19:20:24</t>
        </is>
      </c>
      <c r="F2955" t="inlineStr">
        <is>
          <t>666</t>
        </is>
      </c>
    </row>
    <row r="2956">
      <c r="A2956" t="inlineStr">
        <is>
          <t>FT 000432 AGORA SERVICIOS MULTIPLES SAC.pdf</t>
        </is>
      </c>
      <c r="B2956">
        <f>HYPERLINK("C:\Users\lmonroy\Tema\Punto 1 y 2\34-E001-432 AGORA SERVICIOS MULTIPLES S.A.C\FT 000432 AGORA SERVICIOS MULTIPLES SAC.pdf", "Link")</f>
        <v/>
      </c>
      <c r="C2956" t="n">
        <v>121804</v>
      </c>
      <c r="D2956" t="inlineStr">
        <is>
          <t>2022-03-07 08:35:10</t>
        </is>
      </c>
      <c r="E2956" t="inlineStr">
        <is>
          <t>2024-04-18 19:20:24</t>
        </is>
      </c>
      <c r="F2956" t="inlineStr">
        <is>
          <t>666</t>
        </is>
      </c>
    </row>
    <row r="2957">
      <c r="A2957" t="inlineStr">
        <is>
          <t>OC-771.pdf</t>
        </is>
      </c>
      <c r="B2957">
        <f>HYPERLINK("C:\Users\lmonroy\Tema\Punto 1 y 2\34-E001-432 AGORA SERVICIOS MULTIPLES S.A.C\OC-771.pdf", "Link")</f>
        <v/>
      </c>
      <c r="C2957" t="n">
        <v>83939</v>
      </c>
      <c r="D2957" t="inlineStr">
        <is>
          <t>2022-03-02 13:08:00</t>
        </is>
      </c>
      <c r="E2957" t="inlineStr">
        <is>
          <t>2024-04-18 19:20:24</t>
        </is>
      </c>
      <c r="F2957" t="inlineStr">
        <is>
          <t>666</t>
        </is>
      </c>
    </row>
    <row r="2958">
      <c r="A2958" t="inlineStr">
        <is>
          <t>CONTRATO N° 129.pdf</t>
        </is>
      </c>
      <c r="B2958">
        <f>HYPERLINK("C:\Users\lmonroy\Tema\Punto 1 y 2\35-E001-433 AGORA SERVICIOS MULTIPLES S.A.C\CONTRATO N° 129.pdf", "Link")</f>
        <v/>
      </c>
      <c r="C2958" t="n">
        <v>293256</v>
      </c>
      <c r="D2958" t="inlineStr">
        <is>
          <t>2024-04-18 15:34:37</t>
        </is>
      </c>
      <c r="E2958" t="inlineStr">
        <is>
          <t>2024-04-18 19:20:24</t>
        </is>
      </c>
      <c r="F2958" t="inlineStr">
        <is>
          <t>666</t>
        </is>
      </c>
    </row>
    <row r="2959">
      <c r="A2959" t="inlineStr">
        <is>
          <t>FT 000433 AGORA SERVICIOS MULTIPLES SAC.pdf</t>
        </is>
      </c>
      <c r="B2959">
        <f>HYPERLINK("C:\Users\lmonroy\Tema\Punto 1 y 2\35-E001-433 AGORA SERVICIOS MULTIPLES S.A.C\FT 000433 AGORA SERVICIOS MULTIPLES SAC.pdf", "Link")</f>
        <v/>
      </c>
      <c r="C2959" t="n">
        <v>140499</v>
      </c>
      <c r="D2959" t="inlineStr">
        <is>
          <t>2024-04-17 20:39:53</t>
        </is>
      </c>
      <c r="E2959" t="inlineStr">
        <is>
          <t>2024-04-18 19:20:24</t>
        </is>
      </c>
      <c r="F2959" t="inlineStr">
        <is>
          <t>666</t>
        </is>
      </c>
    </row>
    <row r="2960">
      <c r="A2960" t="inlineStr">
        <is>
          <t>OC-771.pdf</t>
        </is>
      </c>
      <c r="B2960">
        <f>HYPERLINK("C:\Users\lmonroy\Tema\Punto 1 y 2\35-E001-433 AGORA SERVICIOS MULTIPLES S.A.C\OC-771.pdf", "Link")</f>
        <v/>
      </c>
      <c r="C2960" t="n">
        <v>83939</v>
      </c>
      <c r="D2960" t="inlineStr">
        <is>
          <t>2022-03-02 13:08:00</t>
        </is>
      </c>
      <c r="E2960" t="inlineStr">
        <is>
          <t>2024-04-18 19:20:24</t>
        </is>
      </c>
      <c r="F2960" t="inlineStr">
        <is>
          <t>666</t>
        </is>
      </c>
    </row>
    <row r="2961">
      <c r="A2961" t="inlineStr">
        <is>
          <t>CONTRATO N° 124.pdf</t>
        </is>
      </c>
      <c r="B2961">
        <f>HYPERLINK("C:\Users\lmonroy\Tema\Punto 1 y 2\36-E001-437 AGORA SERVICIOS MULTIPLES S.A.C. 3\CONTRATO N° 124.pdf", "Link")</f>
        <v/>
      </c>
      <c r="C2961" t="n">
        <v>297049</v>
      </c>
      <c r="D2961" t="inlineStr">
        <is>
          <t>2024-04-18 15:30:47</t>
        </is>
      </c>
      <c r="E2961" t="inlineStr">
        <is>
          <t>2024-04-18 19:20:25</t>
        </is>
      </c>
      <c r="F2961" t="inlineStr">
        <is>
          <t>666</t>
        </is>
      </c>
    </row>
    <row r="2962">
      <c r="A2962" t="inlineStr">
        <is>
          <t>FT 000437 AGORA SERVICIOS MUTIPLES SAC.pdf</t>
        </is>
      </c>
      <c r="B2962">
        <f>HYPERLINK("C:\Users\lmonroy\Tema\Punto 1 y 2\36-E001-437 AGORA SERVICIOS MULTIPLES S.A.C. 3\FT 000437 AGORA SERVICIOS MUTIPLES SAC.pdf", "Link")</f>
        <v/>
      </c>
      <c r="C2962" t="n">
        <v>100059</v>
      </c>
      <c r="D2962" t="inlineStr">
        <is>
          <t>2022-03-07 09:58:00</t>
        </is>
      </c>
      <c r="E2962" t="inlineStr">
        <is>
          <t>2024-04-18 19:20:25</t>
        </is>
      </c>
      <c r="F2962" t="inlineStr">
        <is>
          <t>666</t>
        </is>
      </c>
    </row>
    <row r="2963">
      <c r="A2963" t="inlineStr">
        <is>
          <t>FACTURA E001-445 KIT DE EMBRAGUE 12-01-22.pdf</t>
        </is>
      </c>
      <c r="B2963">
        <f>HYPERLINK("C:\Users\lmonroy\Tema\Punto 1 y 2\37-E001-445 AGORA SERVICIOS MULTIPLES SOCIEDAD ANONI\FACTURA E001-445 KIT DE EMBRAGUE 12-01-22.pdf", "Link")</f>
        <v/>
      </c>
      <c r="C2963" t="n">
        <v>123700</v>
      </c>
      <c r="D2963" t="inlineStr">
        <is>
          <t>2022-03-21 11:39:00</t>
        </is>
      </c>
      <c r="E2963" t="inlineStr">
        <is>
          <t>2024-04-18 19:20:25</t>
        </is>
      </c>
      <c r="F2963" t="inlineStr">
        <is>
          <t>666</t>
        </is>
      </c>
    </row>
    <row r="2964">
      <c r="A2964" t="inlineStr">
        <is>
          <t>INFORME POR MANTENIMIENTO.pdf</t>
        </is>
      </c>
      <c r="B2964">
        <f>HYPERLINK("C:\Users\lmonroy\Tema\Punto 1 y 2\37-E001-445 AGORA SERVICIOS MULTIPLES SOCIEDAD ANONI\INFORME POR MANTENIMIENTO.pdf", "Link")</f>
        <v/>
      </c>
      <c r="C2964" t="n">
        <v>763929</v>
      </c>
      <c r="D2964" t="inlineStr">
        <is>
          <t>2022-03-21 11:39:00</t>
        </is>
      </c>
      <c r="E2964" t="inlineStr">
        <is>
          <t>2024-04-18 19:20:25</t>
        </is>
      </c>
      <c r="F2964" t="inlineStr">
        <is>
          <t>666</t>
        </is>
      </c>
    </row>
    <row r="2965">
      <c r="A2965" t="inlineStr">
        <is>
          <t>ORDEN DE SERVICIO SETIEMBRE21-ENERO22.pdf</t>
        </is>
      </c>
      <c r="B2965">
        <f>HYPERLINK("C:\Users\lmonroy\Tema\Punto 1 y 2\37-E001-445 AGORA SERVICIOS MULTIPLES SOCIEDAD ANONI\ORDEN DE SERVICIO SETIEMBRE21-ENERO22.pdf", "Link")</f>
        <v/>
      </c>
      <c r="C2965" t="n">
        <v>1402555</v>
      </c>
      <c r="D2965" t="inlineStr">
        <is>
          <t>2022-03-21 11:39:00</t>
        </is>
      </c>
      <c r="E2965" t="inlineStr">
        <is>
          <t>2024-04-18 19:20:25</t>
        </is>
      </c>
      <c r="F2965" t="inlineStr">
        <is>
          <t>666</t>
        </is>
      </c>
    </row>
    <row r="2966">
      <c r="A2966" t="inlineStr">
        <is>
          <t>38-OS CORPORACIÓN SURE SAC . FT 580.pdf</t>
        </is>
      </c>
      <c r="B2966">
        <f>HYPERLINK("C:\Users\lmonroy\Tema\Punto 1 y 2\38-E001-580 CORPORACION SURE SAC\38-OS CORPORACIÓN SURE SAC . FT 580.pdf", "Link")</f>
        <v/>
      </c>
      <c r="C2966" t="n">
        <v>80489</v>
      </c>
      <c r="D2966" t="inlineStr">
        <is>
          <t>2024-04-18 10:41:00</t>
        </is>
      </c>
      <c r="E2966" t="inlineStr">
        <is>
          <t>2024-04-18 19:20:25</t>
        </is>
      </c>
      <c r="F2966" t="inlineStr">
        <is>
          <t>666</t>
        </is>
      </c>
    </row>
    <row r="2967">
      <c r="A2967" t="inlineStr">
        <is>
          <t>FT 000580 CORPORACION SURE SAC.pdf</t>
        </is>
      </c>
      <c r="B2967">
        <f>HYPERLINK("C:\Users\lmonroy\Tema\Punto 1 y 2\38-E001-580 CORPORACION SURE SAC\FT 000580 CORPORACION SURE SAC.pdf", "Link")</f>
        <v/>
      </c>
      <c r="C2967" t="n">
        <v>4961</v>
      </c>
      <c r="D2967" t="inlineStr">
        <is>
          <t>2022-03-04 10:24:00</t>
        </is>
      </c>
      <c r="E2967" t="inlineStr">
        <is>
          <t>2024-04-18 19:20:25</t>
        </is>
      </c>
      <c r="F2967" t="inlineStr">
        <is>
          <t>666</t>
        </is>
      </c>
    </row>
    <row r="2968">
      <c r="A2968" t="inlineStr">
        <is>
          <t>Informe Técnico Febrero 2022.pdf</t>
        </is>
      </c>
      <c r="B2968">
        <f>HYPERLINK("C:\Users\lmonroy\Tema\Punto 1 y 2\38-E001-580 CORPORACION SURE SAC\Informe Técnico Febrero 2022.pdf", "Link")</f>
        <v/>
      </c>
      <c r="C2968" t="n">
        <v>380473</v>
      </c>
      <c r="D2968" t="inlineStr">
        <is>
          <t>2024-04-18 17:28:05</t>
        </is>
      </c>
      <c r="E2968" t="inlineStr">
        <is>
          <t>2024-04-18 19:20:25</t>
        </is>
      </c>
      <c r="F2968" t="inlineStr">
        <is>
          <t>666</t>
        </is>
      </c>
    </row>
    <row r="2969">
      <c r="A2969" t="inlineStr">
        <is>
          <t>39-OS CORPORACIÓN SURE SAC FT 581.pdf</t>
        </is>
      </c>
      <c r="B2969">
        <f>HYPERLINK("C:\Users\lmonroy\Tema\Punto 1 y 2\39-E001-581 CORPORACION SURE SAC 2\39-OS CORPORACIÓN SURE SAC FT 581.pdf", "Link")</f>
        <v/>
      </c>
      <c r="C2969" t="n">
        <v>81624</v>
      </c>
      <c r="D2969" t="inlineStr">
        <is>
          <t>2024-04-18 10:41:00</t>
        </is>
      </c>
      <c r="E2969" t="inlineStr">
        <is>
          <t>2024-04-18 19:20:25</t>
        </is>
      </c>
      <c r="F2969" t="inlineStr">
        <is>
          <t>666</t>
        </is>
      </c>
    </row>
    <row r="2970">
      <c r="A2970" t="inlineStr">
        <is>
          <t>FT 000581 CORPORACION SURE SAC.pdf</t>
        </is>
      </c>
      <c r="B2970">
        <f>HYPERLINK("C:\Users\lmonroy\Tema\Punto 1 y 2\39-E001-581 CORPORACION SURE SAC 2\FT 000581 CORPORACION SURE SAC.pdf", "Link")</f>
        <v/>
      </c>
      <c r="C2970" t="n">
        <v>4866</v>
      </c>
      <c r="D2970" t="inlineStr">
        <is>
          <t>2022-03-04 14:11:00</t>
        </is>
      </c>
      <c r="E2970" t="inlineStr">
        <is>
          <t>2024-04-18 19:20:25</t>
        </is>
      </c>
      <c r="F2970" t="inlineStr">
        <is>
          <t>666</t>
        </is>
      </c>
    </row>
    <row r="2971">
      <c r="A2971" t="inlineStr">
        <is>
          <t>Informe QMS EMS SST Febrero 2022.pdf</t>
        </is>
      </c>
      <c r="B2971">
        <f>HYPERLINK("C:\Users\lmonroy\Tema\Punto 1 y 2\39-E001-581 CORPORACION SURE SAC 2\Informe QMS EMS SST Febrero 2022.pdf", "Link")</f>
        <v/>
      </c>
      <c r="C2971" t="n">
        <v>137166</v>
      </c>
      <c r="D2971" t="inlineStr">
        <is>
          <t>2024-04-18 17:29:15</t>
        </is>
      </c>
      <c r="E2971" t="inlineStr">
        <is>
          <t>2024-04-18 19:20:26</t>
        </is>
      </c>
      <c r="F2971" t="inlineStr">
        <is>
          <t>666</t>
        </is>
      </c>
    </row>
    <row r="2972">
      <c r="A2972" t="inlineStr">
        <is>
          <t>13552-2021-10 (Valorización).xlsm</t>
        </is>
      </c>
      <c r="B2972">
        <f>HYPERLINK("C:\Users\lmonroy\Tema\Punto 1 y 2\40-FA01-25082 ALS LS PERU S.A.C\13552-2021-10 (Valorización).xlsm", "Link")</f>
        <v/>
      </c>
      <c r="C2972" t="n">
        <v>108490</v>
      </c>
      <c r="D2972" t="inlineStr">
        <is>
          <t>2022-03-11 09:51:00</t>
        </is>
      </c>
      <c r="E2972" t="inlineStr">
        <is>
          <t>2024-04-18 19:20:26</t>
        </is>
      </c>
      <c r="F2972" t="inlineStr">
        <is>
          <t>666</t>
        </is>
      </c>
    </row>
    <row r="2973">
      <c r="A2973" t="inlineStr">
        <is>
          <t>FT 025082 ALS PERU SAC.pdf</t>
        </is>
      </c>
      <c r="B2973">
        <f>HYPERLINK("C:\Users\lmonroy\Tema\Punto 1 y 2\40-FA01-25082 ALS LS PERU S.A.C\FT 025082 ALS PERU SAC.pdf", "Link")</f>
        <v/>
      </c>
      <c r="C2973" t="n">
        <v>13802</v>
      </c>
      <c r="D2973" t="inlineStr">
        <is>
          <t>2022-03-11 09:51:00</t>
        </is>
      </c>
      <c r="E2973" t="inlineStr">
        <is>
          <t>2024-04-18 19:20:26</t>
        </is>
      </c>
      <c r="F2973" t="inlineStr">
        <is>
          <t>666</t>
        </is>
      </c>
    </row>
    <row r="2974">
      <c r="A2974" t="inlineStr">
        <is>
          <t>Informe de Ensayo Preliminar 2587-2022.pdf</t>
        </is>
      </c>
      <c r="B2974">
        <f>HYPERLINK("C:\Users\lmonroy\Tema\Punto 1 y 2\40-FA01-25082 ALS LS PERU S.A.C\Informe de Ensayo Preliminar 2587-2022.pdf", "Link")</f>
        <v/>
      </c>
      <c r="C2974" t="n">
        <v>392215</v>
      </c>
      <c r="D2974" t="inlineStr">
        <is>
          <t>2022-03-11 09:51:00</t>
        </is>
      </c>
      <c r="E2974" t="inlineStr">
        <is>
          <t>2024-04-18 19:20:26</t>
        </is>
      </c>
      <c r="F2974" t="inlineStr">
        <is>
          <t>666</t>
        </is>
      </c>
    </row>
    <row r="2975">
      <c r="A2975" t="inlineStr">
        <is>
          <t>Informe de Ensayo Preliminar 2874-2022.pdf</t>
        </is>
      </c>
      <c r="B2975">
        <f>HYPERLINK("C:\Users\lmonroy\Tema\Punto 1 y 2\40-FA01-25082 ALS LS PERU S.A.C\Informe de Ensayo Preliminar 2874-2022.pdf", "Link")</f>
        <v/>
      </c>
      <c r="C2975" t="n">
        <v>386954</v>
      </c>
      <c r="D2975" t="inlineStr">
        <is>
          <t>2022-03-11 09:51:00</t>
        </is>
      </c>
      <c r="E2975" t="inlineStr">
        <is>
          <t>2024-04-18 19:20:26</t>
        </is>
      </c>
      <c r="F2975" t="inlineStr">
        <is>
          <t>666</t>
        </is>
      </c>
    </row>
    <row r="2976">
      <c r="A2976" t="inlineStr">
        <is>
          <t>OS 536.pdf</t>
        </is>
      </c>
      <c r="B2976">
        <f>HYPERLINK("C:\Users\lmonroy\Tema\Punto 1 y 2\40-FA01-25082 ALS LS PERU S.A.C\OS 536.pdf", "Link")</f>
        <v/>
      </c>
      <c r="C2976" t="n">
        <v>143663</v>
      </c>
      <c r="D2976" t="inlineStr">
        <is>
          <t>2022-03-11 09:51:00</t>
        </is>
      </c>
      <c r="E2976" t="inlineStr">
        <is>
          <t>2024-04-18 19:20:26</t>
        </is>
      </c>
      <c r="F2976" t="inlineStr">
        <is>
          <t>666</t>
        </is>
      </c>
    </row>
    <row r="2977">
      <c r="A2977" t="inlineStr">
        <is>
          <t>13903-2021-5 (Valorización).xlsm</t>
        </is>
      </c>
      <c r="B2977">
        <f>HYPERLINK("C:\Users\lmonroy\Tema\Punto 1 y 2\41-FA01-25129 ALS LS PERU S.A.C\13903-2021-5 (Valorización).xlsm", "Link")</f>
        <v/>
      </c>
      <c r="C2977" t="n">
        <v>106541</v>
      </c>
      <c r="D2977" t="inlineStr">
        <is>
          <t>2022-03-16 15:47:00</t>
        </is>
      </c>
      <c r="E2977" t="inlineStr">
        <is>
          <t>2024-04-18 19:20:26</t>
        </is>
      </c>
      <c r="F2977" t="inlineStr">
        <is>
          <t>666</t>
        </is>
      </c>
    </row>
    <row r="2978">
      <c r="A2978" t="inlineStr">
        <is>
          <t>FT 025129 ALS LS PERU SAC.pdf</t>
        </is>
      </c>
      <c r="B2978">
        <f>HYPERLINK("C:\Users\lmonroy\Tema\Punto 1 y 2\41-FA01-25129 ALS LS PERU S.A.C\FT 025129 ALS LS PERU SAC.pdf", "Link")</f>
        <v/>
      </c>
      <c r="C2978" t="n">
        <v>13832</v>
      </c>
      <c r="D2978" t="inlineStr">
        <is>
          <t>2022-03-16 15:47:00</t>
        </is>
      </c>
      <c r="E2978" t="inlineStr">
        <is>
          <t>2024-04-18 19:20:26</t>
        </is>
      </c>
      <c r="F2978" t="inlineStr">
        <is>
          <t>666</t>
        </is>
      </c>
    </row>
    <row r="2979">
      <c r="A2979" t="inlineStr">
        <is>
          <t>Informe de Ensayo Preliminar 4124-2022.pdf</t>
        </is>
      </c>
      <c r="B2979">
        <f>HYPERLINK("C:\Users\lmonroy\Tema\Punto 1 y 2\41-FA01-25129 ALS LS PERU S.A.C\Informe de Ensayo Preliminar 4124-2022.pdf", "Link")</f>
        <v/>
      </c>
      <c r="C2979" t="n">
        <v>366597</v>
      </c>
      <c r="D2979" t="inlineStr">
        <is>
          <t>2022-03-16 15:47:00</t>
        </is>
      </c>
      <c r="E2979" t="inlineStr">
        <is>
          <t>2024-04-18 19:20:26</t>
        </is>
      </c>
      <c r="F2979" t="inlineStr">
        <is>
          <t>666</t>
        </is>
      </c>
    </row>
    <row r="2980">
      <c r="A2980" t="inlineStr">
        <is>
          <t>os 542.pdf</t>
        </is>
      </c>
      <c r="B2980">
        <f>HYPERLINK("C:\Users\lmonroy\Tema\Punto 1 y 2\41-FA01-25129 ALS LS PERU S.A.C\os 542.pdf", "Link")</f>
        <v/>
      </c>
      <c r="C2980" t="n">
        <v>142984</v>
      </c>
      <c r="D2980" t="inlineStr">
        <is>
          <t>2022-03-16 15:47:00</t>
        </is>
      </c>
      <c r="E2980" t="inlineStr">
        <is>
          <t>2024-04-18 19:20:26</t>
        </is>
      </c>
      <c r="F2980" t="inlineStr">
        <is>
          <t>666</t>
        </is>
      </c>
    </row>
    <row r="2981">
      <c r="A2981" t="inlineStr">
        <is>
          <t>15522-2021-6 (Valorización).xlsm</t>
        </is>
      </c>
      <c r="B2981">
        <f>HYPERLINK("C:\Users\lmonroy\Tema\Punto 1 y 2\42-FA01-25130 ALS LS PERU SAC. 3\15522-2021-6 (Valorización).xlsm", "Link")</f>
        <v/>
      </c>
      <c r="C2981" t="n">
        <v>108696</v>
      </c>
      <c r="D2981" t="inlineStr">
        <is>
          <t>2022-03-17 10:16:00</t>
        </is>
      </c>
      <c r="E2981" t="inlineStr">
        <is>
          <t>2024-04-18 19:20:26</t>
        </is>
      </c>
      <c r="F2981" t="inlineStr">
        <is>
          <t>666</t>
        </is>
      </c>
    </row>
    <row r="2982">
      <c r="A2982" t="inlineStr">
        <is>
          <t>FT 025130 ALS LS PERU SAC.pdf</t>
        </is>
      </c>
      <c r="B2982">
        <f>HYPERLINK("C:\Users\lmonroy\Tema\Punto 1 y 2\42-FA01-25130 ALS LS PERU SAC. 3\FT 025130 ALS LS PERU SAC.pdf", "Link")</f>
        <v/>
      </c>
      <c r="C2982" t="n">
        <v>13775</v>
      </c>
      <c r="D2982" t="inlineStr">
        <is>
          <t>2022-03-17 10:16:00</t>
        </is>
      </c>
      <c r="E2982" t="inlineStr">
        <is>
          <t>2024-04-18 19:20:26</t>
        </is>
      </c>
      <c r="F2982" t="inlineStr">
        <is>
          <t>666</t>
        </is>
      </c>
    </row>
    <row r="2983">
      <c r="A2983" t="inlineStr">
        <is>
          <t>Informe de Ensayo Preliminar 5691-2022.pdf</t>
        </is>
      </c>
      <c r="B2983">
        <f>HYPERLINK("C:\Users\lmonroy\Tema\Punto 1 y 2\42-FA01-25130 ALS LS PERU SAC. 3\Informe de Ensayo Preliminar 5691-2022.pdf", "Link")</f>
        <v/>
      </c>
      <c r="C2983" t="n">
        <v>625859</v>
      </c>
      <c r="D2983" t="inlineStr">
        <is>
          <t>2022-03-17 10:16:00</t>
        </is>
      </c>
      <c r="E2983" t="inlineStr">
        <is>
          <t>2024-04-18 19:20:26</t>
        </is>
      </c>
      <c r="F2983" t="inlineStr">
        <is>
          <t>666</t>
        </is>
      </c>
    </row>
    <row r="2984">
      <c r="A2984" t="inlineStr">
        <is>
          <t>Informe de Ensayo Preliminar 5692-2022.pdf</t>
        </is>
      </c>
      <c r="B2984">
        <f>HYPERLINK("C:\Users\lmonroy\Tema\Punto 1 y 2\42-FA01-25130 ALS LS PERU SAC. 3\Informe de Ensayo Preliminar 5692-2022.pdf", "Link")</f>
        <v/>
      </c>
      <c r="C2984" t="n">
        <v>310595</v>
      </c>
      <c r="D2984" t="inlineStr">
        <is>
          <t>2022-03-17 10:16:00</t>
        </is>
      </c>
      <c r="E2984" t="inlineStr">
        <is>
          <t>2024-04-18 19:20:26</t>
        </is>
      </c>
      <c r="F2984" t="inlineStr">
        <is>
          <t>666</t>
        </is>
      </c>
    </row>
    <row r="2985">
      <c r="A2985" t="inlineStr">
        <is>
          <t>Informe de Ensayo Preliminar 5693-2022.pdf</t>
        </is>
      </c>
      <c r="B2985">
        <f>HYPERLINK("C:\Users\lmonroy\Tema\Punto 1 y 2\42-FA01-25130 ALS LS PERU SAC. 3\Informe de Ensayo Preliminar 5693-2022.pdf", "Link")</f>
        <v/>
      </c>
      <c r="C2985" t="n">
        <v>455670</v>
      </c>
      <c r="D2985" t="inlineStr">
        <is>
          <t>2022-03-17 10:16:00</t>
        </is>
      </c>
      <c r="E2985" t="inlineStr">
        <is>
          <t>2024-04-18 19:20:26</t>
        </is>
      </c>
      <c r="F2985" t="inlineStr">
        <is>
          <t>666</t>
        </is>
      </c>
    </row>
    <row r="2986">
      <c r="A2986" t="inlineStr">
        <is>
          <t>OS 543.pdf</t>
        </is>
      </c>
      <c r="B2986">
        <f>HYPERLINK("C:\Users\lmonroy\Tema\Punto 1 y 2\42-FA01-25130 ALS LS PERU SAC. 3\OS 543.pdf", "Link")</f>
        <v/>
      </c>
      <c r="C2986" t="n">
        <v>143579</v>
      </c>
      <c r="D2986" t="inlineStr">
        <is>
          <t>2022-03-17 10:16:00</t>
        </is>
      </c>
      <c r="E2986" t="inlineStr">
        <is>
          <t>2024-04-18 19:20:26</t>
        </is>
      </c>
      <c r="F2986" t="inlineStr">
        <is>
          <t>666</t>
        </is>
      </c>
    </row>
    <row r="2987">
      <c r="A2987" t="inlineStr">
        <is>
          <t>13903-2021-4 (Valorización).xlsm</t>
        </is>
      </c>
      <c r="B2987">
        <f>HYPERLINK("C:\Users\lmonroy\Tema\Punto 1 y 2\43-FA01-25160 ALS LS PERU SAC. 3\13903-2021-4 (Valorización).xlsm", "Link")</f>
        <v/>
      </c>
      <c r="C2987" t="n">
        <v>112060</v>
      </c>
      <c r="D2987" t="inlineStr">
        <is>
          <t>2024-04-18 10:44:19</t>
        </is>
      </c>
      <c r="E2987" t="inlineStr">
        <is>
          <t>2024-04-18 19:20:27</t>
        </is>
      </c>
      <c r="F2987" t="inlineStr">
        <is>
          <t>666</t>
        </is>
      </c>
    </row>
    <row r="2988">
      <c r="A2988" t="inlineStr">
        <is>
          <t>FT 025160 ALS LS PERU SAC.pdf</t>
        </is>
      </c>
      <c r="B2988">
        <f>HYPERLINK("C:\Users\lmonroy\Tema\Punto 1 y 2\43-FA01-25160 ALS LS PERU SAC. 3\FT 025160 ALS LS PERU SAC.pdf", "Link")</f>
        <v/>
      </c>
      <c r="C2988" t="n">
        <v>13799</v>
      </c>
      <c r="D2988" t="inlineStr">
        <is>
          <t>2022-03-22 15:27:00</t>
        </is>
      </c>
      <c r="E2988" t="inlineStr">
        <is>
          <t>2024-04-18 19:20:27</t>
        </is>
      </c>
      <c r="F2988" t="inlineStr">
        <is>
          <t>666</t>
        </is>
      </c>
    </row>
    <row r="2989">
      <c r="A2989" t="inlineStr">
        <is>
          <t>Informe de Ensayo Preliminar 77350-2021.pdf</t>
        </is>
      </c>
      <c r="B2989">
        <f>HYPERLINK("C:\Users\lmonroy\Tema\Punto 1 y 2\43-FA01-25160 ALS LS PERU SAC. 3\Informe de Ensayo Preliminar 77350-2021.pdf", "Link")</f>
        <v/>
      </c>
      <c r="C2989" t="n">
        <v>366734</v>
      </c>
      <c r="D2989" t="inlineStr">
        <is>
          <t>2024-04-18 10:44:17</t>
        </is>
      </c>
      <c r="E2989" t="inlineStr">
        <is>
          <t>2024-04-18 19:20:27</t>
        </is>
      </c>
      <c r="F2989" t="inlineStr">
        <is>
          <t>666</t>
        </is>
      </c>
    </row>
    <row r="2990">
      <c r="A2990" t="inlineStr">
        <is>
          <t>OS544.pdf</t>
        </is>
      </c>
      <c r="B2990">
        <f>HYPERLINK("C:\Users\lmonroy\Tema\Punto 1 y 2\43-FA01-25160 ALS LS PERU SAC. 3\OS544.pdf", "Link")</f>
        <v/>
      </c>
      <c r="C2990" t="n">
        <v>142970</v>
      </c>
      <c r="D2990" t="inlineStr">
        <is>
          <t>2024-04-18 10:44:18</t>
        </is>
      </c>
      <c r="E2990" t="inlineStr">
        <is>
          <t>2024-04-18 19:20:27</t>
        </is>
      </c>
      <c r="F2990" t="inlineStr">
        <is>
          <t>666</t>
        </is>
      </c>
    </row>
    <row r="2991">
      <c r="A2991" t="inlineStr">
        <is>
          <t>Contrato Oficina 501 502 503.pdf</t>
        </is>
      </c>
      <c r="B2991">
        <f>HYPERLINK("C:\Users\lmonroy\Tema\Punto 1 y 2\44-FFA1-4961 EDIFICADORA LIDER S.A.C. dolares\Contrato Oficina 501 502 503.pdf", "Link")</f>
        <v/>
      </c>
      <c r="C2991" t="n">
        <v>942543</v>
      </c>
      <c r="D2991" t="inlineStr">
        <is>
          <t>2022-08-25 17:43:17</t>
        </is>
      </c>
      <c r="E2991" t="inlineStr">
        <is>
          <t>2024-04-18 19:20:27</t>
        </is>
      </c>
      <c r="F2991" t="inlineStr">
        <is>
          <t>666</t>
        </is>
      </c>
    </row>
    <row r="2992">
      <c r="A2992" t="inlineStr">
        <is>
          <t>FT 004961 EDIFICADORA LIDER SAC.pdf</t>
        </is>
      </c>
      <c r="B2992">
        <f>HYPERLINK("C:\Users\lmonroy\Tema\Punto 1 y 2\44-FFA1-4961 EDIFICADORA LIDER S.A.C. dolares\FT 004961 EDIFICADORA LIDER SAC.pdf", "Link")</f>
        <v/>
      </c>
      <c r="C2992" t="n">
        <v>103187</v>
      </c>
      <c r="D2992" t="inlineStr">
        <is>
          <t>2022-03-11 11:14:00</t>
        </is>
      </c>
      <c r="E2992" t="inlineStr">
        <is>
          <t>2024-04-18 19:20:27</t>
        </is>
      </c>
      <c r="F2992" t="inlineStr">
        <is>
          <t>666</t>
        </is>
      </c>
    </row>
    <row r="2993">
      <c r="A2993" t="inlineStr">
        <is>
          <t>Contrato Oficina 501 502 503.pdf</t>
        </is>
      </c>
      <c r="B2993">
        <f>HYPERLINK("C:\Users\lmonroy\Tema\Punto 1 y 2\45-FFA1-4987 EDIFICADORA LIDER SAC\Contrato Oficina 501 502 503.pdf", "Link")</f>
        <v/>
      </c>
      <c r="C2993" t="n">
        <v>942543</v>
      </c>
      <c r="D2993" t="inlineStr">
        <is>
          <t>2022-08-25 17:43:17</t>
        </is>
      </c>
      <c r="E2993" t="inlineStr">
        <is>
          <t>2024-04-18 19:20:27</t>
        </is>
      </c>
      <c r="F2993" t="inlineStr">
        <is>
          <t>666</t>
        </is>
      </c>
    </row>
    <row r="2994">
      <c r="A2994" t="inlineStr">
        <is>
          <t>FT 004987 EDIFICADORA LIDER SAC.pdf</t>
        </is>
      </c>
      <c r="B2994">
        <f>HYPERLINK("C:\Users\lmonroy\Tema\Punto 1 y 2\45-FFA1-4987 EDIFICADORA LIDER SAC\FT 004987 EDIFICADORA LIDER SAC.pdf", "Link")</f>
        <v/>
      </c>
      <c r="C2994" t="n">
        <v>102844</v>
      </c>
      <c r="D2994" t="inlineStr">
        <is>
          <t>2022-03-23 15:59:00</t>
        </is>
      </c>
      <c r="E2994" t="inlineStr">
        <is>
          <t>2024-04-18 19:20:27</t>
        </is>
      </c>
      <c r="F2994" t="inlineStr">
        <is>
          <t>666</t>
        </is>
      </c>
    </row>
    <row r="2995">
      <c r="A2995" t="inlineStr">
        <is>
          <t>CALENDARIO DE PAGO.pdf</t>
        </is>
      </c>
      <c r="B2995">
        <f>HYPERLINK("C:\Users\lmonroy\Tema\Punto 1 y 2\46-FL00-227758 BANCO BBVA PERÚ\CALENDARIO DE PAGO.pdf", "Link")</f>
        <v/>
      </c>
      <c r="C2995" t="n">
        <v>7945</v>
      </c>
      <c r="D2995" t="inlineStr">
        <is>
          <t>2022-03-04 20:09:17</t>
        </is>
      </c>
      <c r="E2995" t="inlineStr">
        <is>
          <t>2024-04-18 19:20:27</t>
        </is>
      </c>
      <c r="F2995" t="inlineStr">
        <is>
          <t>666</t>
        </is>
      </c>
    </row>
    <row r="2996">
      <c r="A2996" t="inlineStr">
        <is>
          <t>CONTRATO LEASING VEHICULAR.pdf</t>
        </is>
      </c>
      <c r="B2996">
        <f>HYPERLINK("C:\Users\lmonroy\Tema\Punto 1 y 2\46-FL00-227758 BANCO BBVA PERÚ\CONTRATO LEASING VEHICULAR.pdf", "Link")</f>
        <v/>
      </c>
      <c r="C2996" t="n">
        <v>1964631</v>
      </c>
      <c r="D2996" t="inlineStr">
        <is>
          <t>2022-04-19 09:52:00</t>
        </is>
      </c>
      <c r="E2996" t="inlineStr">
        <is>
          <t>2024-04-18 19:20:27</t>
        </is>
      </c>
      <c r="F2996" t="inlineStr">
        <is>
          <t>666</t>
        </is>
      </c>
    </row>
    <row r="2997">
      <c r="A2997" t="inlineStr">
        <is>
          <t>FT 227758 BBVA.pdf</t>
        </is>
      </c>
      <c r="B2997">
        <f>HYPERLINK("C:\Users\lmonroy\Tema\Punto 1 y 2\46-FL00-227758 BANCO BBVA PERÚ\FT 227758 BBVA.pdf", "Link")</f>
        <v/>
      </c>
      <c r="C2997" t="n">
        <v>29811</v>
      </c>
      <c r="D2997" t="inlineStr">
        <is>
          <t>2022-04-05 10:05:00</t>
        </is>
      </c>
      <c r="E2997" t="inlineStr">
        <is>
          <t>2024-04-18 19:20:27</t>
        </is>
      </c>
      <c r="F2997" t="inlineStr">
        <is>
          <t>666</t>
        </is>
      </c>
    </row>
    <row r="2998">
      <c r="A2998" t="inlineStr">
        <is>
          <t>20100130204-01-FL00-00227759.pdf</t>
        </is>
      </c>
      <c r="B2998">
        <f>HYPERLINK("C:\Users\lmonroy\Tema\Punto 1 y 2\47-FL00-227759 BBVA\20100130204-01-FL00-00227759.pdf", "Link")</f>
        <v/>
      </c>
      <c r="C2998" t="n">
        <v>29711</v>
      </c>
      <c r="D2998" t="inlineStr">
        <is>
          <t>2022-04-07 17:51:00</t>
        </is>
      </c>
      <c r="E2998" t="inlineStr">
        <is>
          <t>2024-04-18 19:20:27</t>
        </is>
      </c>
      <c r="F2998" t="inlineStr">
        <is>
          <t>666</t>
        </is>
      </c>
    </row>
    <row r="2999">
      <c r="A2999" t="inlineStr">
        <is>
          <t>CONTRATO LEASING VEHICULAR.pdf</t>
        </is>
      </c>
      <c r="B2999">
        <f>HYPERLINK("C:\Users\lmonroy\Tema\Punto 1 y 2\47-FL00-227759 BBVA\CONTRATO LEASING VEHICULAR.pdf", "Link")</f>
        <v/>
      </c>
      <c r="C2999" t="n">
        <v>1964631</v>
      </c>
      <c r="D2999" t="inlineStr">
        <is>
          <t>2022-04-19 09:52:00</t>
        </is>
      </c>
      <c r="E2999" t="inlineStr">
        <is>
          <t>2024-04-18 19:20:27</t>
        </is>
      </c>
      <c r="F2999" t="inlineStr">
        <is>
          <t>666</t>
        </is>
      </c>
    </row>
    <row r="3000">
      <c r="A3000" t="inlineStr">
        <is>
          <t>61946- CLS- TEMA - ENMODEL SAC(rv0)_OM.pdf</t>
        </is>
      </c>
      <c r="B3000">
        <f>HYPERLINK("C:\Users\lmonroy\Tema\Punto 1 y 2\48-E001-65 ENMODEL S.A.C\61946- CLS- TEMA - ENMODEL SAC(rv0)_OM.pdf", "Link")</f>
        <v/>
      </c>
      <c r="C3000" t="n">
        <v>711319</v>
      </c>
      <c r="D3000" t="inlineStr">
        <is>
          <t>2022-04-22 15:51:00</t>
        </is>
      </c>
      <c r="E3000" t="inlineStr">
        <is>
          <t>2024-04-18 19:20:28</t>
        </is>
      </c>
      <c r="F3000" t="inlineStr">
        <is>
          <t>666</t>
        </is>
      </c>
    </row>
    <row r="3001">
      <c r="A3001" t="inlineStr">
        <is>
          <t>FT 000065 ENMODEL SAC.pdf</t>
        </is>
      </c>
      <c r="B3001">
        <f>HYPERLINK("C:\Users\lmonroy\Tema\Punto 1 y 2\48-E001-65 ENMODEL S.A.C\FT 000065 ENMODEL SAC.pdf", "Link")</f>
        <v/>
      </c>
      <c r="C3001" t="n">
        <v>4798</v>
      </c>
      <c r="D3001" t="inlineStr">
        <is>
          <t>2022-04-22 15:51:00</t>
        </is>
      </c>
      <c r="E3001" t="inlineStr">
        <is>
          <t>2024-04-18 19:20:28</t>
        </is>
      </c>
      <c r="F3001" t="inlineStr">
        <is>
          <t>666</t>
        </is>
      </c>
    </row>
    <row r="3002">
      <c r="A3002" t="inlineStr">
        <is>
          <t>OC-799.pdf</t>
        </is>
      </c>
      <c r="B3002">
        <f>HYPERLINK("C:\Users\lmonroy\Tema\Punto 1 y 2\48-E001-65 ENMODEL S.A.C\OC-799.pdf", "Link")</f>
        <v/>
      </c>
      <c r="C3002" t="n">
        <v>131733</v>
      </c>
      <c r="D3002" t="inlineStr">
        <is>
          <t>2022-04-22 15:51:00</t>
        </is>
      </c>
      <c r="E3002" t="inlineStr">
        <is>
          <t>2024-04-18 19:20:28</t>
        </is>
      </c>
      <c r="F3002" t="inlineStr">
        <is>
          <t>666</t>
        </is>
      </c>
    </row>
    <row r="3003">
      <c r="A3003" t="inlineStr">
        <is>
          <t>49-OS  AC3 CONSULTORES E.I.R.L FT 65.pdf</t>
        </is>
      </c>
      <c r="B3003">
        <f>HYPERLINK("C:\Users\lmonroy\Tema\Punto 1 y 2\49-E001-65 AC3 CONSULTORES EIRL\49-OS  AC3 CONSULTORES E.I.R.L FT 65.pdf", "Link")</f>
        <v/>
      </c>
      <c r="C3003" t="n">
        <v>78835</v>
      </c>
      <c r="D3003" t="inlineStr">
        <is>
          <t>2024-04-18 10:41:00</t>
        </is>
      </c>
      <c r="E3003" t="inlineStr">
        <is>
          <t>2024-04-18 19:20:28</t>
        </is>
      </c>
      <c r="F3003" t="inlineStr">
        <is>
          <t>666</t>
        </is>
      </c>
    </row>
    <row r="3004">
      <c r="A3004" t="inlineStr">
        <is>
          <t>Informe Técnico Marzo 2022 TEMA__.pdf</t>
        </is>
      </c>
      <c r="B3004">
        <f>HYPERLINK("C:\Users\lmonroy\Tema\Punto 1 y 2\49-E001-65 AC3 CONSULTORES EIRL\Informe Técnico Marzo 2022 TEMA__.pdf", "Link")</f>
        <v/>
      </c>
      <c r="C3004" t="n">
        <v>348827</v>
      </c>
      <c r="D3004" t="inlineStr">
        <is>
          <t>2024-04-18 17:30:42</t>
        </is>
      </c>
      <c r="E3004" t="inlineStr">
        <is>
          <t>2024-04-18 19:20:28</t>
        </is>
      </c>
      <c r="F3004" t="inlineStr">
        <is>
          <t>666</t>
        </is>
      </c>
    </row>
    <row r="3005">
      <c r="A3005" t="inlineStr">
        <is>
          <t>PDF-DOC-E001-6520604726264 Tema Marzo.pdf</t>
        </is>
      </c>
      <c r="B3005">
        <f>HYPERLINK("C:\Users\lmonroy\Tema\Punto 1 y 2\49-E001-65 AC3 CONSULTORES EIRL\PDF-DOC-E001-6520604726264 Tema Marzo.pdf", "Link")</f>
        <v/>
      </c>
      <c r="C3005" t="n">
        <v>4085</v>
      </c>
      <c r="D3005" t="inlineStr">
        <is>
          <t>2022-04-05 13:04:00</t>
        </is>
      </c>
      <c r="E3005" t="inlineStr">
        <is>
          <t>2024-04-18 19:20:28</t>
        </is>
      </c>
      <c r="F3005" t="inlineStr">
        <is>
          <t>666</t>
        </is>
      </c>
    </row>
    <row r="3006">
      <c r="A3006" t="inlineStr">
        <is>
          <t>FT 000106 ECHE CLAVIJO GIL LUIS.pdf</t>
        </is>
      </c>
      <c r="B3006">
        <f>HYPERLINK("C:\Users\lmonroy\Tema\Punto 1 y 2\50-E001-106 ECHE CLAVIJO GIL LUIS\FT 000106 ECHE CLAVIJO GIL LUIS.pdf", "Link")</f>
        <v/>
      </c>
      <c r="C3006" t="n">
        <v>4217</v>
      </c>
      <c r="D3006" t="inlineStr">
        <is>
          <t>2022-04-22 19:07:00</t>
        </is>
      </c>
      <c r="E3006" t="inlineStr">
        <is>
          <t>2024-04-18 19:20:28</t>
        </is>
      </c>
      <c r="F3006" t="inlineStr">
        <is>
          <t>666</t>
        </is>
      </c>
    </row>
    <row r="3007">
      <c r="A3007" t="inlineStr">
        <is>
          <t>OC-802.pdf</t>
        </is>
      </c>
      <c r="B3007">
        <f>HYPERLINK("C:\Users\lmonroy\Tema\Punto 1 y 2\50-E001-106 ECHE CLAVIJO GIL LUIS\OC-802.pdf", "Link")</f>
        <v/>
      </c>
      <c r="C3007" t="n">
        <v>77908</v>
      </c>
      <c r="D3007" t="inlineStr">
        <is>
          <t>2022-04-22 19:07:00</t>
        </is>
      </c>
      <c r="E3007" t="inlineStr">
        <is>
          <t>2024-04-18 19:20:28</t>
        </is>
      </c>
      <c r="F3007" t="inlineStr">
        <is>
          <t>666</t>
        </is>
      </c>
    </row>
    <row r="3008">
      <c r="A3008" t="inlineStr">
        <is>
          <t>PLANILLA PERSONAL TEMA EL ALTO.pdf</t>
        </is>
      </c>
      <c r="B3008">
        <f>HYPERLINK("C:\Users\lmonroy\Tema\Punto 1 y 2\50-E001-106 ECHE CLAVIJO GIL LUIS\PLANILLA PERSONAL TEMA EL ALTO.pdf", "Link")</f>
        <v/>
      </c>
      <c r="C3008" t="n">
        <v>1191395</v>
      </c>
      <c r="D3008" t="inlineStr">
        <is>
          <t>2022-04-22 19:07:00</t>
        </is>
      </c>
      <c r="E3008" t="inlineStr">
        <is>
          <t>2024-04-18 19:20:28</t>
        </is>
      </c>
      <c r="F3008" t="inlineStr">
        <is>
          <t>666</t>
        </is>
      </c>
    </row>
    <row r="3009">
      <c r="A3009" t="inlineStr">
        <is>
          <t>VALORIZACION TEMA 18-22-ABRIL-2022.pdf</t>
        </is>
      </c>
      <c r="B3009">
        <f>HYPERLINK("C:\Users\lmonroy\Tema\Punto 1 y 2\50-E001-106 ECHE CLAVIJO GIL LUIS\VALORIZACION TEMA 18-22-ABRIL-2022.pdf", "Link")</f>
        <v/>
      </c>
      <c r="C3009" t="n">
        <v>284967</v>
      </c>
      <c r="D3009" t="inlineStr">
        <is>
          <t>2022-04-22 19:07:00</t>
        </is>
      </c>
      <c r="E3009" t="inlineStr">
        <is>
          <t>2024-04-18 19:20:28</t>
        </is>
      </c>
      <c r="F3009" t="inlineStr">
        <is>
          <t>666</t>
        </is>
      </c>
    </row>
    <row r="3010">
      <c r="A3010" t="inlineStr">
        <is>
          <t>Combinado_51-E001-109 ECHE CLAVIJO GIL LUIS.pdf</t>
        </is>
      </c>
      <c r="B3010">
        <f>HYPERLINK("C:\Users\lmonroy\Tema\Punto 1 y 2\51-E001-109 ECHE CLAVIJO GIL LUIS\Combinado_51-E001-109 ECHE CLAVIJO GIL LUIS.pdf", "Link")</f>
        <v/>
      </c>
      <c r="C3010" t="n">
        <v>2668789</v>
      </c>
      <c r="D3010" t="inlineStr">
        <is>
          <t>2024-04-18 18:48:39</t>
        </is>
      </c>
      <c r="E3010" t="inlineStr">
        <is>
          <t>2024-04-18 19:20:28</t>
        </is>
      </c>
      <c r="F3010" t="inlineStr">
        <is>
          <t>666</t>
        </is>
      </c>
    </row>
    <row r="3011">
      <c r="A3011" t="inlineStr">
        <is>
          <t>CONTROL DE FIRMAS TEMA 23ABRIL-01mayo2022.pdf</t>
        </is>
      </c>
      <c r="B3011">
        <f>HYPERLINK("C:\Users\lmonroy\Tema\Punto 1 y 2\51-E001-109 ECHE CLAVIJO GIL LUIS\CONTROL DE FIRMAS TEMA 23ABRIL-01mayo2022.pdf", "Link")</f>
        <v/>
      </c>
      <c r="C3011" t="n">
        <v>219897</v>
      </c>
      <c r="D3011" t="inlineStr">
        <is>
          <t>2022-05-02 13:08:00</t>
        </is>
      </c>
      <c r="E3011" t="inlineStr">
        <is>
          <t>2024-04-18 19:20:28</t>
        </is>
      </c>
      <c r="F3011" t="inlineStr">
        <is>
          <t>666</t>
        </is>
      </c>
    </row>
    <row r="3012">
      <c r="A3012" t="inlineStr">
        <is>
          <t>FT 000109 ECHE CLAVIJO GIL LUIS.pdf</t>
        </is>
      </c>
      <c r="B3012">
        <f>HYPERLINK("C:\Users\lmonroy\Tema\Punto 1 y 2\51-E001-109 ECHE CLAVIJO GIL LUIS\FT 000109 ECHE CLAVIJO GIL LUIS.pdf", "Link")</f>
        <v/>
      </c>
      <c r="C3012" t="n">
        <v>4247</v>
      </c>
      <c r="D3012" t="inlineStr">
        <is>
          <t>2022-05-02 13:08:00</t>
        </is>
      </c>
      <c r="E3012" t="inlineStr">
        <is>
          <t>2024-04-18 19:20:28</t>
        </is>
      </c>
      <c r="F3012" t="inlineStr">
        <is>
          <t>666</t>
        </is>
      </c>
    </row>
    <row r="3013">
      <c r="A3013" t="inlineStr">
        <is>
          <t>OC-808.pdf</t>
        </is>
      </c>
      <c r="B3013">
        <f>HYPERLINK("C:\Users\lmonroy\Tema\Punto 1 y 2\51-E001-109 ECHE CLAVIJO GIL LUIS\OC-808.pdf", "Link")</f>
        <v/>
      </c>
      <c r="C3013" t="n">
        <v>77961</v>
      </c>
      <c r="D3013" t="inlineStr">
        <is>
          <t>2022-05-02 13:08:00</t>
        </is>
      </c>
      <c r="E3013" t="inlineStr">
        <is>
          <t>2024-04-18 19:20:28</t>
        </is>
      </c>
      <c r="F3013" t="inlineStr">
        <is>
          <t>666</t>
        </is>
      </c>
    </row>
    <row r="3014">
      <c r="A3014" t="inlineStr">
        <is>
          <t>PLANILLA ALIMENTACION TEMA EL ALTO 23ABR-01MAY2022.pdf</t>
        </is>
      </c>
      <c r="B3014">
        <f>HYPERLINK("C:\Users\lmonroy\Tema\Punto 1 y 2\51-E001-109 ECHE CLAVIJO GIL LUIS\PLANILLA ALIMENTACION TEMA EL ALTO 23ABR-01MAY2022.pdf", "Link")</f>
        <v/>
      </c>
      <c r="C3014" t="n">
        <v>2167416</v>
      </c>
      <c r="D3014" t="inlineStr">
        <is>
          <t>2022-05-02 13:08:00</t>
        </is>
      </c>
      <c r="E3014" t="inlineStr">
        <is>
          <t>2024-04-18 19:20:28</t>
        </is>
      </c>
      <c r="F3014" t="inlineStr">
        <is>
          <t>666</t>
        </is>
      </c>
    </row>
    <row r="3015">
      <c r="A3015" t="inlineStr">
        <is>
          <t>VALORIZACION TEMA 23ABRIL-01may2022.pdf</t>
        </is>
      </c>
      <c r="B3015">
        <f>HYPERLINK("C:\Users\lmonroy\Tema\Punto 1 y 2\51-E001-109 ECHE CLAVIJO GIL LUIS\VALORIZACION TEMA 23ABRIL-01may2022.pdf", "Link")</f>
        <v/>
      </c>
      <c r="C3015" t="n">
        <v>232790</v>
      </c>
      <c r="D3015" t="inlineStr">
        <is>
          <t>2022-05-02 13:08:00</t>
        </is>
      </c>
      <c r="E3015" t="inlineStr">
        <is>
          <t>2024-04-18 19:20:29</t>
        </is>
      </c>
      <c r="F3015" t="inlineStr">
        <is>
          <t>666</t>
        </is>
      </c>
    </row>
    <row r="3016">
      <c r="A3016" t="inlineStr">
        <is>
          <t>4 CPS - Salud Ocupacional - Octubre 2021.pdf</t>
        </is>
      </c>
      <c r="B3016">
        <f>HYPERLINK("C:\Users\lmonroy\Tema\Punto 1 y 2\52-E001-140 MEDICINE &amp; SAFETY SAC\4 CPS - Salud Ocupacional - Octubre 2021.pdf", "Link")</f>
        <v/>
      </c>
      <c r="C3016" t="n">
        <v>146425</v>
      </c>
      <c r="D3016" t="inlineStr">
        <is>
          <t>2024-04-17 19:36:15</t>
        </is>
      </c>
      <c r="E3016" t="inlineStr">
        <is>
          <t>2024-04-18 19:20:29</t>
        </is>
      </c>
      <c r="F3016" t="inlineStr">
        <is>
          <t>666</t>
        </is>
      </c>
    </row>
    <row r="3017">
      <c r="A3017" t="inlineStr">
        <is>
          <t>52-OS MEDICINE &amp; SAFETY SAC FE 140.pdf</t>
        </is>
      </c>
      <c r="B3017">
        <f>HYPERLINK("C:\Users\lmonroy\Tema\Punto 1 y 2\52-E001-140 MEDICINE &amp; SAFETY SAC\52-OS MEDICINE &amp; SAFETY SAC FE 140.pdf", "Link")</f>
        <v/>
      </c>
      <c r="C3017" t="n">
        <v>81795</v>
      </c>
      <c r="D3017" t="inlineStr">
        <is>
          <t>2024-04-18 10:41:00</t>
        </is>
      </c>
      <c r="E3017" t="inlineStr">
        <is>
          <t>2024-04-18 19:20:29</t>
        </is>
      </c>
      <c r="F3017" t="inlineStr">
        <is>
          <t>666</t>
        </is>
      </c>
    </row>
    <row r="3018">
      <c r="A3018" t="inlineStr">
        <is>
          <t>Combinado_52-E001-140 MEDICINE &amp; SAFETY SAC.pdf</t>
        </is>
      </c>
      <c r="B3018">
        <f>HYPERLINK("C:\Users\lmonroy\Tema\Punto 1 y 2\52-E001-140 MEDICINE &amp; SAFETY SAC\Combinado_52-E001-140 MEDICINE &amp; SAFETY SAC.pdf", "Link")</f>
        <v/>
      </c>
      <c r="C3018" t="n">
        <v>334573</v>
      </c>
      <c r="D3018" t="inlineStr">
        <is>
          <t>2024-04-18 18:51:53</t>
        </is>
      </c>
      <c r="E3018" t="inlineStr">
        <is>
          <t>2024-04-18 19:20:29</t>
        </is>
      </c>
      <c r="F3018" t="inlineStr">
        <is>
          <t>666</t>
        </is>
      </c>
    </row>
    <row r="3019">
      <c r="A3019" t="inlineStr">
        <is>
          <t>FT 000140 MEDICINE &amp; SAFETY SAC.pdf</t>
        </is>
      </c>
      <c r="B3019">
        <f>HYPERLINK("C:\Users\lmonroy\Tema\Punto 1 y 2\52-E001-140 MEDICINE &amp; SAFETY SAC\FT 000140 MEDICINE &amp; SAFETY SAC.pdf", "Link")</f>
        <v/>
      </c>
      <c r="C3019" t="n">
        <v>4803</v>
      </c>
      <c r="D3019" t="inlineStr">
        <is>
          <t>2022-03-28 18:49:00</t>
        </is>
      </c>
      <c r="E3019" t="inlineStr">
        <is>
          <t>2024-04-18 19:20:29</t>
        </is>
      </c>
      <c r="F3019" t="inlineStr">
        <is>
          <t>666</t>
        </is>
      </c>
    </row>
    <row r="3020">
      <c r="A3020" t="inlineStr">
        <is>
          <t>INFORME DE ACTIVIDADES MARZO 22.pdf</t>
        </is>
      </c>
      <c r="B3020">
        <f>HYPERLINK("C:\Users\lmonroy\Tema\Punto 1 y 2\52-E001-140 MEDICINE &amp; SAFETY SAC\INFORME DE ACTIVIDADES MARZO 22.pdf", "Link")</f>
        <v/>
      </c>
      <c r="C3020" t="n">
        <v>106103</v>
      </c>
      <c r="D3020" t="inlineStr">
        <is>
          <t>2022-03-28 18:49:00</t>
        </is>
      </c>
      <c r="E3020" t="inlineStr">
        <is>
          <t>2024-04-18 19:20:29</t>
        </is>
      </c>
      <c r="F3020" t="inlineStr">
        <is>
          <t>666</t>
        </is>
      </c>
    </row>
    <row r="3021">
      <c r="A3021" t="inlineStr">
        <is>
          <t>4 CPS - Salud Ocupacional - Octubre 2021.pdf</t>
        </is>
      </c>
      <c r="B3021">
        <f>HYPERLINK("C:\Users\lmonroy\Tema\Punto 1 y 2\53-E001-143 MEDICINE &amp; SAFETY SAC 2\4 CPS - Salud Ocupacional - Octubre 2021.pdf", "Link")</f>
        <v/>
      </c>
      <c r="C3021" t="n">
        <v>146425</v>
      </c>
      <c r="D3021" t="inlineStr">
        <is>
          <t>2024-04-17 19:36:15</t>
        </is>
      </c>
      <c r="E3021" t="inlineStr">
        <is>
          <t>2024-04-18 19:20:29</t>
        </is>
      </c>
      <c r="F3021" t="inlineStr">
        <is>
          <t>666</t>
        </is>
      </c>
    </row>
    <row r="3022">
      <c r="A3022" t="inlineStr">
        <is>
          <t>53-OS MEDICINE &amp; SAFETY SAC FE 143.pdf</t>
        </is>
      </c>
      <c r="B3022">
        <f>HYPERLINK("C:\Users\lmonroy\Tema\Punto 1 y 2\53-E001-143 MEDICINE &amp; SAFETY SAC 2\53-OS MEDICINE &amp; SAFETY SAC FE 143.pdf", "Link")</f>
        <v/>
      </c>
      <c r="C3022" t="n">
        <v>81794</v>
      </c>
      <c r="D3022" t="inlineStr">
        <is>
          <t>2024-04-18 10:41:00</t>
        </is>
      </c>
      <c r="E3022" t="inlineStr">
        <is>
          <t>2024-04-18 19:20:29</t>
        </is>
      </c>
      <c r="F3022" t="inlineStr">
        <is>
          <t>666</t>
        </is>
      </c>
    </row>
    <row r="3023">
      <c r="A3023" t="inlineStr">
        <is>
          <t>Combinado_53-E001-143 MEDICINE &amp; SAFETY SAC 2.pdf</t>
        </is>
      </c>
      <c r="B3023">
        <f>HYPERLINK("C:\Users\lmonroy\Tema\Punto 1 y 2\53-E001-143 MEDICINE &amp; SAFETY SAC 2\Combinado_53-E001-143 MEDICINE &amp; SAFETY SAC 2.pdf", "Link")</f>
        <v/>
      </c>
      <c r="C3023" t="n">
        <v>105822</v>
      </c>
      <c r="D3023" t="inlineStr">
        <is>
          <t>2024-04-18 18:54:07</t>
        </is>
      </c>
      <c r="E3023" t="inlineStr">
        <is>
          <t>2024-04-18 19:20:29</t>
        </is>
      </c>
      <c r="F3023" t="inlineStr">
        <is>
          <t>666</t>
        </is>
      </c>
    </row>
    <row r="3024">
      <c r="A3024" t="inlineStr">
        <is>
          <t>FT 000143 MEDICINE &amp; SAFETY SAC.pdf</t>
        </is>
      </c>
      <c r="B3024">
        <f>HYPERLINK("C:\Users\lmonroy\Tema\Punto 1 y 2\53-E001-143 MEDICINE &amp; SAFETY SAC 2\FT 000143 MEDICINE &amp; SAFETY SAC.pdf", "Link")</f>
        <v/>
      </c>
      <c r="C3024" t="n">
        <v>4804</v>
      </c>
      <c r="D3024" t="inlineStr">
        <is>
          <t>2022-04-27 12:59:00</t>
        </is>
      </c>
      <c r="E3024" t="inlineStr">
        <is>
          <t>2024-04-18 19:20:29</t>
        </is>
      </c>
      <c r="F3024" t="inlineStr">
        <is>
          <t>666</t>
        </is>
      </c>
    </row>
    <row r="3025">
      <c r="A3025" t="inlineStr">
        <is>
          <t>INFORME DE ACTIVIDADES ABRIL 22.pdf</t>
        </is>
      </c>
      <c r="B3025">
        <f>HYPERLINK("C:\Users\lmonroy\Tema\Punto 1 y 2\53-E001-143 MEDICINE &amp; SAFETY SAC 2\INFORME DE ACTIVIDADES ABRIL 22.pdf", "Link")</f>
        <v/>
      </c>
      <c r="C3025" t="n">
        <v>106311</v>
      </c>
      <c r="D3025" t="inlineStr">
        <is>
          <t>2022-04-27 12:59:00</t>
        </is>
      </c>
      <c r="E3025" t="inlineStr">
        <is>
          <t>2024-04-18 19:20:29</t>
        </is>
      </c>
      <c r="F3025" t="inlineStr">
        <is>
          <t>666</t>
        </is>
      </c>
    </row>
    <row r="3026">
      <c r="A3026" t="inlineStr">
        <is>
          <t>62036 CLS-TEMA - GEOSERVICE PERU SOCIEDAD ANONIMA CERRADA Rev 0.pdf</t>
        </is>
      </c>
      <c r="B3026">
        <f>HYPERLINK("C:\Users\lmonroy\Tema\Punto 1 y 2\54-E001-154 GEOSERVICE PERU SOCIEDAD ANONIMA CERRADA\62036 CLS-TEMA - GEOSERVICE PERU SOCIEDAD ANONIMA CERRADA Rev 0.pdf", "Link")</f>
        <v/>
      </c>
      <c r="C3026" t="n">
        <v>1481393</v>
      </c>
      <c r="D3026" t="inlineStr">
        <is>
          <t>2022-05-17 13:52:26</t>
        </is>
      </c>
      <c r="E3026" t="inlineStr">
        <is>
          <t>2024-04-18 19:20:29</t>
        </is>
      </c>
      <c r="F3026" t="inlineStr">
        <is>
          <t>666</t>
        </is>
      </c>
    </row>
    <row r="3027">
      <c r="A3027" t="inlineStr">
        <is>
          <t>FT 000154 GEOSERVICE PERU SAC.pdf</t>
        </is>
      </c>
      <c r="B3027">
        <f>HYPERLINK("C:\Users\lmonroy\Tema\Punto 1 y 2\54-E001-154 GEOSERVICE PERU SOCIEDAD ANONIMA CERRADA\FT 000154 GEOSERVICE PERU SAC.pdf", "Link")</f>
        <v/>
      </c>
      <c r="C3027" t="n">
        <v>102804</v>
      </c>
      <c r="D3027" t="inlineStr">
        <is>
          <t>2022-04-22 12:24:00</t>
        </is>
      </c>
      <c r="E3027" t="inlineStr">
        <is>
          <t>2024-04-18 19:20:29</t>
        </is>
      </c>
      <c r="F3027" t="inlineStr">
        <is>
          <t>666</t>
        </is>
      </c>
    </row>
    <row r="3028">
      <c r="A3028" t="inlineStr">
        <is>
          <t>GSP-8732_3103_2022 TEMA LITOCLEAN LA CONVENCION EN MODO PROGRAMACION 3 PERIODOS  50CM 4 BANDAS_v1.pdf</t>
        </is>
      </c>
      <c r="B3028">
        <f>HYPERLINK("C:\Users\lmonroy\Tema\Punto 1 y 2\54-E001-154 GEOSERVICE PERU SOCIEDAD ANONIMA CERRADA\GSP-8732_3103_2022 TEMA LITOCLEAN LA CONVENCION EN MODO PROGRAMACION 3 PERIODOS  50CM 4 BANDAS_v1.pdf", "Link")</f>
        <v/>
      </c>
      <c r="C3028" t="n">
        <v>1058216</v>
      </c>
      <c r="D3028" t="inlineStr">
        <is>
          <t>2022-04-22 12:24:00</t>
        </is>
      </c>
      <c r="E3028" t="inlineStr">
        <is>
          <t>2024-04-18 19:20:29</t>
        </is>
      </c>
      <c r="F3028" t="inlineStr">
        <is>
          <t>666</t>
        </is>
      </c>
    </row>
    <row r="3029">
      <c r="A3029" t="inlineStr">
        <is>
          <t>OC-559.pdf</t>
        </is>
      </c>
      <c r="B3029">
        <f>HYPERLINK("C:\Users\lmonroy\Tema\Punto 1 y 2\54-E001-154 GEOSERVICE PERU SOCIEDAD ANONIMA CERRADA\OC-559.pdf", "Link")</f>
        <v/>
      </c>
      <c r="C3029" t="n">
        <v>133783</v>
      </c>
      <c r="D3029" t="inlineStr">
        <is>
          <t>2022-04-22 12:24:00</t>
        </is>
      </c>
      <c r="E3029" t="inlineStr">
        <is>
          <t>2024-04-18 19:20:29</t>
        </is>
      </c>
      <c r="F3029" t="inlineStr">
        <is>
          <t>666</t>
        </is>
      </c>
    </row>
    <row r="3030">
      <c r="A3030" t="inlineStr">
        <is>
          <t>CONTRATO N° 128.pdf</t>
        </is>
      </c>
      <c r="B3030">
        <f>HYPERLINK("C:\Users\lmonroy\Tema\Punto 1 y 2\55-E001-450 AGORA SERVICIOS MULTIPLES SOCIEDAD ANONI\CONTRATO N° 128.pdf", "Link")</f>
        <v/>
      </c>
      <c r="C3030" t="n">
        <v>416346</v>
      </c>
      <c r="D3030" t="inlineStr">
        <is>
          <t>2024-04-17 20:42:08</t>
        </is>
      </c>
      <c r="E3030" t="inlineStr">
        <is>
          <t>2024-04-18 19:20:29</t>
        </is>
      </c>
      <c r="F3030" t="inlineStr">
        <is>
          <t>666</t>
        </is>
      </c>
    </row>
    <row r="3031">
      <c r="A3031" t="inlineStr">
        <is>
          <t>FACTURA E001-450.pdf</t>
        </is>
      </c>
      <c r="B3031">
        <f>HYPERLINK("C:\Users\lmonroy\Tema\Punto 1 y 2\55-E001-450 AGORA SERVICIOS MULTIPLES SOCIEDAD ANONI\FACTURA E001-450.pdf", "Link")</f>
        <v/>
      </c>
      <c r="C3031" t="n">
        <v>141402</v>
      </c>
      <c r="D3031" t="inlineStr">
        <is>
          <t>2022-04-05 19:03:00</t>
        </is>
      </c>
      <c r="E3031" t="inlineStr">
        <is>
          <t>2024-04-18 19:20:29</t>
        </is>
      </c>
      <c r="F3031" t="inlineStr">
        <is>
          <t>666</t>
        </is>
      </c>
    </row>
    <row r="3032">
      <c r="A3032" t="inlineStr">
        <is>
          <t>OC-793.pdf</t>
        </is>
      </c>
      <c r="B3032">
        <f>HYPERLINK("C:\Users\lmonroy\Tema\Punto 1 y 2\55-E001-450 AGORA SERVICIOS MULTIPLES SOCIEDAD ANONI\OC-793.pdf", "Link")</f>
        <v/>
      </c>
      <c r="C3032" t="n">
        <v>81253</v>
      </c>
      <c r="D3032" t="inlineStr">
        <is>
          <t>2022-04-05 19:03:00</t>
        </is>
      </c>
      <c r="E3032" t="inlineStr">
        <is>
          <t>2024-04-18 19:20:29</t>
        </is>
      </c>
      <c r="F3032" t="inlineStr">
        <is>
          <t>666</t>
        </is>
      </c>
    </row>
    <row r="3033">
      <c r="A3033" t="inlineStr">
        <is>
          <t>CONTRATO N° 129.pdf</t>
        </is>
      </c>
      <c r="B3033">
        <f>HYPERLINK("C:\Users\lmonroy\Tema\Punto 1 y 2\56-E001-451 AGORA SERVICIOS MULTIPLES S.A.C\CONTRATO N° 129.pdf", "Link")</f>
        <v/>
      </c>
      <c r="C3033" t="n">
        <v>293256</v>
      </c>
      <c r="D3033" t="inlineStr">
        <is>
          <t>2024-04-18 15:34:37</t>
        </is>
      </c>
      <c r="E3033" t="inlineStr">
        <is>
          <t>2024-04-18 19:20:29</t>
        </is>
      </c>
      <c r="F3033" t="inlineStr">
        <is>
          <t>666</t>
        </is>
      </c>
    </row>
    <row r="3034">
      <c r="A3034" t="inlineStr">
        <is>
          <t>FACTURA E001-451.pdf</t>
        </is>
      </c>
      <c r="B3034">
        <f>HYPERLINK("C:\Users\lmonroy\Tema\Punto 1 y 2\56-E001-451 AGORA SERVICIOS MULTIPLES S.A.C\FACTURA E001-451.pdf", "Link")</f>
        <v/>
      </c>
      <c r="C3034" t="n">
        <v>141349</v>
      </c>
      <c r="D3034" t="inlineStr">
        <is>
          <t>2022-04-05 19:03:00</t>
        </is>
      </c>
      <c r="E3034" t="inlineStr">
        <is>
          <t>2024-04-18 19:20:30</t>
        </is>
      </c>
      <c r="F3034" t="inlineStr">
        <is>
          <t>666</t>
        </is>
      </c>
    </row>
    <row r="3035">
      <c r="A3035" t="inlineStr">
        <is>
          <t>OC-793.pdf</t>
        </is>
      </c>
      <c r="B3035">
        <f>HYPERLINK("C:\Users\lmonroy\Tema\Punto 1 y 2\56-E001-451 AGORA SERVICIOS MULTIPLES S.A.C\OC-793.pdf", "Link")</f>
        <v/>
      </c>
      <c r="C3035" t="n">
        <v>81253</v>
      </c>
      <c r="D3035" t="inlineStr">
        <is>
          <t>2022-04-05 19:03:00</t>
        </is>
      </c>
      <c r="E3035" t="inlineStr">
        <is>
          <t>2024-04-18 19:20:30</t>
        </is>
      </c>
      <c r="F3035" t="inlineStr">
        <is>
          <t>666</t>
        </is>
      </c>
    </row>
    <row r="3036">
      <c r="A3036" t="inlineStr">
        <is>
          <t>DOCUMENTOS AGORA20220317_15562633 (1).pdf</t>
        </is>
      </c>
      <c r="B3036">
        <f>HYPERLINK("C:\Users\lmonroy\Tema\Punto 1 y 2\57-E001-456 AGORA SERVICIOS MULTIPLES S.A.C\DOCUMENTOS AGORA20220317_15562633 (1).pdf", "Link")</f>
        <v/>
      </c>
      <c r="C3036" t="n">
        <v>760144</v>
      </c>
      <c r="D3036" t="inlineStr">
        <is>
          <t>2022-04-04 16:26:00</t>
        </is>
      </c>
      <c r="E3036" t="inlineStr">
        <is>
          <t>2024-04-18 19:20:30</t>
        </is>
      </c>
      <c r="F3036" t="inlineStr">
        <is>
          <t>666</t>
        </is>
      </c>
    </row>
    <row r="3037">
      <c r="A3037" t="inlineStr">
        <is>
          <t>FACTURA E001-456.pdf</t>
        </is>
      </c>
      <c r="B3037">
        <f>HYPERLINK("C:\Users\lmonroy\Tema\Punto 1 y 2\57-E001-456 AGORA SERVICIOS MULTIPLES S.A.C\FACTURA E001-456.pdf", "Link")</f>
        <v/>
      </c>
      <c r="C3037" t="n">
        <v>140719</v>
      </c>
      <c r="D3037" t="inlineStr">
        <is>
          <t>2022-04-04 16:26:00</t>
        </is>
      </c>
      <c r="E3037" t="inlineStr">
        <is>
          <t>2024-04-18 19:20:30</t>
        </is>
      </c>
      <c r="F3037" t="inlineStr">
        <is>
          <t>666</t>
        </is>
      </c>
    </row>
    <row r="3038">
      <c r="A3038" t="inlineStr">
        <is>
          <t>58-OS CORPORACIÓN SURE SAC FT 595.pdf</t>
        </is>
      </c>
      <c r="B3038">
        <f>HYPERLINK("C:\Users\lmonroy\Tema\Punto 1 y 2\58-E001-595 CORPORACION SURE SAC 2\58-OS CORPORACIÓN SURE SAC FT 595.pdf", "Link")</f>
        <v/>
      </c>
      <c r="C3038" t="n">
        <v>78352</v>
      </c>
      <c r="D3038" t="inlineStr">
        <is>
          <t>2024-04-18 10:41:00</t>
        </is>
      </c>
      <c r="E3038" t="inlineStr">
        <is>
          <t>2024-04-18 19:20:30</t>
        </is>
      </c>
      <c r="F3038" t="inlineStr">
        <is>
          <t>666</t>
        </is>
      </c>
    </row>
    <row r="3039">
      <c r="A3039" t="inlineStr">
        <is>
          <t>FT 000595 CORPORACION SURE SAC.pdf</t>
        </is>
      </c>
      <c r="B3039">
        <f>HYPERLINK("C:\Users\lmonroy\Tema\Punto 1 y 2\58-E001-595 CORPORACION SURE SAC 2\FT 000595 CORPORACION SURE SAC.pdf", "Link")</f>
        <v/>
      </c>
      <c r="C3039" t="n">
        <v>4747</v>
      </c>
      <c r="D3039" t="inlineStr">
        <is>
          <t>2022-04-19 14:13:00</t>
        </is>
      </c>
      <c r="E3039" t="inlineStr">
        <is>
          <t>2024-04-18 19:20:30</t>
        </is>
      </c>
      <c r="F3039" t="inlineStr">
        <is>
          <t>666</t>
        </is>
      </c>
    </row>
    <row r="3040">
      <c r="A3040" t="inlineStr">
        <is>
          <t>Informe QMS EMS SST Marzo 2022.pdf</t>
        </is>
      </c>
      <c r="B3040">
        <f>HYPERLINK("C:\Users\lmonroy\Tema\Punto 1 y 2\58-E001-595 CORPORACION SURE SAC 2\Informe QMS EMS SST Marzo 2022.pdf", "Link")</f>
        <v/>
      </c>
      <c r="C3040" t="n">
        <v>61499</v>
      </c>
      <c r="D3040" t="inlineStr">
        <is>
          <t>2024-04-18 18:08:24</t>
        </is>
      </c>
      <c r="E3040" t="inlineStr">
        <is>
          <t>2024-04-18 19:20:30</t>
        </is>
      </c>
      <c r="F3040" t="inlineStr">
        <is>
          <t>666</t>
        </is>
      </c>
    </row>
    <row r="3041">
      <c r="A3041" t="inlineStr">
        <is>
          <t>59-OS CORPORACIÓN SURE SAC FT 604.pdf</t>
        </is>
      </c>
      <c r="B3041">
        <f>HYPERLINK("C:\Users\lmonroy\Tema\Punto 1 y 2\59-E001-604 CORPORACION SURE SAC\59-OS CORPORACIÓN SURE SAC FT 604.pdf", "Link")</f>
        <v/>
      </c>
      <c r="C3041" t="n">
        <v>81466</v>
      </c>
      <c r="D3041" t="inlineStr">
        <is>
          <t>2024-04-18 10:41:00</t>
        </is>
      </c>
      <c r="E3041" t="inlineStr">
        <is>
          <t>2024-04-18 19:20:30</t>
        </is>
      </c>
      <c r="F3041" t="inlineStr">
        <is>
          <t>666</t>
        </is>
      </c>
    </row>
    <row r="3042">
      <c r="A3042" t="inlineStr">
        <is>
          <t>FT 000604 CORPORACION SURE SAC.pdf</t>
        </is>
      </c>
      <c r="B3042">
        <f>HYPERLINK("C:\Users\lmonroy\Tema\Punto 1 y 2\59-E001-604 CORPORACION SURE SAC\FT 000604 CORPORACION SURE SAC.pdf", "Link")</f>
        <v/>
      </c>
      <c r="C3042" t="n">
        <v>4963</v>
      </c>
      <c r="D3042" t="inlineStr">
        <is>
          <t>2022-04-22 11:03:00</t>
        </is>
      </c>
      <c r="E3042" t="inlineStr">
        <is>
          <t>2024-04-18 19:20:30</t>
        </is>
      </c>
      <c r="F3042" t="inlineStr">
        <is>
          <t>666</t>
        </is>
      </c>
    </row>
    <row r="3043">
      <c r="A3043" t="inlineStr">
        <is>
          <t>Informe Técnico Marzo 2022.pdf</t>
        </is>
      </c>
      <c r="B3043">
        <f>HYPERLINK("C:\Users\lmonroy\Tema\Punto 1 y 2\59-E001-604 CORPORACION SURE SAC\Informe Técnico Marzo 2022.pdf", "Link")</f>
        <v/>
      </c>
      <c r="C3043" t="n">
        <v>93806</v>
      </c>
      <c r="D3043" t="inlineStr">
        <is>
          <t>2024-04-18 18:02:57</t>
        </is>
      </c>
      <c r="E3043" t="inlineStr">
        <is>
          <t>2024-04-18 19:20:30</t>
        </is>
      </c>
      <c r="F3043" t="inlineStr">
        <is>
          <t>666</t>
        </is>
      </c>
    </row>
    <row r="3044">
      <c r="A3044" t="inlineStr">
        <is>
          <t>FT E001-4520 TEMA LITOCLEAN SAC.PDF</t>
        </is>
      </c>
      <c r="B3044">
        <f>HYPERLINK("C:\Users\lmonroy\Tema\Punto 1 y 2\60-E001-4520 ALQUIBARSA PERU SAC\FT E001-4520 TEMA LITOCLEAN SAC.PDF", "Link")</f>
        <v/>
      </c>
      <c r="C3044" t="n">
        <v>4922</v>
      </c>
      <c r="D3044" t="inlineStr">
        <is>
          <t>2022-04-22 11:30:18</t>
        </is>
      </c>
      <c r="E3044" t="inlineStr">
        <is>
          <t>2024-04-18 19:20:30</t>
        </is>
      </c>
      <c r="F3044" t="inlineStr">
        <is>
          <t>666</t>
        </is>
      </c>
    </row>
    <row r="3045">
      <c r="A3045" t="inlineStr">
        <is>
          <t>Modulos Tema Almacen Oficina Rev B.PDF</t>
        </is>
      </c>
      <c r="B3045">
        <f>HYPERLINK("C:\Users\lmonroy\Tema\Punto 1 y 2\60-E001-4520 ALQUIBARSA PERU SAC\Modulos Tema Almacen Oficina Rev B.PDF", "Link")</f>
        <v/>
      </c>
      <c r="C3045" t="n">
        <v>272981</v>
      </c>
      <c r="D3045" t="inlineStr">
        <is>
          <t>2022-04-19 18:17:00</t>
        </is>
      </c>
      <c r="E3045" t="inlineStr">
        <is>
          <t>2024-04-18 19:20:30</t>
        </is>
      </c>
      <c r="F3045" t="inlineStr">
        <is>
          <t>666</t>
        </is>
      </c>
    </row>
    <row r="3046">
      <c r="A3046" t="inlineStr">
        <is>
          <t>OC-557.pdf</t>
        </is>
      </c>
      <c r="B3046">
        <f>HYPERLINK("C:\Users\lmonroy\Tema\Punto 1 y 2\60-E001-4520 ALQUIBARSA PERU SAC\OC-557.pdf", "Link")</f>
        <v/>
      </c>
      <c r="C3046" t="n">
        <v>121054</v>
      </c>
      <c r="D3046" t="inlineStr">
        <is>
          <t>2022-04-19 18:17:00</t>
        </is>
      </c>
      <c r="E3046" t="inlineStr">
        <is>
          <t>2024-04-18 19:20:30</t>
        </is>
      </c>
      <c r="F3046" t="inlineStr">
        <is>
          <t>666</t>
        </is>
      </c>
    </row>
    <row r="3047">
      <c r="A3047" t="inlineStr">
        <is>
          <t>OFERTA COMERCIAL TEMA - Pampilla (1) (1).pdf</t>
        </is>
      </c>
      <c r="B3047">
        <f>HYPERLINK("C:\Users\lmonroy\Tema\Punto 1 y 2\60-E001-4520 ALQUIBARSA PERU SAC\OFERTA COMERCIAL TEMA - Pampilla (1) (1).pdf", "Link")</f>
        <v/>
      </c>
      <c r="C3047" t="n">
        <v>845474</v>
      </c>
      <c r="D3047" t="inlineStr">
        <is>
          <t>2022-04-19 18:17:00</t>
        </is>
      </c>
      <c r="E3047" t="inlineStr">
        <is>
          <t>2024-04-18 19:20:30</t>
        </is>
      </c>
      <c r="F3047" t="inlineStr">
        <is>
          <t>666</t>
        </is>
      </c>
    </row>
    <row r="3048">
      <c r="A3048" t="inlineStr">
        <is>
          <t>20100041953-01-F581-04108960.pdf</t>
        </is>
      </c>
      <c r="B3048">
        <f>HYPERLINK("C:\Users\lmonroy\Tema\Punto 1 y 2\61-F581-4108960 RIMAC SEGUROS\20100041953-01-F581-04108960.pdf", "Link")</f>
        <v/>
      </c>
      <c r="C3048" t="n">
        <v>13956</v>
      </c>
      <c r="D3048" t="inlineStr">
        <is>
          <t>2022-04-11 16:54:00</t>
        </is>
      </c>
      <c r="E3048" t="inlineStr">
        <is>
          <t>2024-04-18 19:20:30</t>
        </is>
      </c>
      <c r="F3048" t="inlineStr">
        <is>
          <t>666</t>
        </is>
      </c>
    </row>
    <row r="3049">
      <c r="A3049" t="inlineStr">
        <is>
          <t>Poliza AMF raul manda valenzuela Tema 2022_unlocked.pdf</t>
        </is>
      </c>
      <c r="B3049">
        <f>HYPERLINK("C:\Users\lmonroy\Tema\Punto 1 y 2\61-F581-4108960 RIMAC SEGUROS\Poliza AMF raul manda valenzuela Tema 2022_unlocked.pdf", "Link")</f>
        <v/>
      </c>
      <c r="C3049" t="n">
        <v>1190279</v>
      </c>
      <c r="D3049" t="inlineStr">
        <is>
          <t>2024-04-18 10:37:00</t>
        </is>
      </c>
      <c r="E3049" t="inlineStr">
        <is>
          <t>2024-04-18 19:20:30</t>
        </is>
      </c>
      <c r="F3049" t="inlineStr">
        <is>
          <t>666</t>
        </is>
      </c>
    </row>
    <row r="3050">
      <c r="A3050" t="inlineStr">
        <is>
          <t>20504979092-01-FA01-00025487.pdf</t>
        </is>
      </c>
      <c r="B3050">
        <f>HYPERLINK("C:\Users\lmonroy\Tema\Punto 1 y 2\62-FA01-25487 ALS LS PERU S.A.C. 5\20504979092-01-FA01-00025487.pdf", "Link")</f>
        <v/>
      </c>
      <c r="C3050" t="n">
        <v>13810</v>
      </c>
      <c r="D3050" t="inlineStr">
        <is>
          <t>2022-04-18 09:33:00</t>
        </is>
      </c>
      <c r="E3050" t="inlineStr">
        <is>
          <t>2024-04-18 19:20:30</t>
        </is>
      </c>
      <c r="F3050" t="inlineStr">
        <is>
          <t>666</t>
        </is>
      </c>
    </row>
    <row r="3051">
      <c r="A3051" t="inlineStr">
        <is>
          <t>2391-2022-4 (Valorización).xlsm</t>
        </is>
      </c>
      <c r="B3051">
        <f>HYPERLINK("C:\Users\lmonroy\Tema\Punto 1 y 2\62-FA01-25487 ALS LS PERU S.A.C. 5\2391-2022-4 (Valorización).xlsm", "Link")</f>
        <v/>
      </c>
      <c r="C3051" t="n">
        <v>111539</v>
      </c>
      <c r="D3051" t="inlineStr">
        <is>
          <t>2022-04-18 09:33:00</t>
        </is>
      </c>
      <c r="E3051" t="inlineStr">
        <is>
          <t>2024-04-18 19:20:31</t>
        </is>
      </c>
      <c r="F3051" t="inlineStr">
        <is>
          <t>666</t>
        </is>
      </c>
    </row>
    <row r="3052">
      <c r="A3052" t="inlineStr">
        <is>
          <t>Informe de Ensayo Preliminar 16399-2022.pdf</t>
        </is>
      </c>
      <c r="B3052">
        <f>HYPERLINK("C:\Users\lmonroy\Tema\Punto 1 y 2\62-FA01-25487 ALS LS PERU S.A.C. 5\Informe de Ensayo Preliminar 16399-2022.pdf", "Link")</f>
        <v/>
      </c>
      <c r="C3052" t="n">
        <v>232276</v>
      </c>
      <c r="D3052" t="inlineStr">
        <is>
          <t>2022-04-18 09:33:00</t>
        </is>
      </c>
      <c r="E3052" t="inlineStr">
        <is>
          <t>2024-04-18 19:20:31</t>
        </is>
      </c>
      <c r="F3052" t="inlineStr">
        <is>
          <t>666</t>
        </is>
      </c>
    </row>
    <row r="3053">
      <c r="A3053" t="inlineStr">
        <is>
          <t>Informe de Ensayo Preliminar 16400-2022.pdf</t>
        </is>
      </c>
      <c r="B3053">
        <f>HYPERLINK("C:\Users\lmonroy\Tema\Punto 1 y 2\62-FA01-25487 ALS LS PERU S.A.C. 5\Informe de Ensayo Preliminar 16400-2022.pdf", "Link")</f>
        <v/>
      </c>
      <c r="C3053" t="n">
        <v>558074</v>
      </c>
      <c r="D3053" t="inlineStr">
        <is>
          <t>2022-04-18 09:33:00</t>
        </is>
      </c>
      <c r="E3053" t="inlineStr">
        <is>
          <t>2024-04-18 19:20:31</t>
        </is>
      </c>
      <c r="F3053" t="inlineStr">
        <is>
          <t>666</t>
        </is>
      </c>
    </row>
    <row r="3054">
      <c r="A3054" t="inlineStr">
        <is>
          <t>Informe de Ensayo Preliminar 16401-2022.pdf</t>
        </is>
      </c>
      <c r="B3054">
        <f>HYPERLINK("C:\Users\lmonroy\Tema\Punto 1 y 2\62-FA01-25487 ALS LS PERU S.A.C. 5\Informe de Ensayo Preliminar 16401-2022.pdf", "Link")</f>
        <v/>
      </c>
      <c r="C3054" t="n">
        <v>558434</v>
      </c>
      <c r="D3054" t="inlineStr">
        <is>
          <t>2022-04-18 09:33:00</t>
        </is>
      </c>
      <c r="E3054" t="inlineStr">
        <is>
          <t>2024-04-18 19:20:31</t>
        </is>
      </c>
      <c r="F3054" t="inlineStr">
        <is>
          <t>666</t>
        </is>
      </c>
    </row>
    <row r="3055">
      <c r="A3055" t="inlineStr">
        <is>
          <t>Informe de Ensayo Preliminar 16402-2022.pdf</t>
        </is>
      </c>
      <c r="B3055">
        <f>HYPERLINK("C:\Users\lmonroy\Tema\Punto 1 y 2\62-FA01-25487 ALS LS PERU S.A.C. 5\Informe de Ensayo Preliminar 16402-2022.pdf", "Link")</f>
        <v/>
      </c>
      <c r="C3055" t="n">
        <v>222403</v>
      </c>
      <c r="D3055" t="inlineStr">
        <is>
          <t>2022-04-18 09:33:00</t>
        </is>
      </c>
      <c r="E3055" t="inlineStr">
        <is>
          <t>2024-04-18 19:20:31</t>
        </is>
      </c>
      <c r="F3055" t="inlineStr">
        <is>
          <t>666</t>
        </is>
      </c>
    </row>
    <row r="3056">
      <c r="A3056" t="inlineStr">
        <is>
          <t>Informe de Ensayo Preliminar 16403-2022.pdf</t>
        </is>
      </c>
      <c r="B3056">
        <f>HYPERLINK("C:\Users\lmonroy\Tema\Punto 1 y 2\62-FA01-25487 ALS LS PERU S.A.C. 5\Informe de Ensayo Preliminar 16403-2022.pdf", "Link")</f>
        <v/>
      </c>
      <c r="C3056" t="n">
        <v>388810</v>
      </c>
      <c r="D3056" t="inlineStr">
        <is>
          <t>2022-04-18 09:33:00</t>
        </is>
      </c>
      <c r="E3056" t="inlineStr">
        <is>
          <t>2024-04-18 19:20:31</t>
        </is>
      </c>
      <c r="F3056" t="inlineStr">
        <is>
          <t>666</t>
        </is>
      </c>
    </row>
    <row r="3057">
      <c r="A3057" t="inlineStr">
        <is>
          <t>Informe de Ensayo Preliminar 16404-2022.pdf</t>
        </is>
      </c>
      <c r="B3057">
        <f>HYPERLINK("C:\Users\lmonroy\Tema\Punto 1 y 2\62-FA01-25487 ALS LS PERU S.A.C. 5\Informe de Ensayo Preliminar 16404-2022.pdf", "Link")</f>
        <v/>
      </c>
      <c r="C3057" t="n">
        <v>402444</v>
      </c>
      <c r="D3057" t="inlineStr">
        <is>
          <t>2022-04-18 09:33:00</t>
        </is>
      </c>
      <c r="E3057" t="inlineStr">
        <is>
          <t>2024-04-18 19:20:31</t>
        </is>
      </c>
      <c r="F3057" t="inlineStr">
        <is>
          <t>666</t>
        </is>
      </c>
    </row>
    <row r="3058">
      <c r="A3058" t="inlineStr">
        <is>
          <t>OS 548.pdf</t>
        </is>
      </c>
      <c r="B3058">
        <f>HYPERLINK("C:\Users\lmonroy\Tema\Punto 1 y 2\62-FA01-25487 ALS LS PERU S.A.C. 5\OS 548.pdf", "Link")</f>
        <v/>
      </c>
      <c r="C3058" t="n">
        <v>145662</v>
      </c>
      <c r="D3058" t="inlineStr">
        <is>
          <t>2022-04-18 09:33:00</t>
        </is>
      </c>
      <c r="E3058" t="inlineStr">
        <is>
          <t>2024-04-18 19:20:31</t>
        </is>
      </c>
      <c r="F3058" t="inlineStr">
        <is>
          <t>666</t>
        </is>
      </c>
    </row>
    <row r="3059">
      <c r="A3059" t="inlineStr">
        <is>
          <t>20504979092-01-FA01-00025490.pdf</t>
        </is>
      </c>
      <c r="B3059">
        <f>HYPERLINK("C:\Users\lmonroy\Tema\Punto 1 y 2\63-FA01-25490 ALS LS PERU SAC\20504979092-01-FA01-00025490.pdf", "Link")</f>
        <v/>
      </c>
      <c r="C3059" t="n">
        <v>13803</v>
      </c>
      <c r="D3059" t="inlineStr">
        <is>
          <t>2022-04-18 09:32:00</t>
        </is>
      </c>
      <c r="E3059" t="inlineStr">
        <is>
          <t>2024-04-18 19:20:31</t>
        </is>
      </c>
      <c r="F3059" t="inlineStr">
        <is>
          <t>666</t>
        </is>
      </c>
    </row>
    <row r="3060">
      <c r="A3060" t="inlineStr">
        <is>
          <t>2068-2022-2 (Valorización).xlsm</t>
        </is>
      </c>
      <c r="B3060">
        <f>HYPERLINK("C:\Users\lmonroy\Tema\Punto 1 y 2\63-FA01-25490 ALS LS PERU SAC\2068-2022-2 (Valorización).xlsm", "Link")</f>
        <v/>
      </c>
      <c r="C3060" t="n">
        <v>111823</v>
      </c>
      <c r="D3060" t="inlineStr">
        <is>
          <t>2022-04-18 09:32:00</t>
        </is>
      </c>
      <c r="E3060" t="inlineStr">
        <is>
          <t>2024-04-18 19:20:31</t>
        </is>
      </c>
      <c r="F3060" t="inlineStr">
        <is>
          <t>666</t>
        </is>
      </c>
    </row>
    <row r="3061">
      <c r="A3061" t="inlineStr">
        <is>
          <t>Informe de Ensayo Preliminar 12664-2022.pdf</t>
        </is>
      </c>
      <c r="B3061">
        <f>HYPERLINK("C:\Users\lmonroy\Tema\Punto 1 y 2\63-FA01-25490 ALS LS PERU SAC\Informe de Ensayo Preliminar 12664-2022.pdf", "Link")</f>
        <v/>
      </c>
      <c r="C3061" t="n">
        <v>385048</v>
      </c>
      <c r="D3061" t="inlineStr">
        <is>
          <t>2022-04-18 09:32:00</t>
        </is>
      </c>
      <c r="E3061" t="inlineStr">
        <is>
          <t>2024-04-18 19:20:31</t>
        </is>
      </c>
      <c r="F3061" t="inlineStr">
        <is>
          <t>666</t>
        </is>
      </c>
    </row>
    <row r="3062">
      <c r="A3062" t="inlineStr">
        <is>
          <t>Informe de Ensayo Preliminar 12667-2022.pdf</t>
        </is>
      </c>
      <c r="B3062">
        <f>HYPERLINK("C:\Users\lmonroy\Tema\Punto 1 y 2\63-FA01-25490 ALS LS PERU SAC\Informe de Ensayo Preliminar 12667-2022.pdf", "Link")</f>
        <v/>
      </c>
      <c r="C3062" t="n">
        <v>423475</v>
      </c>
      <c r="D3062" t="inlineStr">
        <is>
          <t>2022-04-18 09:32:00</t>
        </is>
      </c>
      <c r="E3062" t="inlineStr">
        <is>
          <t>2024-04-18 19:20:31</t>
        </is>
      </c>
      <c r="F3062" t="inlineStr">
        <is>
          <t>666</t>
        </is>
      </c>
    </row>
    <row r="3063">
      <c r="A3063" t="inlineStr">
        <is>
          <t>Informe de Ensayo Preliminar 12668-2022.pdf</t>
        </is>
      </c>
      <c r="B3063">
        <f>HYPERLINK("C:\Users\lmonroy\Tema\Punto 1 y 2\63-FA01-25490 ALS LS PERU SAC\Informe de Ensayo Preliminar 12668-2022.pdf", "Link")</f>
        <v/>
      </c>
      <c r="C3063" t="n">
        <v>311703</v>
      </c>
      <c r="D3063" t="inlineStr">
        <is>
          <t>2022-04-18 09:32:00</t>
        </is>
      </c>
      <c r="E3063" t="inlineStr">
        <is>
          <t>2024-04-18 19:20:31</t>
        </is>
      </c>
      <c r="F3063" t="inlineStr">
        <is>
          <t>666</t>
        </is>
      </c>
    </row>
    <row r="3064">
      <c r="A3064" t="inlineStr">
        <is>
          <t>Informe de Ensayo Preliminar 12669-2022.pdf</t>
        </is>
      </c>
      <c r="B3064">
        <f>HYPERLINK("C:\Users\lmonroy\Tema\Punto 1 y 2\63-FA01-25490 ALS LS PERU SAC\Informe de Ensayo Preliminar 12669-2022.pdf", "Link")</f>
        <v/>
      </c>
      <c r="C3064" t="n">
        <v>494782</v>
      </c>
      <c r="D3064" t="inlineStr">
        <is>
          <t>2022-04-18 09:32:00</t>
        </is>
      </c>
      <c r="E3064" t="inlineStr">
        <is>
          <t>2024-04-18 19:20:31</t>
        </is>
      </c>
      <c r="F3064" t="inlineStr">
        <is>
          <t>666</t>
        </is>
      </c>
    </row>
    <row r="3065">
      <c r="A3065" t="inlineStr">
        <is>
          <t>Informe de Ensayo Preliminar 12680-2022.pdf</t>
        </is>
      </c>
      <c r="B3065">
        <f>HYPERLINK("C:\Users\lmonroy\Tema\Punto 1 y 2\63-FA01-25490 ALS LS PERU SAC\Informe de Ensayo Preliminar 12680-2022.pdf", "Link")</f>
        <v/>
      </c>
      <c r="C3065" t="n">
        <v>237623</v>
      </c>
      <c r="D3065" t="inlineStr">
        <is>
          <t>2022-04-18 09:32:00</t>
        </is>
      </c>
      <c r="E3065" t="inlineStr">
        <is>
          <t>2024-04-18 19:20:31</t>
        </is>
      </c>
      <c r="F3065" t="inlineStr">
        <is>
          <t>666</t>
        </is>
      </c>
    </row>
    <row r="3066">
      <c r="A3066" t="inlineStr">
        <is>
          <t>Informe de Ensayo Preliminar 12990-2022.pdf</t>
        </is>
      </c>
      <c r="B3066">
        <f>HYPERLINK("C:\Users\lmonroy\Tema\Punto 1 y 2\63-FA01-25490 ALS LS PERU SAC\Informe de Ensayo Preliminar 12990-2022.pdf", "Link")</f>
        <v/>
      </c>
      <c r="C3066" t="n">
        <v>260356</v>
      </c>
      <c r="D3066" t="inlineStr">
        <is>
          <t>2022-04-18 09:32:00</t>
        </is>
      </c>
      <c r="E3066" t="inlineStr">
        <is>
          <t>2024-04-18 19:20:31</t>
        </is>
      </c>
      <c r="F3066" t="inlineStr">
        <is>
          <t>666</t>
        </is>
      </c>
    </row>
    <row r="3067">
      <c r="A3067" t="inlineStr">
        <is>
          <t>Informe de Ensayo Preliminar 12991-2022.pdf</t>
        </is>
      </c>
      <c r="B3067">
        <f>HYPERLINK("C:\Users\lmonroy\Tema\Punto 1 y 2\63-FA01-25490 ALS LS PERU SAC\Informe de Ensayo Preliminar 12991-2022.pdf", "Link")</f>
        <v/>
      </c>
      <c r="C3067" t="n">
        <v>273560</v>
      </c>
      <c r="D3067" t="inlineStr">
        <is>
          <t>2022-04-18 09:32:00</t>
        </is>
      </c>
      <c r="E3067" t="inlineStr">
        <is>
          <t>2024-04-18 19:20:31</t>
        </is>
      </c>
      <c r="F3067" t="inlineStr">
        <is>
          <t>666</t>
        </is>
      </c>
    </row>
    <row r="3068">
      <c r="A3068" t="inlineStr">
        <is>
          <t>OS 551.pdf</t>
        </is>
      </c>
      <c r="B3068">
        <f>HYPERLINK("C:\Users\lmonroy\Tema\Punto 1 y 2\63-FA01-25490 ALS LS PERU SAC\OS 551.pdf", "Link")</f>
        <v/>
      </c>
      <c r="C3068" t="n">
        <v>145097</v>
      </c>
      <c r="D3068" t="inlineStr">
        <is>
          <t>2022-04-18 09:32:00</t>
        </is>
      </c>
      <c r="E3068" t="inlineStr">
        <is>
          <t>2024-04-18 19:20:31</t>
        </is>
      </c>
      <c r="F3068" t="inlineStr">
        <is>
          <t>666</t>
        </is>
      </c>
    </row>
    <row r="3069">
      <c r="A3069" t="inlineStr">
        <is>
          <t>Contrato Oficina 501 502 503.pdf</t>
        </is>
      </c>
      <c r="B3069">
        <f>HYPERLINK("C:\Users\lmonroy\Tema\Punto 1 y 2\64-FFA1-5019 EDIFICADORA LIDER S.A.C\Contrato Oficina 501 502 503.pdf", "Link")</f>
        <v/>
      </c>
      <c r="C3069" t="n">
        <v>942543</v>
      </c>
      <c r="D3069" t="inlineStr">
        <is>
          <t>2022-08-25 17:43:17</t>
        </is>
      </c>
      <c r="E3069" t="inlineStr">
        <is>
          <t>2024-04-18 19:20:31</t>
        </is>
      </c>
      <c r="F3069" t="inlineStr">
        <is>
          <t>666</t>
        </is>
      </c>
    </row>
    <row r="3070">
      <c r="A3070" t="inlineStr">
        <is>
          <t>Fact. arrendamiento cochera 01 Abril 22  20505664478-01-FFA1-5020.pdf</t>
        </is>
      </c>
      <c r="B3070">
        <f>HYPERLINK("C:\Users\lmonroy\Tema\Punto 1 y 2\64-FFA1-5019 EDIFICADORA LIDER S.A.C\Fact. arrendamiento cochera 01 Abril 22  20505664478-01-FFA1-5020.pdf", "Link")</f>
        <v/>
      </c>
      <c r="C3070" t="n">
        <v>102269</v>
      </c>
      <c r="D3070" t="inlineStr">
        <is>
          <t>2022-04-06 14:57:00</t>
        </is>
      </c>
      <c r="E3070" t="inlineStr">
        <is>
          <t>2024-04-18 19:20:31</t>
        </is>
      </c>
      <c r="F3070" t="inlineStr">
        <is>
          <t>666</t>
        </is>
      </c>
    </row>
    <row r="3071">
      <c r="A3071" t="inlineStr">
        <is>
          <t>FT 005071 EDIFICADORA LIDER SAC.pdf</t>
        </is>
      </c>
      <c r="B3071">
        <f>HYPERLINK("C:\Users\lmonroy\Tema\Punto 1 y 2\65-FFA1-5071 EDIFICADORA LIDER SAC SOLES\FT 005071 EDIFICADORA LIDER SAC.pdf", "Link")</f>
        <v/>
      </c>
      <c r="C3071" t="n">
        <v>102666</v>
      </c>
      <c r="D3071" t="inlineStr">
        <is>
          <t>2022-05-03 11:40:00</t>
        </is>
      </c>
      <c r="E3071" t="inlineStr">
        <is>
          <t>2024-04-18 19:20:32</t>
        </is>
      </c>
      <c r="F3071" t="inlineStr">
        <is>
          <t>666</t>
        </is>
      </c>
    </row>
    <row r="3072">
      <c r="A3072" t="inlineStr">
        <is>
          <t>20100130204-01-FL00-00237461.pdf</t>
        </is>
      </c>
      <c r="B3072">
        <f>HYPERLINK("C:\Users\lmonroy\Tema\Punto 1 y 2\66-FL00-237461 BBVA\20100130204-01-FL00-00237461.pdf", "Link")</f>
        <v/>
      </c>
      <c r="C3072" t="n">
        <v>30007</v>
      </c>
      <c r="D3072" t="inlineStr">
        <is>
          <t>2022-04-05 16:46:00</t>
        </is>
      </c>
      <c r="E3072" t="inlineStr">
        <is>
          <t>2024-04-18 19:20:32</t>
        </is>
      </c>
      <c r="F3072" t="inlineStr">
        <is>
          <t>666</t>
        </is>
      </c>
    </row>
    <row r="3073">
      <c r="A3073" t="inlineStr">
        <is>
          <t>CONTRATO LEASING VEHICULAR.pdf</t>
        </is>
      </c>
      <c r="B3073">
        <f>HYPERLINK("C:\Users\lmonroy\Tema\Punto 1 y 2\66-FL00-237461 BBVA\CONTRATO LEASING VEHICULAR.pdf", "Link")</f>
        <v/>
      </c>
      <c r="C3073" t="n">
        <v>1964631</v>
      </c>
      <c r="D3073" t="inlineStr">
        <is>
          <t>2022-04-19 09:52:00</t>
        </is>
      </c>
      <c r="E3073" t="inlineStr">
        <is>
          <t>2024-04-18 19:20:32</t>
        </is>
      </c>
      <c r="F3073" t="inlineStr">
        <is>
          <t>666</t>
        </is>
      </c>
    </row>
    <row r="3074">
      <c r="A3074" t="inlineStr">
        <is>
          <t>CRONOGRAMA LEASING.xlsx</t>
        </is>
      </c>
      <c r="B3074">
        <f>HYPERLINK("C:\Users\lmonroy\Tema\Punto 1 y 2\66-FL00-237461 BBVA\CRONOGRAMA LEASING.xlsx", "Link")</f>
        <v/>
      </c>
      <c r="C3074" t="n">
        <v>53522</v>
      </c>
      <c r="D3074" t="inlineStr">
        <is>
          <t>2024-04-09 13:26:54</t>
        </is>
      </c>
      <c r="E3074" t="inlineStr">
        <is>
          <t>2024-04-18 19:20:32</t>
        </is>
      </c>
      <c r="F3074" t="inlineStr">
        <is>
          <t>666</t>
        </is>
      </c>
    </row>
    <row r="3075">
      <c r="A3075" t="inlineStr">
        <is>
          <t>61696 CLS- TEMA  - Sustainable Engineering Consultants S.A-signed.pdf</t>
        </is>
      </c>
      <c r="B3075">
        <f>HYPERLINK("C:\Users\lmonroy\Tema\Punto 1 y 2\67-E001-63 SUSTAINABLE ENGINEERING CONSULTANTS S.A.C\61696 CLS- TEMA  - Sustainable Engineering Consultants S.A-signed.pdf", "Link")</f>
        <v/>
      </c>
      <c r="C3075" t="n">
        <v>854296</v>
      </c>
      <c r="D3075" t="inlineStr">
        <is>
          <t>2024-04-18 16:08:08</t>
        </is>
      </c>
      <c r="E3075" t="inlineStr">
        <is>
          <t>2024-04-18 19:20:32</t>
        </is>
      </c>
      <c r="F3075" t="inlineStr">
        <is>
          <t>666</t>
        </is>
      </c>
    </row>
    <row r="3076">
      <c r="A3076" t="inlineStr">
        <is>
          <t>FT 000063 SUSTAINABLE ENGINEERING CONSULTANTS S.A.C..pdf</t>
        </is>
      </c>
      <c r="B3076">
        <f>HYPERLINK("C:\Users\lmonroy\Tema\Punto 1 y 2\67-E001-63 SUSTAINABLE ENGINEERING CONSULTANTS S.A.C\FT 000063 SUSTAINABLE ENGINEERING CONSULTANTS S.A.C..pdf", "Link")</f>
        <v/>
      </c>
      <c r="C3076" t="n">
        <v>5002</v>
      </c>
      <c r="D3076" t="inlineStr">
        <is>
          <t>2022-05-17 16:07:00</t>
        </is>
      </c>
      <c r="E3076" t="inlineStr">
        <is>
          <t>2024-04-18 19:20:32</t>
        </is>
      </c>
      <c r="F3076" t="inlineStr">
        <is>
          <t>666</t>
        </is>
      </c>
    </row>
    <row r="3077">
      <c r="A3077" t="inlineStr">
        <is>
          <t>OS 560.pdf</t>
        </is>
      </c>
      <c r="B3077">
        <f>HYPERLINK("C:\Users\lmonroy\Tema\Punto 1 y 2\67-E001-63 SUSTAINABLE ENGINEERING CONSULTANTS S.A.C\OS 560.pdf", "Link")</f>
        <v/>
      </c>
      <c r="C3077" t="n">
        <v>136410</v>
      </c>
      <c r="D3077" t="inlineStr">
        <is>
          <t>2022-05-23 16:58:00</t>
        </is>
      </c>
      <c r="E3077" t="inlineStr">
        <is>
          <t>2024-04-18 19:20:32</t>
        </is>
      </c>
      <c r="F3077" t="inlineStr">
        <is>
          <t>666</t>
        </is>
      </c>
    </row>
    <row r="3078">
      <c r="A3078" t="inlineStr">
        <is>
          <t>68-OS  AC3 CONSULTORES E.I.R.L FT 67.pdf</t>
        </is>
      </c>
      <c r="B3078">
        <f>HYPERLINK("C:\Users\lmonroy\Tema\Punto 1 y 2\68-E001-67 AC3 CONSULTORES EMPRESA INDIVIDUAL DE RESPONSABILIDAD\68-OS  AC3 CONSULTORES E.I.R.L FT 67.pdf", "Link")</f>
        <v/>
      </c>
      <c r="C3078" t="n">
        <v>79181</v>
      </c>
      <c r="D3078" t="inlineStr">
        <is>
          <t>2024-04-18 10:41:00</t>
        </is>
      </c>
      <c r="E3078" t="inlineStr">
        <is>
          <t>2024-04-18 19:20:32</t>
        </is>
      </c>
      <c r="F3078" t="inlineStr">
        <is>
          <t>666</t>
        </is>
      </c>
    </row>
    <row r="3079">
      <c r="A3079" t="inlineStr">
        <is>
          <t>FT 000067 AC3 CONSULTORES EIRL.pdf</t>
        </is>
      </c>
      <c r="B3079">
        <f>HYPERLINK("C:\Users\lmonroy\Tema\Punto 1 y 2\68-E001-67 AC3 CONSULTORES EMPRESA INDIVIDUAL DE RESPONSABILIDAD\FT 000067 AC3 CONSULTORES EIRL.pdf", "Link")</f>
        <v/>
      </c>
      <c r="C3079" t="n">
        <v>4092</v>
      </c>
      <c r="D3079" t="inlineStr">
        <is>
          <t>2022-05-09 11:31:00</t>
        </is>
      </c>
      <c r="E3079" t="inlineStr">
        <is>
          <t>2024-04-18 19:20:32</t>
        </is>
      </c>
      <c r="F3079" t="inlineStr">
        <is>
          <t>666</t>
        </is>
      </c>
    </row>
    <row r="3080">
      <c r="A3080" t="inlineStr">
        <is>
          <t>Informe Técnico Abril 2022 TEMA.pdf</t>
        </is>
      </c>
      <c r="B3080">
        <f>HYPERLINK("C:\Users\lmonroy\Tema\Punto 1 y 2\68-E001-67 AC3 CONSULTORES EMPRESA INDIVIDUAL DE RESPONSABILIDAD\Informe Técnico Abril 2022 TEMA.pdf", "Link")</f>
        <v/>
      </c>
      <c r="C3080" t="n">
        <v>70050</v>
      </c>
      <c r="D3080" t="inlineStr">
        <is>
          <t>2024-04-18 17:47:40</t>
        </is>
      </c>
      <c r="E3080" t="inlineStr">
        <is>
          <t>2024-04-18 19:20:32</t>
        </is>
      </c>
      <c r="F3080" t="inlineStr">
        <is>
          <t>666</t>
        </is>
      </c>
    </row>
    <row r="3081">
      <c r="A3081" t="inlineStr">
        <is>
          <t>61946- CLS- TEMA - ENMODEL SAC(rv0)_OM.pdf</t>
        </is>
      </c>
      <c r="B3081">
        <f>HYPERLINK("C:\Users\lmonroy\Tema\Punto 1 y 2\69-E05175 ENMODEL SAC\61946- CLS- TEMA - ENMODEL SAC(rv0)_OM.pdf", "Link")</f>
        <v/>
      </c>
      <c r="C3081" t="n">
        <v>711319</v>
      </c>
      <c r="D3081" t="inlineStr">
        <is>
          <t>2022-04-22 15:51:00</t>
        </is>
      </c>
      <c r="E3081" t="inlineStr">
        <is>
          <t>2024-04-18 19:20:32</t>
        </is>
      </c>
      <c r="F3081" t="inlineStr">
        <is>
          <t>666</t>
        </is>
      </c>
    </row>
    <row r="3082">
      <c r="A3082" t="inlineStr">
        <is>
          <t>69-OS ENMODEL SA  FT 71.pdf</t>
        </is>
      </c>
      <c r="B3082">
        <f>HYPERLINK("C:\Users\lmonroy\Tema\Punto 1 y 2\69-E05175 ENMODEL SAC\69-OS ENMODEL SA  FT 71.pdf", "Link")</f>
        <v/>
      </c>
      <c r="C3082" t="n">
        <v>81740</v>
      </c>
      <c r="D3082" t="inlineStr">
        <is>
          <t>2024-04-18 10:41:00</t>
        </is>
      </c>
      <c r="E3082" t="inlineStr">
        <is>
          <t>2024-04-18 19:20:32</t>
        </is>
      </c>
      <c r="F3082" t="inlineStr">
        <is>
          <t>666</t>
        </is>
      </c>
    </row>
    <row r="3083">
      <c r="A3083" t="inlineStr">
        <is>
          <t>FT 000071 ENMODEL SAC.pdf</t>
        </is>
      </c>
      <c r="B3083">
        <f>HYPERLINK("C:\Users\lmonroy\Tema\Punto 1 y 2\69-E05175 ENMODEL SAC\FT 000071 ENMODEL SAC.pdf", "Link")</f>
        <v/>
      </c>
      <c r="C3083" t="n">
        <v>164494</v>
      </c>
      <c r="D3083" t="inlineStr">
        <is>
          <t>2022-05-27 12:27:00</t>
        </is>
      </c>
      <c r="E3083" t="inlineStr">
        <is>
          <t>2024-04-18 19:20:32</t>
        </is>
      </c>
      <c r="F3083" t="inlineStr">
        <is>
          <t>666</t>
        </is>
      </c>
    </row>
    <row r="3084">
      <c r="A3084" t="inlineStr">
        <is>
          <t>CONTRATO_TEMA_APM-2022.pdf</t>
        </is>
      </c>
      <c r="B3084">
        <f>HYPERLINK("C:\Users\lmonroy\Tema\Punto 1 y 2\70-E001-80 PERFOCON S.A.C\CONTRATO_TEMA_APM-2022.pdf", "Link")</f>
        <v/>
      </c>
      <c r="C3084" t="n">
        <v>789811</v>
      </c>
      <c r="D3084" t="inlineStr">
        <is>
          <t>2022-05-02 13:31:00</t>
        </is>
      </c>
      <c r="E3084" t="inlineStr">
        <is>
          <t>2024-04-18 19:20:32</t>
        </is>
      </c>
      <c r="F3084" t="inlineStr">
        <is>
          <t>666</t>
        </is>
      </c>
    </row>
    <row r="3085">
      <c r="A3085" t="inlineStr">
        <is>
          <t>FT 000080 PERFOCONT SAC.pdf</t>
        </is>
      </c>
      <c r="B3085">
        <f>HYPERLINK("C:\Users\lmonroy\Tema\Punto 1 y 2\70-E001-80 PERFOCON S.A.C\FT 000080 PERFOCONT SAC.pdf", "Link")</f>
        <v/>
      </c>
      <c r="C3085" t="n">
        <v>4945</v>
      </c>
      <c r="D3085" t="inlineStr">
        <is>
          <t>2022-05-02 13:31:00</t>
        </is>
      </c>
      <c r="E3085" t="inlineStr">
        <is>
          <t>2024-04-18 19:20:32</t>
        </is>
      </c>
      <c r="F3085" t="inlineStr">
        <is>
          <t>666</t>
        </is>
      </c>
    </row>
    <row r="3086">
      <c r="A3086" t="inlineStr">
        <is>
          <t>OC-789.pdf</t>
        </is>
      </c>
      <c r="B3086">
        <f>HYPERLINK("C:\Users\lmonroy\Tema\Punto 1 y 2\70-E001-80 PERFOCON S.A.C\OC-789.pdf", "Link")</f>
        <v/>
      </c>
      <c r="C3086" t="n">
        <v>91780</v>
      </c>
      <c r="D3086" t="inlineStr">
        <is>
          <t>2022-05-02 13:31:00</t>
        </is>
      </c>
      <c r="E3086" t="inlineStr">
        <is>
          <t>2024-04-18 19:20:32</t>
        </is>
      </c>
      <c r="F3086" t="inlineStr">
        <is>
          <t>666</t>
        </is>
      </c>
    </row>
    <row r="3087">
      <c r="A3087" t="inlineStr">
        <is>
          <t>PERFOCON-REPORTE DIARIO (1).pdf</t>
        </is>
      </c>
      <c r="B3087">
        <f>HYPERLINK("C:\Users\lmonroy\Tema\Punto 1 y 2\70-E001-80 PERFOCON S.A.C\PERFOCON-REPORTE DIARIO (1).pdf", "Link")</f>
        <v/>
      </c>
      <c r="C3087" t="n">
        <v>4624121</v>
      </c>
      <c r="D3087" t="inlineStr">
        <is>
          <t>2022-05-02 13:31:00</t>
        </is>
      </c>
      <c r="E3087" t="inlineStr">
        <is>
          <t>2024-04-18 19:20:32</t>
        </is>
      </c>
      <c r="F3087" t="inlineStr">
        <is>
          <t>666</t>
        </is>
      </c>
    </row>
    <row r="3088">
      <c r="A3088" t="inlineStr">
        <is>
          <t>PRECIARIO_APM_CALLAO_2022.pdf</t>
        </is>
      </c>
      <c r="B3088">
        <f>HYPERLINK("C:\Users\lmonroy\Tema\Punto 1 y 2\70-E001-80 PERFOCON S.A.C\PRECIARIO_APM_CALLAO_2022.pdf", "Link")</f>
        <v/>
      </c>
      <c r="C3088" t="n">
        <v>495547</v>
      </c>
      <c r="D3088" t="inlineStr">
        <is>
          <t>2022-05-02 13:31:00</t>
        </is>
      </c>
      <c r="E3088" t="inlineStr">
        <is>
          <t>2024-04-18 19:20:33</t>
        </is>
      </c>
      <c r="F3088" t="inlineStr">
        <is>
          <t>666</t>
        </is>
      </c>
    </row>
    <row r="3089">
      <c r="A3089" t="inlineStr">
        <is>
          <t>CONTROL DE FIRMAS TEMA 02-08mayo2022.pdf</t>
        </is>
      </c>
      <c r="B3089">
        <f>HYPERLINK("C:\Users\lmonroy\Tema\Punto 1 y 2\71-E001-110 ECHE CLAVIJO GIL LUIS 2\CONTROL DE FIRMAS TEMA 02-08mayo2022.pdf", "Link")</f>
        <v/>
      </c>
      <c r="C3089" t="n">
        <v>218469</v>
      </c>
      <c r="D3089" t="inlineStr">
        <is>
          <t>2022-05-09 12:56:00</t>
        </is>
      </c>
      <c r="E3089" t="inlineStr">
        <is>
          <t>2024-04-18 19:20:33</t>
        </is>
      </c>
      <c r="F3089" t="inlineStr">
        <is>
          <t>666</t>
        </is>
      </c>
    </row>
    <row r="3090">
      <c r="A3090" t="inlineStr">
        <is>
          <t>FT 000110 ECHE CLAVIJO GIL LUIS.pdf</t>
        </is>
      </c>
      <c r="B3090">
        <f>HYPERLINK("C:\Users\lmonroy\Tema\Punto 1 y 2\71-E001-110 ECHE CLAVIJO GIL LUIS 2\FT 000110 ECHE CLAVIJO GIL LUIS.pdf", "Link")</f>
        <v/>
      </c>
      <c r="C3090" t="n">
        <v>4252</v>
      </c>
      <c r="D3090" t="inlineStr">
        <is>
          <t>2022-05-09 12:56:00</t>
        </is>
      </c>
      <c r="E3090" t="inlineStr">
        <is>
          <t>2024-04-18 19:20:33</t>
        </is>
      </c>
      <c r="F3090" t="inlineStr">
        <is>
          <t>666</t>
        </is>
      </c>
    </row>
    <row r="3091">
      <c r="A3091" t="inlineStr">
        <is>
          <t>OC-812.pdf</t>
        </is>
      </c>
      <c r="B3091">
        <f>HYPERLINK("C:\Users\lmonroy\Tema\Punto 1 y 2\71-E001-110 ECHE CLAVIJO GIL LUIS 2\OC-812.pdf", "Link")</f>
        <v/>
      </c>
      <c r="C3091" t="n">
        <v>77913</v>
      </c>
      <c r="D3091" t="inlineStr">
        <is>
          <t>2022-05-09 12:56:00</t>
        </is>
      </c>
      <c r="E3091" t="inlineStr">
        <is>
          <t>2024-04-18 19:20:33</t>
        </is>
      </c>
      <c r="F3091" t="inlineStr">
        <is>
          <t>666</t>
        </is>
      </c>
    </row>
    <row r="3092">
      <c r="A3092" t="inlineStr">
        <is>
          <t>Planilla de comensales Firmado.pdf</t>
        </is>
      </c>
      <c r="B3092">
        <f>HYPERLINK("C:\Users\lmonroy\Tema\Punto 1 y 2\71-E001-110 ECHE CLAVIJO GIL LUIS 2\Planilla de comensales Firmado.pdf", "Link")</f>
        <v/>
      </c>
      <c r="C3092" t="n">
        <v>1100842</v>
      </c>
      <c r="D3092" t="inlineStr">
        <is>
          <t>2022-05-09 12:56:00</t>
        </is>
      </c>
      <c r="E3092" t="inlineStr">
        <is>
          <t>2024-04-18 19:20:33</t>
        </is>
      </c>
      <c r="F3092" t="inlineStr">
        <is>
          <t>666</t>
        </is>
      </c>
    </row>
    <row r="3093">
      <c r="A3093" t="inlineStr">
        <is>
          <t>VALORIZACION TEMA 02-08mayo2022.pdf</t>
        </is>
      </c>
      <c r="B3093">
        <f>HYPERLINK("C:\Users\lmonroy\Tema\Punto 1 y 2\71-E001-110 ECHE CLAVIJO GIL LUIS 2\VALORIZACION TEMA 02-08mayo2022.pdf", "Link")</f>
        <v/>
      </c>
      <c r="C3093" t="n">
        <v>234465</v>
      </c>
      <c r="D3093" t="inlineStr">
        <is>
          <t>2022-05-09 12:56:00</t>
        </is>
      </c>
      <c r="E3093" t="inlineStr">
        <is>
          <t>2024-04-18 19:20:33</t>
        </is>
      </c>
      <c r="F3093" t="inlineStr">
        <is>
          <t>666</t>
        </is>
      </c>
    </row>
    <row r="3094">
      <c r="A3094" t="inlineStr">
        <is>
          <t>CONTROL DE FIRMAS TEMA 09-12mayo2022.pdf</t>
        </is>
      </c>
      <c r="B3094">
        <f>HYPERLINK("C:\Users\lmonroy\Tema\Punto 1 y 2\72-E001-111 ECHE CLAVIJO GIL LUIS\CONTROL DE FIRMAS TEMA 09-12mayo2022.pdf", "Link")</f>
        <v/>
      </c>
      <c r="C3094" t="n">
        <v>216663</v>
      </c>
      <c r="D3094" t="inlineStr">
        <is>
          <t>2022-05-13 17:29:00</t>
        </is>
      </c>
      <c r="E3094" t="inlineStr">
        <is>
          <t>2024-04-18 19:20:33</t>
        </is>
      </c>
      <c r="F3094" t="inlineStr">
        <is>
          <t>666</t>
        </is>
      </c>
    </row>
    <row r="3095">
      <c r="A3095" t="inlineStr">
        <is>
          <t>FT 000111 ECHE CLAVIJO GIL LUIS.pdf</t>
        </is>
      </c>
      <c r="B3095">
        <f>HYPERLINK("C:\Users\lmonroy\Tema\Punto 1 y 2\72-E001-111 ECHE CLAVIJO GIL LUIS\FT 000111 ECHE CLAVIJO GIL LUIS.pdf", "Link")</f>
        <v/>
      </c>
      <c r="C3095" t="n">
        <v>4241</v>
      </c>
      <c r="D3095" t="inlineStr">
        <is>
          <t>2022-05-13 17:29:00</t>
        </is>
      </c>
      <c r="E3095" t="inlineStr">
        <is>
          <t>2024-04-18 19:20:33</t>
        </is>
      </c>
      <c r="F3095" t="inlineStr">
        <is>
          <t>666</t>
        </is>
      </c>
    </row>
    <row r="3096">
      <c r="A3096" t="inlineStr">
        <is>
          <t>OC-817.pdf</t>
        </is>
      </c>
      <c r="B3096">
        <f>HYPERLINK("C:\Users\lmonroy\Tema\Punto 1 y 2\72-E001-111 ECHE CLAVIJO GIL LUIS\OC-817.pdf", "Link")</f>
        <v/>
      </c>
      <c r="C3096" t="n">
        <v>79812</v>
      </c>
      <c r="D3096" t="inlineStr">
        <is>
          <t>2022-05-13 17:29:00</t>
        </is>
      </c>
      <c r="E3096" t="inlineStr">
        <is>
          <t>2024-04-18 19:20:33</t>
        </is>
      </c>
      <c r="F3096" t="inlineStr">
        <is>
          <t>666</t>
        </is>
      </c>
    </row>
    <row r="3097">
      <c r="A3097" t="inlineStr">
        <is>
          <t>PLANILLA PERSONAL TEMA 09-12MAY.pdf</t>
        </is>
      </c>
      <c r="B3097">
        <f>HYPERLINK("C:\Users\lmonroy\Tema\Punto 1 y 2\72-E001-111 ECHE CLAVIJO GIL LUIS\PLANILLA PERSONAL TEMA 09-12MAY.pdf", "Link")</f>
        <v/>
      </c>
      <c r="C3097" t="n">
        <v>1048911</v>
      </c>
      <c r="D3097" t="inlineStr">
        <is>
          <t>2022-05-13 17:29:00</t>
        </is>
      </c>
      <c r="E3097" t="inlineStr">
        <is>
          <t>2024-04-18 19:20:33</t>
        </is>
      </c>
      <c r="F3097" t="inlineStr">
        <is>
          <t>666</t>
        </is>
      </c>
    </row>
    <row r="3098">
      <c r="A3098" t="inlineStr">
        <is>
          <t>VALORIZACION TEMA 09-12mayo2022.pdf</t>
        </is>
      </c>
      <c r="B3098">
        <f>HYPERLINK("C:\Users\lmonroy\Tema\Punto 1 y 2\72-E001-111 ECHE CLAVIJO GIL LUIS\VALORIZACION TEMA 09-12mayo2022.pdf", "Link")</f>
        <v/>
      </c>
      <c r="C3098" t="n">
        <v>233113</v>
      </c>
      <c r="D3098" t="inlineStr">
        <is>
          <t>2022-05-13 17:29:00</t>
        </is>
      </c>
      <c r="E3098" t="inlineStr">
        <is>
          <t>2024-04-18 19:20:33</t>
        </is>
      </c>
      <c r="F3098" t="inlineStr">
        <is>
          <t>666</t>
        </is>
      </c>
    </row>
    <row r="3099">
      <c r="A3099" t="inlineStr">
        <is>
          <t>4 CPS - Salud Ocupacional - Octubre 2021.pdf</t>
        </is>
      </c>
      <c r="B3099">
        <f>HYPERLINK("C:\Users\lmonroy\Tema\Punto 1 y 2\73-E001-146 MEDICINE &amp; SAFETY SAC\4 CPS - Salud Ocupacional - Octubre 2021.pdf", "Link")</f>
        <v/>
      </c>
      <c r="C3099" t="n">
        <v>146425</v>
      </c>
      <c r="D3099" t="inlineStr">
        <is>
          <t>2024-04-17 19:36:15</t>
        </is>
      </c>
      <c r="E3099" t="inlineStr">
        <is>
          <t>2024-04-18 19:20:33</t>
        </is>
      </c>
      <c r="F3099" t="inlineStr">
        <is>
          <t>666</t>
        </is>
      </c>
    </row>
    <row r="3100">
      <c r="A3100" t="inlineStr">
        <is>
          <t>73-OS MEDICINE &amp; SAFETY SAC FE 146.pdf</t>
        </is>
      </c>
      <c r="B3100">
        <f>HYPERLINK("C:\Users\lmonroy\Tema\Punto 1 y 2\73-E001-146 MEDICINE &amp; SAFETY SAC\73-OS MEDICINE &amp; SAFETY SAC FE 146.pdf", "Link")</f>
        <v/>
      </c>
      <c r="C3100" t="n">
        <v>81794</v>
      </c>
      <c r="D3100" t="inlineStr">
        <is>
          <t>2024-04-18 10:41:00</t>
        </is>
      </c>
      <c r="E3100" t="inlineStr">
        <is>
          <t>2024-04-18 19:20:33</t>
        </is>
      </c>
      <c r="F3100" t="inlineStr">
        <is>
          <t>666</t>
        </is>
      </c>
    </row>
    <row r="3101">
      <c r="A3101" t="inlineStr">
        <is>
          <t>FT 000146 MEDICINE &amp; SAFETY SAC.pdf</t>
        </is>
      </c>
      <c r="B3101">
        <f>HYPERLINK("C:\Users\lmonroy\Tema\Punto 1 y 2\73-E001-146 MEDICINE &amp; SAFETY SAC\FT 000146 MEDICINE &amp; SAFETY SAC.pdf", "Link")</f>
        <v/>
      </c>
      <c r="C3101" t="n">
        <v>4804</v>
      </c>
      <c r="D3101" t="inlineStr">
        <is>
          <t>2022-05-27 15:37:00</t>
        </is>
      </c>
      <c r="E3101" t="inlineStr">
        <is>
          <t>2024-04-18 19:20:33</t>
        </is>
      </c>
      <c r="F3101" t="inlineStr">
        <is>
          <t>666</t>
        </is>
      </c>
    </row>
    <row r="3102">
      <c r="A3102" t="inlineStr">
        <is>
          <t>constancia de mantenimiento V9V912 18-03-22.pdf</t>
        </is>
      </c>
      <c r="B3102">
        <f>HYPERLINK("C:\Users\lmonroy\Tema\Punto 1 y 2\74-E001-471 AGORA SERVICIOS MULTIPLES S.A.C\constancia de mantenimiento V9V912 18-03-22.pdf", "Link")</f>
        <v/>
      </c>
      <c r="C3102" t="n">
        <v>3805688</v>
      </c>
      <c r="D3102" t="inlineStr">
        <is>
          <t>2022-05-19 12:44:00</t>
        </is>
      </c>
      <c r="E3102" t="inlineStr">
        <is>
          <t>2024-04-18 19:20:33</t>
        </is>
      </c>
      <c r="F3102" t="inlineStr">
        <is>
          <t>666</t>
        </is>
      </c>
    </row>
    <row r="3103">
      <c r="A3103" t="inlineStr">
        <is>
          <t>CONTRATO N° 128.pdf</t>
        </is>
      </c>
      <c r="B3103">
        <f>HYPERLINK("C:\Users\lmonroy\Tema\Punto 1 y 2\74-E001-471 AGORA SERVICIOS MULTIPLES S.A.C\CONTRATO N° 128.pdf", "Link")</f>
        <v/>
      </c>
      <c r="C3103" t="n">
        <v>298393</v>
      </c>
      <c r="D3103" t="inlineStr">
        <is>
          <t>2024-04-18 15:35:06</t>
        </is>
      </c>
      <c r="E3103" t="inlineStr">
        <is>
          <t>2024-04-18 19:20:34</t>
        </is>
      </c>
      <c r="F3103" t="inlineStr">
        <is>
          <t>666</t>
        </is>
      </c>
    </row>
    <row r="3104">
      <c r="A3104" t="inlineStr">
        <is>
          <t>FACTURA E001-220 (02-05-22).jpg</t>
        </is>
      </c>
      <c r="B3104">
        <f>HYPERLINK("C:\Users\lmonroy\Tema\Punto 1 y 2\74-E001-471 AGORA SERVICIOS MULTIPLES S.A.C\FACTURA E001-220 (02-05-22).jpg", "Link")</f>
        <v/>
      </c>
      <c r="C3104" t="n">
        <v>73789</v>
      </c>
      <c r="D3104" t="inlineStr">
        <is>
          <t>2022-05-19 12:44:00</t>
        </is>
      </c>
      <c r="E3104" t="inlineStr">
        <is>
          <t>2024-04-18 19:20:34</t>
        </is>
      </c>
      <c r="F3104" t="inlineStr">
        <is>
          <t>666</t>
        </is>
      </c>
    </row>
    <row r="3105">
      <c r="A3105" t="inlineStr">
        <is>
          <t>FT 000471 AGORA SERVICIOS MULTIPLES S.A.C..pdf</t>
        </is>
      </c>
      <c r="B3105">
        <f>HYPERLINK("C:\Users\lmonroy\Tema\Punto 1 y 2\74-E001-471 AGORA SERVICIOS MULTIPLES S.A.C\FT 000471 AGORA SERVICIOS MULTIPLES S.A.C..pdf", "Link")</f>
        <v/>
      </c>
      <c r="C3105" t="n">
        <v>141068</v>
      </c>
      <c r="D3105" t="inlineStr">
        <is>
          <t>2022-05-19 12:44:00</t>
        </is>
      </c>
      <c r="E3105" t="inlineStr">
        <is>
          <t>2024-04-18 19:20:34</t>
        </is>
      </c>
      <c r="F3105" t="inlineStr">
        <is>
          <t>666</t>
        </is>
      </c>
    </row>
    <row r="3106">
      <c r="A3106" t="inlineStr">
        <is>
          <t>HOJA DE MANTENIMIENTO V9V912-4.pdf</t>
        </is>
      </c>
      <c r="B3106">
        <f>HYPERLINK("C:\Users\lmonroy\Tema\Punto 1 y 2\74-E001-471 AGORA SERVICIOS MULTIPLES S.A.C\HOJA DE MANTENIMIENTO V9V912-4.pdf", "Link")</f>
        <v/>
      </c>
      <c r="C3106" t="n">
        <v>906036</v>
      </c>
      <c r="D3106" t="inlineStr">
        <is>
          <t>2022-05-19 12:44:00</t>
        </is>
      </c>
      <c r="E3106" t="inlineStr">
        <is>
          <t>2024-04-18 19:20:34</t>
        </is>
      </c>
      <c r="F3106" t="inlineStr">
        <is>
          <t>666</t>
        </is>
      </c>
    </row>
    <row r="3107">
      <c r="A3107" t="inlineStr">
        <is>
          <t>OC-819.pdf</t>
        </is>
      </c>
      <c r="B3107">
        <f>HYPERLINK("C:\Users\lmonroy\Tema\Punto 1 y 2\74-E001-471 AGORA SERVICIOS MULTIPLES S.A.C\OC-819.pdf", "Link")</f>
        <v/>
      </c>
      <c r="C3107" t="n">
        <v>79915</v>
      </c>
      <c r="D3107" t="inlineStr">
        <is>
          <t>2022-05-19 12:44:00</t>
        </is>
      </c>
      <c r="E3107" t="inlineStr">
        <is>
          <t>2024-04-18 19:20:34</t>
        </is>
      </c>
      <c r="F3107" t="inlineStr">
        <is>
          <t>666</t>
        </is>
      </c>
    </row>
    <row r="3108">
      <c r="A3108" t="inlineStr">
        <is>
          <t>PLAN DE MANTENIMIENTO.jpg</t>
        </is>
      </c>
      <c r="B3108">
        <f>HYPERLINK("C:\Users\lmonroy\Tema\Punto 1 y 2\74-E001-471 AGORA SERVICIOS MULTIPLES S.A.C\PLAN DE MANTENIMIENTO.jpg", "Link")</f>
        <v/>
      </c>
      <c r="C3108" t="n">
        <v>96524</v>
      </c>
      <c r="D3108" t="inlineStr">
        <is>
          <t>2022-05-19 12:44:00</t>
        </is>
      </c>
      <c r="E3108" t="inlineStr">
        <is>
          <t>2024-04-18 19:20:34</t>
        </is>
      </c>
      <c r="F3108" t="inlineStr">
        <is>
          <t>666</t>
        </is>
      </c>
    </row>
    <row r="3109">
      <c r="A3109" t="inlineStr">
        <is>
          <t>CONTRATO N° 129.pdf</t>
        </is>
      </c>
      <c r="B3109">
        <f>HYPERLINK("C:\Users\lmonroy\Tema\Punto 1 y 2\75-E001-472 AGORA SERVICIOS MULTIPLES S.A.C\CONTRATO N° 129.pdf", "Link")</f>
        <v/>
      </c>
      <c r="C3109" t="n">
        <v>293256</v>
      </c>
      <c r="D3109" t="inlineStr">
        <is>
          <t>2024-04-18 15:34:37</t>
        </is>
      </c>
      <c r="E3109" t="inlineStr">
        <is>
          <t>2024-04-18 19:20:34</t>
        </is>
      </c>
      <c r="F3109" t="inlineStr">
        <is>
          <t>666</t>
        </is>
      </c>
    </row>
    <row r="3110">
      <c r="A3110" t="inlineStr">
        <is>
          <t>FT 000472 AGORA SERVICIOS MULTIPLES S.A.C..pdf</t>
        </is>
      </c>
      <c r="B3110">
        <f>HYPERLINK("C:\Users\lmonroy\Tema\Punto 1 y 2\75-E001-472 AGORA SERVICIOS MULTIPLES S.A.C\FT 000472 AGORA SERVICIOS MULTIPLES S.A.C..pdf", "Link")</f>
        <v/>
      </c>
      <c r="C3110" t="n">
        <v>140928</v>
      </c>
      <c r="D3110" t="inlineStr">
        <is>
          <t>2022-05-19 12:44:00</t>
        </is>
      </c>
      <c r="E3110" t="inlineStr">
        <is>
          <t>2024-04-18 19:20:34</t>
        </is>
      </c>
      <c r="F3110" t="inlineStr">
        <is>
          <t>666</t>
        </is>
      </c>
    </row>
    <row r="3111">
      <c r="A3111" t="inlineStr">
        <is>
          <t>OC-819.pdf</t>
        </is>
      </c>
      <c r="B3111">
        <f>HYPERLINK("C:\Users\lmonroy\Tema\Punto 1 y 2\75-E001-472 AGORA SERVICIOS MULTIPLES S.A.C\OC-819.pdf", "Link")</f>
        <v/>
      </c>
      <c r="C3111" t="n">
        <v>79915</v>
      </c>
      <c r="D3111" t="inlineStr">
        <is>
          <t>2022-05-19 12:44:00</t>
        </is>
      </c>
      <c r="E3111" t="inlineStr">
        <is>
          <t>2024-04-18 19:20:34</t>
        </is>
      </c>
      <c r="F3111" t="inlineStr">
        <is>
          <t>666</t>
        </is>
      </c>
    </row>
    <row r="3112">
      <c r="A3112" t="inlineStr">
        <is>
          <t>76-OS CORPORACIÓN SURE SAC FT 611.pdf</t>
        </is>
      </c>
      <c r="B3112">
        <f>HYPERLINK("C:\Users\lmonroy\Tema\Punto 1 y 2\76-E001-611 CORPORACION SURE SAC\76-OS CORPORACIÓN SURE SAC FT 611.pdf", "Link")</f>
        <v/>
      </c>
      <c r="C3112" t="n">
        <v>78355</v>
      </c>
      <c r="D3112" t="inlineStr">
        <is>
          <t>2024-04-18 10:41:00</t>
        </is>
      </c>
      <c r="E3112" t="inlineStr">
        <is>
          <t>2024-04-18 19:20:34</t>
        </is>
      </c>
      <c r="F3112" t="inlineStr">
        <is>
          <t>666</t>
        </is>
      </c>
    </row>
    <row r="3113">
      <c r="A3113" t="inlineStr">
        <is>
          <t>FT 000611 CORPORACION SURE SAC.pdf</t>
        </is>
      </c>
      <c r="B3113">
        <f>HYPERLINK("C:\Users\lmonroy\Tema\Punto 1 y 2\76-E001-611 CORPORACION SURE SAC\FT 000611 CORPORACION SURE SAC.pdf", "Link")</f>
        <v/>
      </c>
      <c r="C3113" t="n">
        <v>4864</v>
      </c>
      <c r="D3113" t="inlineStr">
        <is>
          <t>2022-05-05 10:03:00</t>
        </is>
      </c>
      <c r="E3113" t="inlineStr">
        <is>
          <t>2024-04-18 19:20:34</t>
        </is>
      </c>
      <c r="F3113" t="inlineStr">
        <is>
          <t>666</t>
        </is>
      </c>
    </row>
    <row r="3114">
      <c r="A3114" t="inlineStr">
        <is>
          <t>Informe QMS EMS SST Marzo 2022.pdf</t>
        </is>
      </c>
      <c r="B3114">
        <f>HYPERLINK("C:\Users\lmonroy\Tema\Punto 1 y 2\76-E001-611 CORPORACION SURE SAC\Informe QMS EMS SST Marzo 2022.pdf", "Link")</f>
        <v/>
      </c>
      <c r="C3114" t="n">
        <v>61503</v>
      </c>
      <c r="D3114" t="inlineStr">
        <is>
          <t>2024-04-18 17:31:46</t>
        </is>
      </c>
      <c r="E3114" t="inlineStr">
        <is>
          <t>2024-04-18 19:20:34</t>
        </is>
      </c>
      <c r="F3114" t="inlineStr">
        <is>
          <t>666</t>
        </is>
      </c>
    </row>
    <row r="3115">
      <c r="A3115" t="inlineStr">
        <is>
          <t>77-OS CORPORACIÓN SURE SAC FT 625.pdf</t>
        </is>
      </c>
      <c r="B3115">
        <f>HYPERLINK("C:\Users\lmonroy\Tema\Punto 1 y 2\77-E001-625 CORPORACION SURE SAC\77-OS CORPORACIÓN SURE SAC FT 625.pdf", "Link")</f>
        <v/>
      </c>
      <c r="C3115" t="n">
        <v>81561</v>
      </c>
      <c r="D3115" t="inlineStr">
        <is>
          <t>2024-04-18 10:41:00</t>
        </is>
      </c>
      <c r="E3115" t="inlineStr">
        <is>
          <t>2024-04-18 19:20:34</t>
        </is>
      </c>
      <c r="F3115" t="inlineStr">
        <is>
          <t>666</t>
        </is>
      </c>
    </row>
    <row r="3116">
      <c r="A3116" t="inlineStr">
        <is>
          <t>FT 000625 CORPORACION SURE SAC.pdf</t>
        </is>
      </c>
      <c r="B3116">
        <f>HYPERLINK("C:\Users\lmonroy\Tema\Punto 1 y 2\77-E001-625 CORPORACION SURE SAC\FT 000625 CORPORACION SURE SAC.pdf", "Link")</f>
        <v/>
      </c>
      <c r="C3116" t="n">
        <v>4863</v>
      </c>
      <c r="D3116" t="inlineStr">
        <is>
          <t>2022-05-30 17:24:00</t>
        </is>
      </c>
      <c r="E3116" t="inlineStr">
        <is>
          <t>2024-04-18 19:20:34</t>
        </is>
      </c>
      <c r="F3116" t="inlineStr">
        <is>
          <t>666</t>
        </is>
      </c>
    </row>
    <row r="3117">
      <c r="A3117" t="inlineStr">
        <is>
          <t>Informe QMS EMS SST Mayo 2022.pdf</t>
        </is>
      </c>
      <c r="B3117">
        <f>HYPERLINK("C:\Users\lmonroy\Tema\Punto 1 y 2\77-E001-625 CORPORACION SURE SAC\Informe QMS EMS SST Mayo 2022.pdf", "Link")</f>
        <v/>
      </c>
      <c r="C3117" t="n">
        <v>61325</v>
      </c>
      <c r="D3117" t="inlineStr">
        <is>
          <t>2024-04-18 17:27:09</t>
        </is>
      </c>
      <c r="E3117" t="inlineStr">
        <is>
          <t>2024-04-18 19:20:34</t>
        </is>
      </c>
      <c r="F3117" t="inlineStr">
        <is>
          <t>666</t>
        </is>
      </c>
    </row>
    <row r="3118">
      <c r="A3118" t="inlineStr">
        <is>
          <t>ALQUIBARSA Programacion_Personal 10 al 17 may TEMA.XLSM</t>
        </is>
      </c>
      <c r="B3118">
        <f>HYPERLINK("C:\Users\lmonroy\Tema\Punto 1 y 2\78-E001-4608 ALQUIBARSA PERU SAC\ALQUIBARSA Programacion_Personal 10 al 17 may TEMA.XLSM", "Link")</f>
        <v/>
      </c>
      <c r="C3118" t="n">
        <v>1279391</v>
      </c>
      <c r="D3118" t="inlineStr">
        <is>
          <t>2022-05-10 11:27:00</t>
        </is>
      </c>
      <c r="E3118" t="inlineStr">
        <is>
          <t>2024-04-18 19:20:34</t>
        </is>
      </c>
      <c r="F3118" t="inlineStr">
        <is>
          <t>666</t>
        </is>
      </c>
    </row>
    <row r="3119">
      <c r="A3119" t="inlineStr">
        <is>
          <t>FT 004608 ALQUIBARSA PERU SAC.PDF</t>
        </is>
      </c>
      <c r="B3119">
        <f>HYPERLINK("C:\Users\lmonroy\Tema\Punto 1 y 2\78-E001-4608 ALQUIBARSA PERU SAC\FT 004608 ALQUIBARSA PERU SAC.PDF", "Link")</f>
        <v/>
      </c>
      <c r="C3119" t="n">
        <v>4073</v>
      </c>
      <c r="D3119" t="inlineStr">
        <is>
          <t>2022-05-10 11:27:00</t>
        </is>
      </c>
      <c r="E3119" t="inlineStr">
        <is>
          <t>2024-04-18 19:20:35</t>
        </is>
      </c>
      <c r="F3119" t="inlineStr">
        <is>
          <t>666</t>
        </is>
      </c>
    </row>
    <row r="3120">
      <c r="A3120" t="inlineStr">
        <is>
          <t>OC-814.pdf</t>
        </is>
      </c>
      <c r="B3120">
        <f>HYPERLINK("C:\Users\lmonroy\Tema\Punto 1 y 2\78-E001-4608 ALQUIBARSA PERU SAC\OC-814.pdf", "Link")</f>
        <v/>
      </c>
      <c r="C3120" t="n">
        <v>80931</v>
      </c>
      <c r="D3120" t="inlineStr">
        <is>
          <t>2022-05-10 11:27:00</t>
        </is>
      </c>
      <c r="E3120" t="inlineStr">
        <is>
          <t>2024-04-18 19:20:35</t>
        </is>
      </c>
      <c r="F3120" t="inlineStr">
        <is>
          <t>666</t>
        </is>
      </c>
    </row>
    <row r="3121">
      <c r="A3121" t="inlineStr">
        <is>
          <t>OFERTA COMERCIAL TEMA Conexión Exterior.pdf</t>
        </is>
      </c>
      <c r="B3121">
        <f>HYPERLINK("C:\Users\lmonroy\Tema\Punto 1 y 2\78-E001-4608 ALQUIBARSA PERU SAC\OFERTA COMERCIAL TEMA Conexión Exterior.pdf", "Link")</f>
        <v/>
      </c>
      <c r="C3121" t="n">
        <v>684713</v>
      </c>
      <c r="D3121" t="inlineStr">
        <is>
          <t>2022-05-10 11:27:00</t>
        </is>
      </c>
      <c r="E3121" t="inlineStr">
        <is>
          <t>2024-04-18 19:20:35</t>
        </is>
      </c>
      <c r="F3121" t="inlineStr">
        <is>
          <t>666</t>
        </is>
      </c>
    </row>
    <row r="3122">
      <c r="A3122" t="inlineStr">
        <is>
          <t>20100041953-01-F581-04217054.pdf</t>
        </is>
      </c>
      <c r="B3122">
        <f>HYPERLINK("C:\Users\lmonroy\Tema\Punto 1 y 2\79-F581-4217054 RIMAC SEGUROS\20100041953-01-F581-04217054.pdf", "Link")</f>
        <v/>
      </c>
      <c r="C3122" t="n">
        <v>13960</v>
      </c>
      <c r="D3122" t="inlineStr">
        <is>
          <t>2022-05-30 19:52:00</t>
        </is>
      </c>
      <c r="E3122" t="inlineStr">
        <is>
          <t>2024-04-18 19:20:35</t>
        </is>
      </c>
      <c r="F3122" t="inlineStr">
        <is>
          <t>666</t>
        </is>
      </c>
    </row>
    <row r="3123">
      <c r="A3123" t="inlineStr">
        <is>
          <t>Poliza AMF raul manda valenzuela Tema 2022_unlocked.pdf</t>
        </is>
      </c>
      <c r="B3123">
        <f>HYPERLINK("C:\Users\lmonroy\Tema\Punto 1 y 2\79-F581-4217054 RIMAC SEGUROS\Poliza AMF raul manda valenzuela Tema 2022_unlocked.pdf", "Link")</f>
        <v/>
      </c>
      <c r="C3123" t="n">
        <v>1190279</v>
      </c>
      <c r="D3123" t="inlineStr">
        <is>
          <t>2024-04-18 10:37:00</t>
        </is>
      </c>
      <c r="E3123" t="inlineStr">
        <is>
          <t>2024-04-18 19:20:35</t>
        </is>
      </c>
      <c r="F3123" t="inlineStr">
        <is>
          <t>666</t>
        </is>
      </c>
    </row>
    <row r="3124">
      <c r="A3124" t="inlineStr">
        <is>
          <t>FT 292623 SGS DEL PERU SAC.pdf</t>
        </is>
      </c>
      <c r="B3124">
        <f>HYPERLINK("C:\Users\lmonroy\Tema\Punto 1 y 2\80-F710-292623 SGS DEL PERU SAC\FT 292623 SGS DEL PERU SAC.pdf", "Link")</f>
        <v/>
      </c>
      <c r="C3124" t="n">
        <v>47984</v>
      </c>
      <c r="D3124" t="inlineStr">
        <is>
          <t>2022-05-27 10:40:00</t>
        </is>
      </c>
      <c r="E3124" t="inlineStr">
        <is>
          <t>2024-04-18 19:20:35</t>
        </is>
      </c>
      <c r="F3124" t="inlineStr">
        <is>
          <t>666</t>
        </is>
      </c>
    </row>
    <row r="3125">
      <c r="A3125" t="inlineStr">
        <is>
          <t>InformeValorizacionCliente_2022-04-28 00_14_45.xlsx</t>
        </is>
      </c>
      <c r="B3125">
        <f>HYPERLINK("C:\Users\lmonroy\Tema\Punto 1 y 2\80-F710-292623 SGS DEL PERU SAC\InformeValorizacionCliente_2022-04-28 00_14_45.xlsx", "Link")</f>
        <v/>
      </c>
      <c r="C3125" t="n">
        <v>23274</v>
      </c>
      <c r="D3125" t="inlineStr">
        <is>
          <t>2022-06-17 13:06:00</t>
        </is>
      </c>
      <c r="E3125" t="inlineStr">
        <is>
          <t>2024-04-18 19:20:35</t>
        </is>
      </c>
      <c r="F3125" t="inlineStr">
        <is>
          <t>666</t>
        </is>
      </c>
    </row>
    <row r="3126">
      <c r="A3126" t="inlineStr">
        <is>
          <t>LB-364928-001.pdf</t>
        </is>
      </c>
      <c r="B3126">
        <f>HYPERLINK("C:\Users\lmonroy\Tema\Punto 1 y 2\80-F710-292623 SGS DEL PERU SAC\LB-364928-001.pdf", "Link")</f>
        <v/>
      </c>
      <c r="C3126" t="n">
        <v>309311</v>
      </c>
      <c r="D3126" t="inlineStr">
        <is>
          <t>2022-06-17 13:06:00</t>
        </is>
      </c>
      <c r="E3126" t="inlineStr">
        <is>
          <t>2024-04-18 19:20:35</t>
        </is>
      </c>
      <c r="F3126" t="inlineStr">
        <is>
          <t>666</t>
        </is>
      </c>
    </row>
    <row r="3127">
      <c r="A3127" t="inlineStr">
        <is>
          <t>MA2213510Rev0_FD_I_F.PDF</t>
        </is>
      </c>
      <c r="B3127">
        <f>HYPERLINK("C:\Users\lmonroy\Tema\Punto 1 y 2\80-F710-292623 SGS DEL PERU SAC\MA2213510Rev0_FD_I_F.PDF", "Link")</f>
        <v/>
      </c>
      <c r="C3127" t="n">
        <v>437964</v>
      </c>
      <c r="D3127" t="inlineStr">
        <is>
          <t>2022-06-17 13:06:00</t>
        </is>
      </c>
      <c r="E3127" t="inlineStr">
        <is>
          <t>2024-04-18 19:20:35</t>
        </is>
      </c>
      <c r="F3127" t="inlineStr">
        <is>
          <t>666</t>
        </is>
      </c>
    </row>
    <row r="3128">
      <c r="A3128" t="inlineStr">
        <is>
          <t>OS 545.pdf</t>
        </is>
      </c>
      <c r="B3128">
        <f>HYPERLINK("C:\Users\lmonroy\Tema\Punto 1 y 2\80-F710-292623 SGS DEL PERU SAC\OS 545.pdf", "Link")</f>
        <v/>
      </c>
      <c r="C3128" t="n">
        <v>145821</v>
      </c>
      <c r="D3128" t="inlineStr">
        <is>
          <t>2022-06-17 13:06:00</t>
        </is>
      </c>
      <c r="E3128" t="inlineStr">
        <is>
          <t>2024-04-18 19:20:35</t>
        </is>
      </c>
      <c r="F3128" t="inlineStr">
        <is>
          <t>666</t>
        </is>
      </c>
    </row>
    <row r="3129">
      <c r="A3129" t="inlineStr">
        <is>
          <t>RepPreCartaParametros.pdf</t>
        </is>
      </c>
      <c r="B3129">
        <f>HYPERLINK("C:\Users\lmonroy\Tema\Punto 1 y 2\80-F710-292623 SGS DEL PERU SAC\RepPreCartaParametros.pdf", "Link")</f>
        <v/>
      </c>
      <c r="C3129" t="n">
        <v>9471</v>
      </c>
      <c r="D3129" t="inlineStr">
        <is>
          <t>2022-06-17 13:06:00</t>
        </is>
      </c>
      <c r="E3129" t="inlineStr">
        <is>
          <t>2024-04-18 19:20:35</t>
        </is>
      </c>
      <c r="F3129" t="inlineStr">
        <is>
          <t>666</t>
        </is>
      </c>
    </row>
    <row r="3130">
      <c r="A3130" t="inlineStr">
        <is>
          <t>Contrato Oficina 501 502 503.pdf</t>
        </is>
      </c>
      <c r="B3130">
        <f>HYPERLINK("C:\Users\lmonroy\Tema\Punto 1 y 2\81-FFA1-5105 EDIFICADORA LIDER S.A.C\Contrato Oficina 501 502 503.pdf", "Link")</f>
        <v/>
      </c>
      <c r="C3130" t="n">
        <v>942543</v>
      </c>
      <c r="D3130" t="inlineStr">
        <is>
          <t>2022-08-25 17:43:17</t>
        </is>
      </c>
      <c r="E3130" t="inlineStr">
        <is>
          <t>2024-04-18 19:20:35</t>
        </is>
      </c>
      <c r="F3130" t="inlineStr">
        <is>
          <t>666</t>
        </is>
      </c>
    </row>
    <row r="3131">
      <c r="A3131" t="inlineStr">
        <is>
          <t>FT 005105 EDIFICADORA LIDER SAC.pdf</t>
        </is>
      </c>
      <c r="B3131">
        <f>HYPERLINK("C:\Users\lmonroy\Tema\Punto 1 y 2\81-FFA1-5105 EDIFICADORA LIDER S.A.C\FT 005105 EDIFICADORA LIDER SAC.pdf", "Link")</f>
        <v/>
      </c>
      <c r="C3131" t="n">
        <v>103023</v>
      </c>
      <c r="D3131" t="inlineStr">
        <is>
          <t>2022-05-27 11:37:00</t>
        </is>
      </c>
      <c r="E3131" t="inlineStr">
        <is>
          <t>2024-04-18 19:20:35</t>
        </is>
      </c>
      <c r="F3131" t="inlineStr">
        <is>
          <t>666</t>
        </is>
      </c>
    </row>
    <row r="3132">
      <c r="A3132" t="inlineStr">
        <is>
          <t>CONTRATO LEASING VEHICULAR.pdf</t>
        </is>
      </c>
      <c r="B3132">
        <f>HYPERLINK("C:\Users\lmonroy\Tema\Punto 1 y 2\82-FL00-247277 BBVA\CONTRATO LEASING VEHICULAR.pdf", "Link")</f>
        <v/>
      </c>
      <c r="C3132" t="n">
        <v>1964631</v>
      </c>
      <c r="D3132" t="inlineStr">
        <is>
          <t>2022-04-19 09:52:00</t>
        </is>
      </c>
      <c r="E3132" t="inlineStr">
        <is>
          <t>2024-04-18 19:20:35</t>
        </is>
      </c>
      <c r="F3132" t="inlineStr">
        <is>
          <t>666</t>
        </is>
      </c>
    </row>
    <row r="3133">
      <c r="A3133" t="inlineStr">
        <is>
          <t>CRONOGRAMA LEASING.xlsx</t>
        </is>
      </c>
      <c r="B3133">
        <f>HYPERLINK("C:\Users\lmonroy\Tema\Punto 1 y 2\82-FL00-247277 BBVA\CRONOGRAMA LEASING.xlsx", "Link")</f>
        <v/>
      </c>
      <c r="C3133" t="n">
        <v>53522</v>
      </c>
      <c r="D3133" t="inlineStr">
        <is>
          <t>2024-04-09 13:26:54</t>
        </is>
      </c>
      <c r="E3133" t="inlineStr">
        <is>
          <t>2024-04-18 19:20:35</t>
        </is>
      </c>
      <c r="F3133" t="inlineStr">
        <is>
          <t>666</t>
        </is>
      </c>
    </row>
    <row r="3134">
      <c r="A3134" t="inlineStr">
        <is>
          <t>FT 247277 BBVA CONTINENTAL.pdf</t>
        </is>
      </c>
      <c r="B3134">
        <f>HYPERLINK("C:\Users\lmonroy\Tema\Punto 1 y 2\82-FL00-247277 BBVA\FT 247277 BBVA CONTINENTAL.pdf", "Link")</f>
        <v/>
      </c>
      <c r="C3134" t="n">
        <v>30333</v>
      </c>
      <c r="D3134" t="inlineStr">
        <is>
          <t>2022-05-06 08:03:00</t>
        </is>
      </c>
      <c r="E3134" t="inlineStr">
        <is>
          <t>2024-04-18 19:20:35</t>
        </is>
      </c>
      <c r="F3134" t="inlineStr">
        <is>
          <t>666</t>
        </is>
      </c>
    </row>
    <row r="3135">
      <c r="A3135" t="inlineStr">
        <is>
          <t>4 CPS - Salud Ocupacional - Octubre 2021.pdf</t>
        </is>
      </c>
      <c r="B3135">
        <f>HYPERLINK("C:\Users\lmonroy\Tema\Punto 1 y 2\83-E001-149 MEDICINE &amp; SAFETY SAC\4 CPS - Salud Ocupacional - Octubre 2021.pdf", "Link")</f>
        <v/>
      </c>
      <c r="C3135" t="n">
        <v>146425</v>
      </c>
      <c r="D3135" t="inlineStr">
        <is>
          <t>2024-04-17 19:36:15</t>
        </is>
      </c>
      <c r="E3135" t="inlineStr">
        <is>
          <t>2024-04-18 19:20:36</t>
        </is>
      </c>
      <c r="F3135" t="inlineStr">
        <is>
          <t>666</t>
        </is>
      </c>
    </row>
    <row r="3136">
      <c r="A3136" t="inlineStr">
        <is>
          <t>83-OS MEDICINE &amp; SAFETY SAC FE 149.pdf</t>
        </is>
      </c>
      <c r="B3136">
        <f>HYPERLINK("C:\Users\lmonroy\Tema\Punto 1 y 2\83-E001-149 MEDICINE &amp; SAFETY SAC\83-OS MEDICINE &amp; SAFETY SAC FE 149.pdf", "Link")</f>
        <v/>
      </c>
      <c r="C3136" t="n">
        <v>81795</v>
      </c>
      <c r="D3136" t="inlineStr">
        <is>
          <t>2024-04-18 10:41:00</t>
        </is>
      </c>
      <c r="E3136" t="inlineStr">
        <is>
          <t>2024-04-18 19:20:36</t>
        </is>
      </c>
      <c r="F3136" t="inlineStr">
        <is>
          <t>666</t>
        </is>
      </c>
    </row>
    <row r="3137">
      <c r="A3137" t="inlineStr">
        <is>
          <t>FT 000149 MEDICINE &amp; SAFETY SAC.pdf</t>
        </is>
      </c>
      <c r="B3137">
        <f>HYPERLINK("C:\Users\lmonroy\Tema\Punto 1 y 2\83-E001-149 MEDICINE &amp; SAFETY SAC\FT 000149 MEDICINE &amp; SAFETY SAC.pdf", "Link")</f>
        <v/>
      </c>
      <c r="C3137" t="n">
        <v>4805</v>
      </c>
      <c r="D3137" t="inlineStr">
        <is>
          <t>2022-06-27 16:52:00</t>
        </is>
      </c>
      <c r="E3137" t="inlineStr">
        <is>
          <t>2024-04-18 19:20:36</t>
        </is>
      </c>
      <c r="F3137" t="inlineStr">
        <is>
          <t>666</t>
        </is>
      </c>
    </row>
    <row r="3138">
      <c r="A3138" t="inlineStr">
        <is>
          <t>INFORME DE ACTIVIDADES JUNIO 22.pdf</t>
        </is>
      </c>
      <c r="B3138">
        <f>HYPERLINK("C:\Users\lmonroy\Tema\Punto 1 y 2\83-E001-149 MEDICINE &amp; SAFETY SAC\INFORME DE ACTIVIDADES JUNIO 22.pdf", "Link")</f>
        <v/>
      </c>
      <c r="C3138" t="n">
        <v>80834</v>
      </c>
      <c r="D3138" t="inlineStr">
        <is>
          <t>2022-06-27 16:52:00</t>
        </is>
      </c>
      <c r="E3138" t="inlineStr">
        <is>
          <t>2024-04-18 19:20:36</t>
        </is>
      </c>
      <c r="F3138" t="inlineStr">
        <is>
          <t>666</t>
        </is>
      </c>
    </row>
    <row r="3139">
      <c r="A3139" t="inlineStr">
        <is>
          <t>CONTRATO N° 128.pdf</t>
        </is>
      </c>
      <c r="B3139">
        <f>HYPERLINK("C:\Users\lmonroy\Tema\Punto 1 y 2\84-E001-492 AGORA SERVICIOS MULTIPLES SAC\CONTRATO N° 128.pdf", "Link")</f>
        <v/>
      </c>
      <c r="C3139" t="n">
        <v>329976</v>
      </c>
      <c r="D3139" t="inlineStr">
        <is>
          <t>2024-04-18 17:03:05</t>
        </is>
      </c>
      <c r="E3139" t="inlineStr">
        <is>
          <t>2024-04-18 19:20:36</t>
        </is>
      </c>
      <c r="F3139" t="inlineStr">
        <is>
          <t>666</t>
        </is>
      </c>
    </row>
    <row r="3140">
      <c r="A3140" t="inlineStr">
        <is>
          <t>FT 000492 AGORA SERVICIOS MULTIPLES SAC.pdf</t>
        </is>
      </c>
      <c r="B3140">
        <f>HYPERLINK("C:\Users\lmonroy\Tema\Punto 1 y 2\84-E001-492 AGORA SERVICIOS MULTIPLES SAC\FT 000492 AGORA SERVICIOS MULTIPLES SAC.pdf", "Link")</f>
        <v/>
      </c>
      <c r="C3140" t="n">
        <v>141568</v>
      </c>
      <c r="D3140" t="inlineStr">
        <is>
          <t>2022-06-10 14:54:00</t>
        </is>
      </c>
      <c r="E3140" t="inlineStr">
        <is>
          <t>2024-04-18 19:20:36</t>
        </is>
      </c>
      <c r="F3140" t="inlineStr">
        <is>
          <t>666</t>
        </is>
      </c>
    </row>
    <row r="3141">
      <c r="A3141" t="inlineStr">
        <is>
          <t>OC-829.pdf</t>
        </is>
      </c>
      <c r="B3141">
        <f>HYPERLINK("C:\Users\lmonroy\Tema\Punto 1 y 2\84-E001-492 AGORA SERVICIOS MULTIPLES SAC\OC-829.pdf", "Link")</f>
        <v/>
      </c>
      <c r="C3141" t="n">
        <v>80075</v>
      </c>
      <c r="D3141" t="inlineStr">
        <is>
          <t>2022-06-10 14:54:00</t>
        </is>
      </c>
      <c r="E3141" t="inlineStr">
        <is>
          <t>2024-04-18 19:20:36</t>
        </is>
      </c>
      <c r="F3141" t="inlineStr">
        <is>
          <t>666</t>
        </is>
      </c>
    </row>
    <row r="3142">
      <c r="A3142" t="inlineStr">
        <is>
          <t>CONTRATO N° 129.pdf</t>
        </is>
      </c>
      <c r="B3142">
        <f>HYPERLINK("C:\Users\lmonroy\Tema\Punto 1 y 2\85-E001-493 AGORA SERVICIOS MULTIPLES SAC 3\CONTRATO N° 129.pdf", "Link")</f>
        <v/>
      </c>
      <c r="C3142" t="n">
        <v>318517</v>
      </c>
      <c r="D3142" t="inlineStr">
        <is>
          <t>2024-04-18 16:56:21</t>
        </is>
      </c>
      <c r="E3142" t="inlineStr">
        <is>
          <t>2024-04-18 19:20:36</t>
        </is>
      </c>
      <c r="F3142" t="inlineStr">
        <is>
          <t>666</t>
        </is>
      </c>
    </row>
    <row r="3143">
      <c r="A3143" t="inlineStr">
        <is>
          <t>FT 000493 AGORA SERVICIOS MULTIPLES SAC.pdf</t>
        </is>
      </c>
      <c r="B3143">
        <f>HYPERLINK("C:\Users\lmonroy\Tema\Punto 1 y 2\85-E001-493 AGORA SERVICIOS MULTIPLES SAC 3\FT 000493 AGORA SERVICIOS MULTIPLES SAC.pdf", "Link")</f>
        <v/>
      </c>
      <c r="C3143" t="n">
        <v>145658</v>
      </c>
      <c r="D3143" t="inlineStr">
        <is>
          <t>2022-06-13 09:41:06</t>
        </is>
      </c>
      <c r="E3143" t="inlineStr">
        <is>
          <t>2024-04-18 19:20:36</t>
        </is>
      </c>
      <c r="F3143" t="inlineStr">
        <is>
          <t>666</t>
        </is>
      </c>
    </row>
    <row r="3144">
      <c r="A3144" t="inlineStr">
        <is>
          <t>OC-829.pdf</t>
        </is>
      </c>
      <c r="B3144">
        <f>HYPERLINK("C:\Users\lmonroy\Tema\Punto 1 y 2\85-E001-493 AGORA SERVICIOS MULTIPLES SAC 3\OC-829.pdf", "Link")</f>
        <v/>
      </c>
      <c r="C3144" t="n">
        <v>80075</v>
      </c>
      <c r="D3144" t="inlineStr">
        <is>
          <t>2022-06-10 14:54:00</t>
        </is>
      </c>
      <c r="E3144" t="inlineStr">
        <is>
          <t>2024-04-18 19:20:36</t>
        </is>
      </c>
      <c r="F3144" t="inlineStr">
        <is>
          <t>666</t>
        </is>
      </c>
    </row>
    <row r="3145">
      <c r="A3145" t="inlineStr">
        <is>
          <t>86-OS CORPORACIÓN SURE SAC . FT 636.pdf</t>
        </is>
      </c>
      <c r="B3145">
        <f>HYPERLINK("C:\Users\lmonroy\Tema\Punto 1 y 2\86-E001-636 CORPORACION SURE SAC\86-OS CORPORACIÓN SURE SAC . FT 636.pdf", "Link")</f>
        <v/>
      </c>
      <c r="C3145" t="n">
        <v>79019</v>
      </c>
      <c r="D3145" t="inlineStr">
        <is>
          <t>2024-04-18 10:41:00</t>
        </is>
      </c>
      <c r="E3145" t="inlineStr">
        <is>
          <t>2024-04-18 19:20:36</t>
        </is>
      </c>
      <c r="F3145" t="inlineStr">
        <is>
          <t>666</t>
        </is>
      </c>
    </row>
    <row r="3146">
      <c r="A3146" t="inlineStr">
        <is>
          <t>FT 000636 CORPORACION SURE SAC.pdf</t>
        </is>
      </c>
      <c r="B3146">
        <f>HYPERLINK("C:\Users\lmonroy\Tema\Punto 1 y 2\86-E001-636 CORPORACION SURE SAC\FT 000636 CORPORACION SURE SAC.pdf", "Link")</f>
        <v/>
      </c>
      <c r="C3146" t="n">
        <v>4952</v>
      </c>
      <c r="D3146" t="inlineStr">
        <is>
          <t>2022-06-23 13:24:00</t>
        </is>
      </c>
      <c r="E3146" t="inlineStr">
        <is>
          <t>2024-04-18 19:20:36</t>
        </is>
      </c>
      <c r="F3146" t="inlineStr">
        <is>
          <t>666</t>
        </is>
      </c>
    </row>
    <row r="3147">
      <c r="A3147" t="inlineStr">
        <is>
          <t>Informe Técnico Abril - Junio 2022.pdf</t>
        </is>
      </c>
      <c r="B3147">
        <f>HYPERLINK("C:\Users\lmonroy\Tema\Punto 1 y 2\86-E001-636 CORPORACION SURE SAC\Informe Técnico Abril - Junio 2022.pdf", "Link")</f>
        <v/>
      </c>
      <c r="C3147" t="n">
        <v>93592</v>
      </c>
      <c r="D3147" t="inlineStr">
        <is>
          <t>2024-04-18 17:30:03</t>
        </is>
      </c>
      <c r="E3147" t="inlineStr">
        <is>
          <t>2024-04-18 19:20:36</t>
        </is>
      </c>
      <c r="F3147" t="inlineStr">
        <is>
          <t>666</t>
        </is>
      </c>
    </row>
    <row r="3148">
      <c r="A3148" t="inlineStr">
        <is>
          <t>87-OS CORPORACIÓN SURE SAC FT 641.pdf</t>
        </is>
      </c>
      <c r="B3148">
        <f>HYPERLINK("C:\Users\lmonroy\Tema\Punto 1 y 2\87-E001-641 CORPORACION SURE SAC\87-OS CORPORACIÓN SURE SAC FT 641.pdf", "Link")</f>
        <v/>
      </c>
      <c r="C3148" t="n">
        <v>81550</v>
      </c>
      <c r="D3148" t="inlineStr">
        <is>
          <t>2024-04-18 10:41:00</t>
        </is>
      </c>
      <c r="E3148" t="inlineStr">
        <is>
          <t>2024-04-18 19:20:36</t>
        </is>
      </c>
      <c r="F3148" t="inlineStr">
        <is>
          <t>666</t>
        </is>
      </c>
    </row>
    <row r="3149">
      <c r="A3149" t="inlineStr">
        <is>
          <t>FT 000641 CORPORACION SURE SAC.pdf</t>
        </is>
      </c>
      <c r="B3149">
        <f>HYPERLINK("C:\Users\lmonroy\Tema\Punto 1 y 2\87-E001-641 CORPORACION SURE SAC\FT 000641 CORPORACION SURE SAC.pdf", "Link")</f>
        <v/>
      </c>
      <c r="C3149" t="n">
        <v>4865</v>
      </c>
      <c r="D3149" t="inlineStr">
        <is>
          <t>2022-06-30 20:06:00</t>
        </is>
      </c>
      <c r="E3149" t="inlineStr">
        <is>
          <t>2024-04-18 19:20:36</t>
        </is>
      </c>
      <c r="F3149" t="inlineStr">
        <is>
          <t>666</t>
        </is>
      </c>
    </row>
    <row r="3150">
      <c r="A3150" t="inlineStr">
        <is>
          <t>Informe QMS EMS SST Junio 2022.pdf</t>
        </is>
      </c>
      <c r="B3150">
        <f>HYPERLINK("C:\Users\lmonroy\Tema\Punto 1 y 2\87-E001-641 CORPORACION SURE SAC\Informe QMS EMS SST Junio 2022.pdf", "Link")</f>
        <v/>
      </c>
      <c r="C3150" t="n">
        <v>61673</v>
      </c>
      <c r="D3150" t="inlineStr">
        <is>
          <t>2024-04-18 17:28:48</t>
        </is>
      </c>
      <c r="E3150" t="inlineStr">
        <is>
          <t>2024-04-18 19:20:36</t>
        </is>
      </c>
      <c r="F3150" t="inlineStr">
        <is>
          <t>666</t>
        </is>
      </c>
    </row>
    <row r="3151">
      <c r="A3151" t="inlineStr">
        <is>
          <t>FT 003088 BUSINESS TECHNOLOGY SA.pdf</t>
        </is>
      </c>
      <c r="B3151">
        <f>HYPERLINK("C:\Users\lmonroy\Tema\Punto 1 y 2\88-F001-3088 BUSINESS TECHNOLOGY SA\FT 003088 BUSINESS TECHNOLOGY SA.pdf", "Link")</f>
        <v/>
      </c>
      <c r="C3151" t="n">
        <v>467300</v>
      </c>
      <c r="D3151" t="inlineStr">
        <is>
          <t>2022-06-21 14:15:00</t>
        </is>
      </c>
      <c r="E3151" t="inlineStr">
        <is>
          <t>2024-04-18 19:20:36</t>
        </is>
      </c>
      <c r="F3151" t="inlineStr">
        <is>
          <t>666</t>
        </is>
      </c>
    </row>
    <row r="3152">
      <c r="A3152" t="inlineStr">
        <is>
          <t>Orden de Servicio 0348 - BUSSINES TECHNOLOGY SAC..pdf</t>
        </is>
      </c>
      <c r="B3152">
        <f>HYPERLINK("C:\Users\lmonroy\Tema\Punto 1 y 2\88-F001-3088 BUSINESS TECHNOLOGY SA\Orden de Servicio 0348 - BUSSINES TECHNOLOGY SAC..pdf", "Link")</f>
        <v/>
      </c>
      <c r="C3152" t="n">
        <v>59611</v>
      </c>
      <c r="D3152" t="inlineStr">
        <is>
          <t>2022-06-21 15:19:00</t>
        </is>
      </c>
      <c r="E3152" t="inlineStr">
        <is>
          <t>2024-04-18 19:20:37</t>
        </is>
      </c>
      <c r="F3152" t="inlineStr">
        <is>
          <t>666</t>
        </is>
      </c>
    </row>
    <row r="3153">
      <c r="A3153" t="inlineStr">
        <is>
          <t>USUARIOS_TEMA_MAY22 rev jcn.xlsx</t>
        </is>
      </c>
      <c r="B3153">
        <f>HYPERLINK("C:\Users\lmonroy\Tema\Punto 1 y 2\88-F001-3088 BUSINESS TECHNOLOGY SA\USUARIOS_TEMA_MAY22 rev jcn.xlsx", "Link")</f>
        <v/>
      </c>
      <c r="C3153" t="n">
        <v>18771</v>
      </c>
      <c r="D3153" t="inlineStr">
        <is>
          <t>2024-04-18 14:57:35</t>
        </is>
      </c>
      <c r="E3153" t="inlineStr">
        <is>
          <t>2024-04-18 19:20:37</t>
        </is>
      </c>
      <c r="F3153" t="inlineStr">
        <is>
          <t>666</t>
        </is>
      </c>
    </row>
    <row r="3154">
      <c r="A3154" t="inlineStr">
        <is>
          <t>20100041953-01-F581-04247708.pdf</t>
        </is>
      </c>
      <c r="B3154">
        <f>HYPERLINK("C:\Users\lmonroy\Tema\Punto 1 y 2\89-F581-4247708 RIMAC SEGUROS\20100041953-01-F581-04247708.pdf", "Link")</f>
        <v/>
      </c>
      <c r="C3154" t="n">
        <v>13932</v>
      </c>
      <c r="D3154" t="inlineStr">
        <is>
          <t>2022-06-13 20:39:00</t>
        </is>
      </c>
      <c r="E3154" t="inlineStr">
        <is>
          <t>2024-04-18 19:20:37</t>
        </is>
      </c>
      <c r="F3154" t="inlineStr">
        <is>
          <t>666</t>
        </is>
      </c>
    </row>
    <row r="3155">
      <c r="A3155" t="inlineStr">
        <is>
          <t>Endoso Direccion tema 2022.pdf</t>
        </is>
      </c>
      <c r="B3155">
        <f>HYPERLINK("C:\Users\lmonroy\Tema\Punto 1 y 2\89-F581-4247708 RIMAC SEGUROS\Endoso Direccion tema 2022.pdf", "Link")</f>
        <v/>
      </c>
      <c r="C3155" t="n">
        <v>149260</v>
      </c>
      <c r="D3155" t="inlineStr">
        <is>
          <t>2024-04-18 11:45:53</t>
        </is>
      </c>
      <c r="E3155" t="inlineStr">
        <is>
          <t>2024-04-18 19:20:37</t>
        </is>
      </c>
      <c r="F3155" t="inlineStr">
        <is>
          <t>666</t>
        </is>
      </c>
    </row>
    <row r="3156">
      <c r="A3156" t="inlineStr">
        <is>
          <t>Poliza Multiriesgo Tema 2022 Lq.pdf</t>
        </is>
      </c>
      <c r="B3156">
        <f>HYPERLINK("C:\Users\lmonroy\Tema\Punto 1 y 2\89-F581-4247708 RIMAC SEGUROS\Poliza Multiriesgo Tema 2022 Lq.pdf", "Link")</f>
        <v/>
      </c>
      <c r="C3156" t="n">
        <v>40587</v>
      </c>
      <c r="D3156" t="inlineStr">
        <is>
          <t>2024-04-18 11:45:52</t>
        </is>
      </c>
      <c r="E3156" t="inlineStr">
        <is>
          <t>2024-04-18 19:20:37</t>
        </is>
      </c>
      <c r="F3156" t="inlineStr">
        <is>
          <t>666</t>
        </is>
      </c>
    </row>
    <row r="3157">
      <c r="A3157" t="inlineStr">
        <is>
          <t>Poliza Multiriesgo Tema 2022.pdf</t>
        </is>
      </c>
      <c r="B3157">
        <f>HYPERLINK("C:\Users\lmonroy\Tema\Punto 1 y 2\89-F581-4247708 RIMAC SEGUROS\Poliza Multiriesgo Tema 2022.pdf", "Link")</f>
        <v/>
      </c>
      <c r="C3157" t="n">
        <v>207537</v>
      </c>
      <c r="D3157" t="inlineStr">
        <is>
          <t>2024-04-18 11:45:51</t>
        </is>
      </c>
      <c r="E3157" t="inlineStr">
        <is>
          <t>2024-04-18 19:20:37</t>
        </is>
      </c>
      <c r="F3157" t="inlineStr">
        <is>
          <t>666</t>
        </is>
      </c>
    </row>
    <row r="3158">
      <c r="A3158" t="inlineStr">
        <is>
          <t>Poliza Multiririesgo Tema 2022 Clausulas de garantias.pdf</t>
        </is>
      </c>
      <c r="B3158">
        <f>HYPERLINK("C:\Users\lmonroy\Tema\Punto 1 y 2\89-F581-4247708 RIMAC SEGUROS\Poliza Multiririesgo Tema 2022 Clausulas de garantias.pdf", "Link")</f>
        <v/>
      </c>
      <c r="C3158" t="n">
        <v>37558</v>
      </c>
      <c r="D3158" t="inlineStr">
        <is>
          <t>2024-04-18 11:45:52</t>
        </is>
      </c>
      <c r="E3158" t="inlineStr">
        <is>
          <t>2024-04-18 19:20:37</t>
        </is>
      </c>
      <c r="F3158" t="inlineStr">
        <is>
          <t>666</t>
        </is>
      </c>
    </row>
    <row r="3159">
      <c r="A3159" t="inlineStr">
        <is>
          <t>20100041953-01-F581-04261915.pdf</t>
        </is>
      </c>
      <c r="B3159">
        <f>HYPERLINK("C:\Users\lmonroy\Tema\Punto 1 y 2\90-F581-4261915 RIMAC SEGUROS\20100041953-01-F581-04261915.pdf", "Link")</f>
        <v/>
      </c>
      <c r="C3159" t="n">
        <v>13936</v>
      </c>
      <c r="D3159" t="inlineStr">
        <is>
          <t>2022-06-20 17:16:00</t>
        </is>
      </c>
      <c r="E3159" t="inlineStr">
        <is>
          <t>2024-04-18 19:20:37</t>
        </is>
      </c>
      <c r="F3159" t="inlineStr">
        <is>
          <t>666</t>
        </is>
      </c>
    </row>
    <row r="3160">
      <c r="A3160" t="inlineStr">
        <is>
          <t>Poliza AMF raul manda valenzuela Tema 2022_unlocked.pdf</t>
        </is>
      </c>
      <c r="B3160">
        <f>HYPERLINK("C:\Users\lmonroy\Tema\Punto 1 y 2\90-F581-4261915 RIMAC SEGUROS\Poliza AMF raul manda valenzuela Tema 2022_unlocked.pdf", "Link")</f>
        <v/>
      </c>
      <c r="C3160" t="n">
        <v>1190279</v>
      </c>
      <c r="D3160" t="inlineStr">
        <is>
          <t>2024-04-18 10:37:00</t>
        </is>
      </c>
      <c r="E3160" t="inlineStr">
        <is>
          <t>2024-04-18 19:20:37</t>
        </is>
      </c>
      <c r="F3160" t="inlineStr">
        <is>
          <t>666</t>
        </is>
      </c>
    </row>
    <row r="3161">
      <c r="A3161" t="inlineStr">
        <is>
          <t>91-OS SGD S.A  FT 297026.pdf</t>
        </is>
      </c>
      <c r="B3161">
        <f>HYPERLINK("C:\Users\lmonroy\Tema\Punto 1 y 2\91-F710-297026 SGS DEL PERU S.A.C\91-OS SGD S.A  FT 297026.pdf", "Link")</f>
        <v/>
      </c>
      <c r="C3161" t="n">
        <v>81347</v>
      </c>
      <c r="D3161" t="inlineStr">
        <is>
          <t>2024-04-18 10:41:00</t>
        </is>
      </c>
      <c r="E3161" t="inlineStr">
        <is>
          <t>2024-04-18 19:20:38</t>
        </is>
      </c>
      <c r="F3161" t="inlineStr">
        <is>
          <t>666</t>
        </is>
      </c>
    </row>
    <row r="3162">
      <c r="A3162" t="inlineStr">
        <is>
          <t>FT 297026 SGS DEL PERU S.A.C..pdf</t>
        </is>
      </c>
      <c r="B3162">
        <f>HYPERLINK("C:\Users\lmonroy\Tema\Punto 1 y 2\91-F710-297026 SGS DEL PERU S.A.C\FT 297026 SGS DEL PERU S.A.C..pdf", "Link")</f>
        <v/>
      </c>
      <c r="C3162" t="n">
        <v>48617</v>
      </c>
      <c r="D3162" t="inlineStr">
        <is>
          <t>2022-06-30 23:07:00</t>
        </is>
      </c>
      <c r="E3162" t="inlineStr">
        <is>
          <t>2024-04-18 19:20:38</t>
        </is>
      </c>
      <c r="F3162" t="inlineStr">
        <is>
          <t>666</t>
        </is>
      </c>
    </row>
    <row r="3163">
      <c r="A3163" t="inlineStr">
        <is>
          <t>3543-2022-8 (Valorización).xlsm</t>
        </is>
      </c>
      <c r="B3163">
        <f>HYPERLINK("C:\Users\lmonroy\Tema\Punto 1 y 2\92-FA01-26205 ALS PERU SAC\3543-2022-8 (Valorización).xlsm", "Link")</f>
        <v/>
      </c>
      <c r="C3163" t="n">
        <v>109958</v>
      </c>
      <c r="D3163" t="inlineStr">
        <is>
          <t>2022-06-17 12:55:00</t>
        </is>
      </c>
      <c r="E3163" t="inlineStr">
        <is>
          <t>2024-04-18 19:20:38</t>
        </is>
      </c>
      <c r="F3163" t="inlineStr">
        <is>
          <t>666</t>
        </is>
      </c>
    </row>
    <row r="3164">
      <c r="A3164" t="inlineStr">
        <is>
          <t>FT 026205 ALS LS PERU SAC.pdf</t>
        </is>
      </c>
      <c r="B3164">
        <f>HYPERLINK("C:\Users\lmonroy\Tema\Punto 1 y 2\92-FA01-26205 ALS PERU SAC\FT 026205 ALS LS PERU SAC.pdf", "Link")</f>
        <v/>
      </c>
      <c r="C3164" t="n">
        <v>13806</v>
      </c>
      <c r="D3164" t="inlineStr">
        <is>
          <t>2022-06-17 12:55:00</t>
        </is>
      </c>
      <c r="E3164" t="inlineStr">
        <is>
          <t>2024-04-18 19:20:38</t>
        </is>
      </c>
      <c r="F3164" t="inlineStr">
        <is>
          <t>666</t>
        </is>
      </c>
    </row>
    <row r="3165">
      <c r="A3165" t="inlineStr">
        <is>
          <t>Informe de Ensayo Preliminar 20440-2022-1.pdf</t>
        </is>
      </c>
      <c r="B3165">
        <f>HYPERLINK("C:\Users\lmonroy\Tema\Punto 1 y 2\92-FA01-26205 ALS PERU SAC\Informe de Ensayo Preliminar 20440-2022-1.pdf", "Link")</f>
        <v/>
      </c>
      <c r="C3165" t="n">
        <v>741486</v>
      </c>
      <c r="D3165" t="inlineStr">
        <is>
          <t>2022-06-17 12:55:00</t>
        </is>
      </c>
      <c r="E3165" t="inlineStr">
        <is>
          <t>2024-04-18 19:20:38</t>
        </is>
      </c>
      <c r="F3165" t="inlineStr">
        <is>
          <t>666</t>
        </is>
      </c>
    </row>
    <row r="3166">
      <c r="A3166" t="inlineStr">
        <is>
          <t>Informe de Ensayo Preliminar 21007-2022-1.pdf</t>
        </is>
      </c>
      <c r="B3166">
        <f>HYPERLINK("C:\Users\lmonroy\Tema\Punto 1 y 2\92-FA01-26205 ALS PERU SAC\Informe de Ensayo Preliminar 21007-2022-1.pdf", "Link")</f>
        <v/>
      </c>
      <c r="C3166" t="n">
        <v>660244</v>
      </c>
      <c r="D3166" t="inlineStr">
        <is>
          <t>2022-06-17 12:55:00</t>
        </is>
      </c>
      <c r="E3166" t="inlineStr">
        <is>
          <t>2024-04-18 19:20:38</t>
        </is>
      </c>
      <c r="F3166" t="inlineStr">
        <is>
          <t>666</t>
        </is>
      </c>
    </row>
    <row r="3167">
      <c r="A3167" t="inlineStr">
        <is>
          <t>Informe de Ensayo Preliminar 21088-2022.pdf</t>
        </is>
      </c>
      <c r="B3167">
        <f>HYPERLINK("C:\Users\lmonroy\Tema\Punto 1 y 2\92-FA01-26205 ALS PERU SAC\Informe de Ensayo Preliminar 21088-2022.pdf", "Link")</f>
        <v/>
      </c>
      <c r="C3167" t="n">
        <v>321231</v>
      </c>
      <c r="D3167" t="inlineStr">
        <is>
          <t>2022-06-17 12:55:00</t>
        </is>
      </c>
      <c r="E3167" t="inlineStr">
        <is>
          <t>2024-04-18 19:20:38</t>
        </is>
      </c>
      <c r="F3167" t="inlineStr">
        <is>
          <t>666</t>
        </is>
      </c>
    </row>
    <row r="3168">
      <c r="A3168" t="inlineStr">
        <is>
          <t>Informe de Ensayo Preliminar 21799-2022.pdf</t>
        </is>
      </c>
      <c r="B3168">
        <f>HYPERLINK("C:\Users\lmonroy\Tema\Punto 1 y 2\92-FA01-26205 ALS PERU SAC\Informe de Ensayo Preliminar 21799-2022.pdf", "Link")</f>
        <v/>
      </c>
      <c r="C3168" t="n">
        <v>215179</v>
      </c>
      <c r="D3168" t="inlineStr">
        <is>
          <t>2022-06-17 12:55:00</t>
        </is>
      </c>
      <c r="E3168" t="inlineStr">
        <is>
          <t>2024-04-18 19:20:38</t>
        </is>
      </c>
      <c r="F3168" t="inlineStr">
        <is>
          <t>666</t>
        </is>
      </c>
    </row>
    <row r="3169">
      <c r="A3169" t="inlineStr">
        <is>
          <t>Informe de Ensayo Preliminar 24525-2022-1.pdf</t>
        </is>
      </c>
      <c r="B3169">
        <f>HYPERLINK("C:\Users\lmonroy\Tema\Punto 1 y 2\92-FA01-26205 ALS PERU SAC\Informe de Ensayo Preliminar 24525-2022-1.pdf", "Link")</f>
        <v/>
      </c>
      <c r="C3169" t="n">
        <v>834003</v>
      </c>
      <c r="D3169" t="inlineStr">
        <is>
          <t>2022-06-17 12:55:00</t>
        </is>
      </c>
      <c r="E3169" t="inlineStr">
        <is>
          <t>2024-04-18 19:20:38</t>
        </is>
      </c>
      <c r="F3169" t="inlineStr">
        <is>
          <t>666</t>
        </is>
      </c>
    </row>
    <row r="3170">
      <c r="A3170" t="inlineStr">
        <is>
          <t>OS 571.pdf</t>
        </is>
      </c>
      <c r="B3170">
        <f>HYPERLINK("C:\Users\lmonroy\Tema\Punto 1 y 2\92-FA01-26205 ALS PERU SAC\OS 571.pdf", "Link")</f>
        <v/>
      </c>
      <c r="C3170" t="n">
        <v>145791</v>
      </c>
      <c r="D3170" t="inlineStr">
        <is>
          <t>2022-06-17 12:55:00</t>
        </is>
      </c>
      <c r="E3170" t="inlineStr">
        <is>
          <t>2024-04-18 19:20:38</t>
        </is>
      </c>
      <c r="F3170" t="inlineStr">
        <is>
          <t>666</t>
        </is>
      </c>
    </row>
    <row r="3171">
      <c r="A3171" t="inlineStr">
        <is>
          <t>FT 005170 EDIFICDORA LIDER SA.pdf</t>
        </is>
      </c>
      <c r="B3171">
        <f>HYPERLINK("C:\Users\lmonroy\Tema\Punto 1 y 2\93-FFA1-5170 EDIFICADORA LIDER SAC\FT 005170 EDIFICDORA LIDER SA.pdf", "Link")</f>
        <v/>
      </c>
      <c r="C3171" t="n">
        <v>102691</v>
      </c>
      <c r="D3171" t="inlineStr">
        <is>
          <t>2022-06-07 15:14:00</t>
        </is>
      </c>
      <c r="E3171" t="inlineStr">
        <is>
          <t>2024-04-18 19:20:38</t>
        </is>
      </c>
      <c r="F3171" t="inlineStr">
        <is>
          <t>666</t>
        </is>
      </c>
    </row>
    <row r="3172">
      <c r="A3172" t="inlineStr">
        <is>
          <t>Contrato Oficina 501 502 503.pdf</t>
        </is>
      </c>
      <c r="B3172">
        <f>HYPERLINK("C:\Users\lmonroy\Tema\Punto 1 y 2\94-FFA1-5213 EDIFICADORA LIDER SAC\Contrato Oficina 501 502 503.pdf", "Link")</f>
        <v/>
      </c>
      <c r="C3172" t="n">
        <v>942543</v>
      </c>
      <c r="D3172" t="inlineStr">
        <is>
          <t>2022-08-25 17:43:17</t>
        </is>
      </c>
      <c r="E3172" t="inlineStr">
        <is>
          <t>2024-04-18 19:20:38</t>
        </is>
      </c>
      <c r="F3172" t="inlineStr">
        <is>
          <t>666</t>
        </is>
      </c>
    </row>
    <row r="3173">
      <c r="A3173" t="inlineStr">
        <is>
          <t>FT 005213 EDIFICADORA LIDER SAC.pdf</t>
        </is>
      </c>
      <c r="B3173">
        <f>HYPERLINK("C:\Users\lmonroy\Tema\Punto 1 y 2\94-FFA1-5213 EDIFICADORA LIDER SAC\FT 005213 EDIFICADORA LIDER SAC.pdf", "Link")</f>
        <v/>
      </c>
      <c r="C3173" t="n">
        <v>46315</v>
      </c>
      <c r="D3173" t="inlineStr">
        <is>
          <t>2022-06-20 09:34:00</t>
        </is>
      </c>
      <c r="E3173" t="inlineStr">
        <is>
          <t>2024-04-18 19:20:38</t>
        </is>
      </c>
      <c r="F3173" t="inlineStr">
        <is>
          <t>666</t>
        </is>
      </c>
    </row>
    <row r="3174">
      <c r="A3174" t="inlineStr">
        <is>
          <t>FT 005255 EDIFICADORA LIDER S.A.C..pdf</t>
        </is>
      </c>
      <c r="B3174">
        <f>HYPERLINK("C:\Users\lmonroy\Tema\Punto 1 y 2\95-FFA1-5255 EDIFICADORA LIDER SAC\FT 005255 EDIFICADORA LIDER S.A.C..pdf", "Link")</f>
        <v/>
      </c>
      <c r="C3174" t="n">
        <v>44829</v>
      </c>
      <c r="D3174" t="inlineStr">
        <is>
          <t>2022-06-27 09:56:00</t>
        </is>
      </c>
      <c r="E3174" t="inlineStr">
        <is>
          <t>2024-04-18 19:20:38</t>
        </is>
      </c>
      <c r="F3174" t="inlineStr">
        <is>
          <t>666</t>
        </is>
      </c>
    </row>
    <row r="3175">
      <c r="A3175" t="inlineStr">
        <is>
          <t>20100130204-01-FL00-00259130.pdf</t>
        </is>
      </c>
      <c r="B3175">
        <f>HYPERLINK("C:\Users\lmonroy\Tema\Punto 1 y 2\96-FL00-259130 BBVA\20100130204-01-FL00-00259130.pdf", "Link")</f>
        <v/>
      </c>
      <c r="C3175" t="n">
        <v>30224</v>
      </c>
      <c r="D3175" t="inlineStr">
        <is>
          <t>2022-06-08 09:01:00</t>
        </is>
      </c>
      <c r="E3175" t="inlineStr">
        <is>
          <t>2024-04-18 19:20:39</t>
        </is>
      </c>
      <c r="F3175" t="inlineStr">
        <is>
          <t>666</t>
        </is>
      </c>
    </row>
    <row r="3176">
      <c r="A3176" t="inlineStr">
        <is>
          <t>CONTRATO LEASING VEHICULAR.pdf</t>
        </is>
      </c>
      <c r="B3176">
        <f>HYPERLINK("C:\Users\lmonroy\Tema\Punto 1 y 2\96-FL00-259130 BBVA\CONTRATO LEASING VEHICULAR.pdf", "Link")</f>
        <v/>
      </c>
      <c r="C3176" t="n">
        <v>1964631</v>
      </c>
      <c r="D3176" t="inlineStr">
        <is>
          <t>2022-04-19 09:52:00</t>
        </is>
      </c>
      <c r="E3176" t="inlineStr">
        <is>
          <t>2024-04-18 19:20:39</t>
        </is>
      </c>
      <c r="F3176" t="inlineStr">
        <is>
          <t>666</t>
        </is>
      </c>
    </row>
    <row r="3177">
      <c r="A3177" t="inlineStr">
        <is>
          <t>CRONOGRAMA LEASING.xlsx</t>
        </is>
      </c>
      <c r="B3177">
        <f>HYPERLINK("C:\Users\lmonroy\Tema\Punto 1 y 2\96-FL00-259130 BBVA\CRONOGRAMA LEASING.xlsx", "Link")</f>
        <v/>
      </c>
      <c r="C3177" t="n">
        <v>53522</v>
      </c>
      <c r="D3177" t="inlineStr">
        <is>
          <t>2024-04-09 13:26:54</t>
        </is>
      </c>
      <c r="E3177" t="inlineStr">
        <is>
          <t>2024-04-18 19:20:39</t>
        </is>
      </c>
      <c r="F3177" t="inlineStr">
        <is>
          <t>666</t>
        </is>
      </c>
    </row>
    <row r="3178">
      <c r="A3178" t="inlineStr">
        <is>
          <t>Combinado_01-E001-41 ENMODEL S.A.C.pdf</t>
        </is>
      </c>
      <c r="B3178">
        <f>HYPERLINK("C:\Users\lmonroy\Tema\Punto 1 y 2\PDFs Combinados\Combinado_01-E001-41 ENMODEL S.A.C.pdf", "Link")</f>
        <v/>
      </c>
      <c r="C3178" t="n">
        <v>24093149</v>
      </c>
      <c r="D3178" t="inlineStr">
        <is>
          <t>2024-05-13 12:03:56</t>
        </is>
      </c>
      <c r="E3178" t="inlineStr">
        <is>
          <t>2024-05-13 12:03:56</t>
        </is>
      </c>
      <c r="F3178" t="inlineStr">
        <is>
          <t>666</t>
        </is>
      </c>
    </row>
    <row r="3179">
      <c r="A3179" t="inlineStr">
        <is>
          <t>Combinado_02-E001-134 MEDICINE &amp; SAFETY SAC.pdf</t>
        </is>
      </c>
      <c r="B3179">
        <f>HYPERLINK("C:\Users\lmonroy\Tema\Punto 1 y 2\PDFs Combinados\Combinado_02-E001-134 MEDICINE &amp; SAFETY SAC.pdf", "Link")</f>
        <v/>
      </c>
      <c r="C3179" t="n">
        <v>444817</v>
      </c>
      <c r="D3179" t="inlineStr">
        <is>
          <t>2024-05-13 12:03:56</t>
        </is>
      </c>
      <c r="E3179" t="inlineStr">
        <is>
          <t>2024-05-13 12:03:56</t>
        </is>
      </c>
      <c r="F3179" t="inlineStr">
        <is>
          <t>666</t>
        </is>
      </c>
    </row>
    <row r="3180">
      <c r="A3180" t="inlineStr">
        <is>
          <t>Combinado_03-E001-208 R &amp; S LOGISTICA Y SERVICIOS E.I.R.L.pdf</t>
        </is>
      </c>
      <c r="B3180">
        <f>HYPERLINK("C:\Users\lmonroy\Tema\Punto 1 y 2\PDFs Combinados\Combinado_03-E001-208 R &amp; S LOGISTICA Y SERVICIOS E.I.R.L.pdf", "Link")</f>
        <v/>
      </c>
      <c r="C3180" t="n">
        <v>23199381</v>
      </c>
      <c r="D3180" t="inlineStr">
        <is>
          <t>2024-05-13 12:03:57</t>
        </is>
      </c>
      <c r="E3180" t="inlineStr">
        <is>
          <t>2024-05-13 12:03:57</t>
        </is>
      </c>
      <c r="F3180" t="inlineStr">
        <is>
          <t>666</t>
        </is>
      </c>
    </row>
    <row r="3181">
      <c r="A3181" t="inlineStr">
        <is>
          <t>Combinado_04-E001-398 AGORA SERVICIOS MULTIPLES S.A.C.pdf</t>
        </is>
      </c>
      <c r="B3181">
        <f>HYPERLINK("C:\Users\lmonroy\Tema\Punto 1 y 2\PDFs Combinados\Combinado_04-E001-398 AGORA SERVICIOS MULTIPLES S.A.C.pdf", "Link")</f>
        <v/>
      </c>
      <c r="C3181" t="n">
        <v>441671</v>
      </c>
      <c r="D3181" t="inlineStr">
        <is>
          <t>2024-05-13 12:03:57</t>
        </is>
      </c>
      <c r="E3181" t="inlineStr">
        <is>
          <t>2024-05-13 12:03:57</t>
        </is>
      </c>
      <c r="F3181" t="inlineStr">
        <is>
          <t>666</t>
        </is>
      </c>
    </row>
    <row r="3182">
      <c r="A3182" t="inlineStr">
        <is>
          <t>Combinado_05-E001-399 AGORA SERVICIOS MULTIPLES S.A.C.pdf</t>
        </is>
      </c>
      <c r="B3182">
        <f>HYPERLINK("C:\Users\lmonroy\Tema\Punto 1 y 2\PDFs Combinados\Combinado_05-E001-399 AGORA SERVICIOS MULTIPLES S.A.C.pdf", "Link")</f>
        <v/>
      </c>
      <c r="C3182" t="n">
        <v>362772</v>
      </c>
      <c r="D3182" t="inlineStr">
        <is>
          <t>2024-05-13 12:03:57</t>
        </is>
      </c>
      <c r="E3182" t="inlineStr">
        <is>
          <t>2024-05-13 12:03:57</t>
        </is>
      </c>
      <c r="F3182" t="inlineStr">
        <is>
          <t>666</t>
        </is>
      </c>
    </row>
    <row r="3183">
      <c r="A3183" t="inlineStr">
        <is>
          <t>Combinado_06-E001-563 CORPORACION SURE SAC 2.pdf</t>
        </is>
      </c>
      <c r="B3183">
        <f>HYPERLINK("C:\Users\lmonroy\Tema\Punto 1 y 2\PDFs Combinados\Combinado_06-E001-563 CORPORACION SURE SAC 2.pdf", "Link")</f>
        <v/>
      </c>
      <c r="C3183" t="n">
        <v>335574</v>
      </c>
      <c r="D3183" t="inlineStr">
        <is>
          <t>2024-05-13 12:03:58</t>
        </is>
      </c>
      <c r="E3183" t="inlineStr">
        <is>
          <t>2024-05-13 12:03:58</t>
        </is>
      </c>
      <c r="F3183" t="inlineStr">
        <is>
          <t>666</t>
        </is>
      </c>
    </row>
    <row r="3184">
      <c r="A3184" t="inlineStr">
        <is>
          <t>Combinado_07-E001-570 CORPORACION SURE SAC.pdf</t>
        </is>
      </c>
      <c r="B3184">
        <f>HYPERLINK("C:\Users\lmonroy\Tema\Punto 1 y 2\PDFs Combinados\Combinado_07-E001-570 CORPORACION SURE SAC.pdf", "Link")</f>
        <v/>
      </c>
      <c r="C3184" t="n">
        <v>448637</v>
      </c>
      <c r="D3184" t="inlineStr">
        <is>
          <t>2024-05-13 12:03:58</t>
        </is>
      </c>
      <c r="E3184" t="inlineStr">
        <is>
          <t>2024-05-13 12:03:58</t>
        </is>
      </c>
      <c r="F3184" t="inlineStr">
        <is>
          <t>666</t>
        </is>
      </c>
    </row>
    <row r="3185">
      <c r="A3185" t="inlineStr">
        <is>
          <t>Combinado_08-F001-2808 BUSINESS TECHNOLOGY SA.pdf</t>
        </is>
      </c>
      <c r="B3185">
        <f>HYPERLINK("C:\Users\lmonroy\Tema\Punto 1 y 2\PDFs Combinados\Combinado_08-F001-2808 BUSINESS TECHNOLOGY SA.pdf", "Link")</f>
        <v/>
      </c>
      <c r="C3185" t="n">
        <v>1093454</v>
      </c>
      <c r="D3185" t="inlineStr">
        <is>
          <t>2024-05-13 12:03:58</t>
        </is>
      </c>
      <c r="E3185" t="inlineStr">
        <is>
          <t>2024-05-13 12:03:58</t>
        </is>
      </c>
      <c r="F3185" t="inlineStr">
        <is>
          <t>666</t>
        </is>
      </c>
    </row>
    <row r="3186">
      <c r="A3186" t="inlineStr">
        <is>
          <t>Combinado_09-F581-3893396 RIMAC.pdf</t>
        </is>
      </c>
      <c r="B3186">
        <f>HYPERLINK("C:\Users\lmonroy\Tema\Punto 1 y 2\PDFs Combinados\Combinado_09-F581-3893396 RIMAC.pdf", "Link")</f>
        <v/>
      </c>
      <c r="C3186" t="n">
        <v>1170789</v>
      </c>
      <c r="D3186" t="inlineStr">
        <is>
          <t>2024-05-13 12:03:58</t>
        </is>
      </c>
      <c r="E3186" t="inlineStr">
        <is>
          <t>2024-05-13 12:03:58</t>
        </is>
      </c>
      <c r="F3186" t="inlineStr">
        <is>
          <t>666</t>
        </is>
      </c>
    </row>
    <row r="3187">
      <c r="A3187" t="inlineStr">
        <is>
          <t>Combinado_10-F581-3942097 RIMAC.pdf</t>
        </is>
      </c>
      <c r="B3187">
        <f>HYPERLINK("C:\Users\lmonroy\Tema\Punto 1 y 2\PDFs Combinados\Combinado_10-F581-3942097 RIMAC.pdf", "Link")</f>
        <v/>
      </c>
      <c r="C3187" t="n">
        <v>1170785</v>
      </c>
      <c r="D3187" t="inlineStr">
        <is>
          <t>2024-05-13 12:03:59</t>
        </is>
      </c>
      <c r="E3187" t="inlineStr">
        <is>
          <t>2024-05-13 12:03:58</t>
        </is>
      </c>
      <c r="F3187" t="inlineStr">
        <is>
          <t>666</t>
        </is>
      </c>
    </row>
    <row r="3188">
      <c r="A3188" t="inlineStr">
        <is>
          <t>Combinado_11-FFA1-4817 EDIFICADORA LIDER S.A.C. OLES.pdf</t>
        </is>
      </c>
      <c r="B3188">
        <f>HYPERLINK("C:\Users\lmonroy\Tema\Punto 1 y 2\PDFs Combinados\Combinado_11-FFA1-4817 EDIFICADORA LIDER S.A.C. OLES.pdf", "Link")</f>
        <v/>
      </c>
      <c r="C3188" t="n">
        <v>977588</v>
      </c>
      <c r="D3188" t="inlineStr">
        <is>
          <t>2024-05-13 12:03:59</t>
        </is>
      </c>
      <c r="E3188" t="inlineStr">
        <is>
          <t>2024-05-13 12:03:59</t>
        </is>
      </c>
      <c r="F3188" t="inlineStr">
        <is>
          <t>666</t>
        </is>
      </c>
    </row>
    <row r="3189">
      <c r="A3189" t="inlineStr">
        <is>
          <t>Combinado_12-E001-48 ENMODEL S.A.C.pdf</t>
        </is>
      </c>
      <c r="B3189">
        <f>HYPERLINK("C:\Users\lmonroy\Tema\Punto 1 y 2\PDFs Combinados\Combinado_12-E001-48 ENMODEL S.A.C.pdf", "Link")</f>
        <v/>
      </c>
      <c r="C3189" t="n">
        <v>1665118</v>
      </c>
      <c r="D3189" t="inlineStr">
        <is>
          <t>2024-05-13 12:03:59</t>
        </is>
      </c>
      <c r="E3189" t="inlineStr">
        <is>
          <t>2024-05-13 12:03:59</t>
        </is>
      </c>
      <c r="F3189" t="inlineStr">
        <is>
          <t>666</t>
        </is>
      </c>
    </row>
    <row r="3190">
      <c r="A3190" t="inlineStr">
        <is>
          <t>Combinado_13-E001-50 ENMODEL S.A.C.pdf</t>
        </is>
      </c>
      <c r="B3190">
        <f>HYPERLINK("C:\Users\lmonroy\Tema\Punto 1 y 2\PDFs Combinados\Combinado_13-E001-50 ENMODEL S.A.C.pdf", "Link")</f>
        <v/>
      </c>
      <c r="C3190" t="n">
        <v>2601706</v>
      </c>
      <c r="D3190" t="inlineStr">
        <is>
          <t>2024-05-13 12:03:59</t>
        </is>
      </c>
      <c r="E3190" t="inlineStr">
        <is>
          <t>2024-05-13 12:03:59</t>
        </is>
      </c>
      <c r="F3190" t="inlineStr">
        <is>
          <t>666</t>
        </is>
      </c>
    </row>
    <row r="3191">
      <c r="A3191" t="inlineStr">
        <is>
          <t>Combinado_14-E001-62 AC3 CONSULTORES EMPRESA INDIVIDUAL DE RESPONSABILIDAD.pdf</t>
        </is>
      </c>
      <c r="B3191">
        <f>HYPERLINK("C:\Users\lmonroy\Tema\Punto 1 y 2\PDFs Combinados\Combinado_14-E001-62 AC3 CONSULTORES EMPRESA INDIVIDUAL DE RESPONSABILIDAD.pdf", "Link")</f>
        <v/>
      </c>
      <c r="C3191" t="n">
        <v>419468</v>
      </c>
      <c r="D3191" t="inlineStr">
        <is>
          <t>2024-05-13 12:04:00</t>
        </is>
      </c>
      <c r="E3191" t="inlineStr">
        <is>
          <t>2024-05-13 12:03:59</t>
        </is>
      </c>
      <c r="F3191" t="inlineStr">
        <is>
          <t>666</t>
        </is>
      </c>
    </row>
    <row r="3192">
      <c r="A3192" t="inlineStr">
        <is>
          <t>Combinado_15-E001-137 MEDICINE &amp; SAFETY SAC.pdf</t>
        </is>
      </c>
      <c r="B3192">
        <f>HYPERLINK("C:\Users\lmonroy\Tema\Punto 1 y 2\PDFs Combinados\Combinado_15-E001-137 MEDICINE &amp; SAFETY SAC.pdf", "Link")</f>
        <v/>
      </c>
      <c r="C3192" t="n">
        <v>337593</v>
      </c>
      <c r="D3192" t="inlineStr">
        <is>
          <t>2024-05-13 12:04:00</t>
        </is>
      </c>
      <c r="E3192" t="inlineStr">
        <is>
          <t>2024-05-13 12:04:00</t>
        </is>
      </c>
      <c r="F3192" t="inlineStr">
        <is>
          <t>666</t>
        </is>
      </c>
    </row>
    <row r="3193">
      <c r="A3193" t="inlineStr">
        <is>
          <t>Combinado_16-E001-414 AGORA SERVICIOS MULTIPLES S.A.C. 2.pdf</t>
        </is>
      </c>
      <c r="B3193">
        <f>HYPERLINK("C:\Users\lmonroy\Tema\Punto 1 y 2\PDFs Combinados\Combinado_16-E001-414 AGORA SERVICIOS MULTIPLES S.A.C. 2.pdf", "Link")</f>
        <v/>
      </c>
      <c r="C3193" t="n">
        <v>365205</v>
      </c>
      <c r="D3193" t="inlineStr">
        <is>
          <t>2024-05-13 12:04:00</t>
        </is>
      </c>
      <c r="E3193" t="inlineStr">
        <is>
          <t>2024-05-13 12:04:00</t>
        </is>
      </c>
      <c r="F3193" t="inlineStr">
        <is>
          <t>666</t>
        </is>
      </c>
    </row>
    <row r="3194">
      <c r="A3194" t="inlineStr">
        <is>
          <t>Combinado_17-E001-415 AGORA SERVICIOS MULTIPLES S.A.C. 2.pdf</t>
        </is>
      </c>
      <c r="B3194">
        <f>HYPERLINK("C:\Users\lmonroy\Tema\Punto 1 y 2\PDFs Combinados\Combinado_17-E001-415 AGORA SERVICIOS MULTIPLES S.A.C. 2.pdf", "Link")</f>
        <v/>
      </c>
      <c r="C3194" t="n">
        <v>364093</v>
      </c>
      <c r="D3194" t="inlineStr">
        <is>
          <t>2024-05-13 12:04:00</t>
        </is>
      </c>
      <c r="E3194" t="inlineStr">
        <is>
          <t>2024-05-13 12:04:00</t>
        </is>
      </c>
      <c r="F3194" t="inlineStr">
        <is>
          <t>666</t>
        </is>
      </c>
    </row>
    <row r="3195">
      <c r="A3195" t="inlineStr">
        <is>
          <t>Combinado_18-E001-416 AGORA SERVICIOS MULTIPLES S.A.C.pdf</t>
        </is>
      </c>
      <c r="B3195">
        <f>HYPERLINK("C:\Users\lmonroy\Tema\Punto 1 y 2\PDFs Combinados\Combinado_18-E001-416 AGORA SERVICIOS MULTIPLES S.A.C.pdf", "Link")</f>
        <v/>
      </c>
      <c r="C3195" t="n">
        <v>70148</v>
      </c>
      <c r="D3195" t="inlineStr">
        <is>
          <t>2024-05-13 12:04:00</t>
        </is>
      </c>
      <c r="E3195" t="inlineStr">
        <is>
          <t>2024-05-13 12:04:00</t>
        </is>
      </c>
      <c r="F3195" t="inlineStr">
        <is>
          <t>666</t>
        </is>
      </c>
    </row>
    <row r="3196">
      <c r="A3196" t="inlineStr">
        <is>
          <t>Combinado_19-E001-571 CORPORACION SURE SAC.pdf</t>
        </is>
      </c>
      <c r="B3196">
        <f>HYPERLINK("C:\Users\lmonroy\Tema\Punto 1 y 2\PDFs Combinados\Combinado_19-E001-571 CORPORACION SURE SAC.pdf", "Link")</f>
        <v/>
      </c>
      <c r="C3196" t="n">
        <v>86148</v>
      </c>
      <c r="D3196" t="inlineStr">
        <is>
          <t>2024-05-13 12:04:00</t>
        </is>
      </c>
      <c r="E3196" t="inlineStr">
        <is>
          <t>2024-05-13 12:04:00</t>
        </is>
      </c>
      <c r="F3196" t="inlineStr">
        <is>
          <t>666</t>
        </is>
      </c>
    </row>
    <row r="3197">
      <c r="A3197" t="inlineStr">
        <is>
          <t>Combinado_20-F001-47548 LA LLAVE S.A.pdf</t>
        </is>
      </c>
      <c r="B3197">
        <f>HYPERLINK("C:\Users\lmonroy\Tema\Punto 1 y 2\PDFs Combinados\Combinado_20-F001-47548 LA LLAVE S.A.pdf", "Link")</f>
        <v/>
      </c>
      <c r="C3197" t="n">
        <v>345531</v>
      </c>
      <c r="D3197" t="inlineStr">
        <is>
          <t>2024-05-13 12:04:00</t>
        </is>
      </c>
      <c r="E3197" t="inlineStr">
        <is>
          <t>2024-05-13 12:04:00</t>
        </is>
      </c>
      <c r="F3197" t="inlineStr">
        <is>
          <t>666</t>
        </is>
      </c>
    </row>
    <row r="3198">
      <c r="A3198" t="inlineStr">
        <is>
          <t>Combinado_21-F581-4005679 RIMAC.pdf</t>
        </is>
      </c>
      <c r="B3198">
        <f>HYPERLINK("C:\Users\lmonroy\Tema\Punto 1 y 2\PDFs Combinados\Combinado_21-F581-4005679 RIMAC.pdf", "Link")</f>
        <v/>
      </c>
      <c r="C3198" t="n">
        <v>1208026</v>
      </c>
      <c r="D3198" t="inlineStr">
        <is>
          <t>2024-05-13 12:04:00</t>
        </is>
      </c>
      <c r="E3198" t="inlineStr">
        <is>
          <t>2024-05-13 12:04:00</t>
        </is>
      </c>
      <c r="F3198" t="inlineStr">
        <is>
          <t>666</t>
        </is>
      </c>
    </row>
    <row r="3199">
      <c r="A3199" t="inlineStr">
        <is>
          <t>Combinado_22-F581-4005681 RIMAC.pdf</t>
        </is>
      </c>
      <c r="B3199">
        <f>HYPERLINK("C:\Users\lmonroy\Tema\Punto 1 y 2\PDFs Combinados\Combinado_22-F581-4005681 RIMAC.pdf", "Link")</f>
        <v/>
      </c>
      <c r="C3199" t="n">
        <v>2675943</v>
      </c>
      <c r="D3199" t="inlineStr">
        <is>
          <t>2024-05-13 12:04:01</t>
        </is>
      </c>
      <c r="E3199" t="inlineStr">
        <is>
          <t>2024-05-13 12:04:01</t>
        </is>
      </c>
      <c r="F3199" t="inlineStr">
        <is>
          <t>666</t>
        </is>
      </c>
    </row>
    <row r="3200">
      <c r="A3200" t="inlineStr">
        <is>
          <t>Combinado_23-FA01-24762 ALS LS PERU S.A.C 3.pdf</t>
        </is>
      </c>
      <c r="B3200">
        <f>HYPERLINK("C:\Users\lmonroy\Tema\Punto 1 y 2\PDFs Combinados\Combinado_23-FA01-24762 ALS LS PERU S.A.C 3.pdf", "Link")</f>
        <v/>
      </c>
      <c r="C3200" t="n">
        <v>3557654</v>
      </c>
      <c r="D3200" t="inlineStr">
        <is>
          <t>2024-05-13 12:04:02</t>
        </is>
      </c>
      <c r="E3200" t="inlineStr">
        <is>
          <t>2024-05-13 12:04:02</t>
        </is>
      </c>
      <c r="F3200" t="inlineStr">
        <is>
          <t>666</t>
        </is>
      </c>
    </row>
    <row r="3201">
      <c r="A3201" t="inlineStr">
        <is>
          <t>Combinado_24- FA01-24763 ALS LS PERU S.A.C 3.pdf</t>
        </is>
      </c>
      <c r="B3201">
        <f>HYPERLINK("C:\Users\lmonroy\Tema\Punto 1 y 2\PDFs Combinados\Combinado_24- FA01-24763 ALS LS PERU S.A.C 3.pdf", "Link")</f>
        <v/>
      </c>
      <c r="C3201" t="n">
        <v>2138657</v>
      </c>
      <c r="D3201" t="inlineStr">
        <is>
          <t>2024-05-13 12:04:03</t>
        </is>
      </c>
      <c r="E3201" t="inlineStr">
        <is>
          <t>2024-05-13 12:04:03</t>
        </is>
      </c>
      <c r="F3201" t="inlineStr">
        <is>
          <t>666</t>
        </is>
      </c>
    </row>
    <row r="3202">
      <c r="A3202" t="inlineStr">
        <is>
          <t>Combinado_25-FA01-24766 ALS LS PERU S.A.C 4.pdf</t>
        </is>
      </c>
      <c r="B3202">
        <f>HYPERLINK("C:\Users\lmonroy\Tema\Punto 1 y 2\PDFs Combinados\Combinado_25-FA01-24766 ALS LS PERU S.A.C 4.pdf", "Link")</f>
        <v/>
      </c>
      <c r="C3202" t="n">
        <v>2278982</v>
      </c>
      <c r="D3202" t="inlineStr">
        <is>
          <t>2024-05-13 12:04:03</t>
        </is>
      </c>
      <c r="E3202" t="inlineStr">
        <is>
          <t>2024-05-13 12:04:03</t>
        </is>
      </c>
      <c r="F3202" t="inlineStr">
        <is>
          <t>666</t>
        </is>
      </c>
    </row>
    <row r="3203">
      <c r="A3203" t="inlineStr">
        <is>
          <t>Combinado_26 FA01-24767 ALS LS PERU S.A.C 4.pdf</t>
        </is>
      </c>
      <c r="B3203">
        <f>HYPERLINK("C:\Users\lmonroy\Tema\Punto 1 y 2\PDFs Combinados\Combinado_26 FA01-24767 ALS LS PERU S.A.C 4.pdf", "Link")</f>
        <v/>
      </c>
      <c r="C3203" t="n">
        <v>943454</v>
      </c>
      <c r="D3203" t="inlineStr">
        <is>
          <t>2024-05-13 12:04:04</t>
        </is>
      </c>
      <c r="E3203" t="inlineStr">
        <is>
          <t>2024-05-13 12:04:04</t>
        </is>
      </c>
      <c r="F3203" t="inlineStr">
        <is>
          <t>666</t>
        </is>
      </c>
    </row>
    <row r="3204">
      <c r="A3204" t="inlineStr">
        <is>
          <t>Combinado_27-FA01-24768 ALS LS PERU S.A.C 2.pdf</t>
        </is>
      </c>
      <c r="B3204">
        <f>HYPERLINK("C:\Users\lmonroy\Tema\Punto 1 y 2\PDFs Combinados\Combinado_27-FA01-24768 ALS LS PERU S.A.C 2.pdf", "Link")</f>
        <v/>
      </c>
      <c r="C3204" t="n">
        <v>5016018</v>
      </c>
      <c r="D3204" t="inlineStr">
        <is>
          <t>2024-05-13 12:04:05</t>
        </is>
      </c>
      <c r="E3204" t="inlineStr">
        <is>
          <t>2024-05-13 12:04:05</t>
        </is>
      </c>
      <c r="F3204" t="inlineStr">
        <is>
          <t>666</t>
        </is>
      </c>
    </row>
    <row r="3205">
      <c r="A3205" t="inlineStr">
        <is>
          <t>Combinado_28-FA01-24769 ALS LS PERU S.A.C 2.pdf</t>
        </is>
      </c>
      <c r="B3205">
        <f>HYPERLINK("C:\Users\lmonroy\Tema\Punto 1 y 2\PDFs Combinados\Combinado_28-FA01-24769 ALS LS PERU S.A.C 2.pdf", "Link")</f>
        <v/>
      </c>
      <c r="C3205" t="n">
        <v>6555975</v>
      </c>
      <c r="D3205" t="inlineStr">
        <is>
          <t>2024-05-13 12:04:07</t>
        </is>
      </c>
      <c r="E3205" t="inlineStr">
        <is>
          <t>2024-05-13 12:04:07</t>
        </is>
      </c>
      <c r="F3205" t="inlineStr">
        <is>
          <t>666</t>
        </is>
      </c>
    </row>
    <row r="3206">
      <c r="A3206" t="inlineStr">
        <is>
          <t>Combinado_29-FA01-24772 ALS LS PERU SAC. 2.pdf</t>
        </is>
      </c>
      <c r="B3206">
        <f>HYPERLINK("C:\Users\lmonroy\Tema\Punto 1 y 2\PDFs Combinados\Combinado_29-FA01-24772 ALS LS PERU SAC. 2.pdf", "Link")</f>
        <v/>
      </c>
      <c r="C3206" t="n">
        <v>7500293</v>
      </c>
      <c r="D3206" t="inlineStr">
        <is>
          <t>2024-05-13 12:04:09</t>
        </is>
      </c>
      <c r="E3206" t="inlineStr">
        <is>
          <t>2024-05-13 12:04:09</t>
        </is>
      </c>
      <c r="F3206" t="inlineStr">
        <is>
          <t>666</t>
        </is>
      </c>
    </row>
    <row r="3207">
      <c r="A3207" t="inlineStr">
        <is>
          <t>Combinado_30-FFA1-4872 EDIFICADORA LIDER S.A.C. 3.pdf</t>
        </is>
      </c>
      <c r="B3207">
        <f>HYPERLINK("C:\Users\lmonroy\Tema\Punto 1 y 2\PDFs Combinados\Combinado_30-FFA1-4872 EDIFICADORA LIDER S.A.C. 3.pdf", "Link")</f>
        <v/>
      </c>
      <c r="C3207" t="n">
        <v>1038530</v>
      </c>
      <c r="D3207" t="inlineStr">
        <is>
          <t>2024-05-13 12:04:09</t>
        </is>
      </c>
      <c r="E3207" t="inlineStr">
        <is>
          <t>2024-05-13 12:04:09</t>
        </is>
      </c>
      <c r="F3207" t="inlineStr">
        <is>
          <t>666</t>
        </is>
      </c>
    </row>
    <row r="3208">
      <c r="A3208" t="inlineStr">
        <is>
          <t>Combinado_31-FFA1-4910 EDIFICADORA LIDER SAC SOLES 2.pdf</t>
        </is>
      </c>
      <c r="B3208">
        <f>HYPERLINK("C:\Users\lmonroy\Tema\Punto 1 y 2\PDFs Combinados\Combinado_31-FFA1-4910 EDIFICADORA LIDER SAC SOLES 2.pdf", "Link")</f>
        <v/>
      </c>
      <c r="C3208" t="n">
        <v>1038079</v>
      </c>
      <c r="D3208" t="inlineStr">
        <is>
          <t>2024-05-13 12:04:09</t>
        </is>
      </c>
      <c r="E3208" t="inlineStr">
        <is>
          <t>2024-05-13 12:04:09</t>
        </is>
      </c>
      <c r="F3208" t="inlineStr">
        <is>
          <t>666</t>
        </is>
      </c>
    </row>
    <row r="3209">
      <c r="A3209" t="inlineStr">
        <is>
          <t>Combinado_32-E001-53 ENMODEL S.A.C.pdf</t>
        </is>
      </c>
      <c r="B3209">
        <f>HYPERLINK("C:\Users\lmonroy\Tema\Punto 1 y 2\PDFs Combinados\Combinado_32-E001-53 ENMODEL S.A.C.pdf", "Link")</f>
        <v/>
      </c>
      <c r="C3209" t="n">
        <v>69478828</v>
      </c>
      <c r="D3209" t="inlineStr">
        <is>
          <t>2024-05-13 12:04:15</t>
        </is>
      </c>
      <c r="E3209" t="inlineStr">
        <is>
          <t>2024-05-13 12:04:13</t>
        </is>
      </c>
      <c r="F3209" t="inlineStr">
        <is>
          <t>666</t>
        </is>
      </c>
    </row>
    <row r="3210">
      <c r="A3210" t="inlineStr">
        <is>
          <t>Combinado_33-E001-63 AC3 CONSULTORES EIRL.pdf</t>
        </is>
      </c>
      <c r="B3210">
        <f>HYPERLINK("C:\Users\lmonroy\Tema\Punto 1 y 2\PDFs Combinados\Combinado_33-E001-63 AC3 CONSULTORES EIRL.pdf", "Link")</f>
        <v/>
      </c>
      <c r="C3210" t="n">
        <v>485736</v>
      </c>
      <c r="D3210" t="inlineStr">
        <is>
          <t>2024-05-13 12:04:15</t>
        </is>
      </c>
      <c r="E3210" t="inlineStr">
        <is>
          <t>2024-05-13 12:04:15</t>
        </is>
      </c>
      <c r="F3210" t="inlineStr">
        <is>
          <t>666</t>
        </is>
      </c>
    </row>
    <row r="3211">
      <c r="A3211" t="inlineStr">
        <is>
          <t>Combinado_34-E001-432 AGORA SERVICIOS MULTIPLES S.A.C.pdf</t>
        </is>
      </c>
      <c r="B3211">
        <f>HYPERLINK("C:\Users\lmonroy\Tema\Punto 1 y 2\PDFs Combinados\Combinado_34-E001-432 AGORA SERVICIOS MULTIPLES S.A.C.pdf", "Link")</f>
        <v/>
      </c>
      <c r="C3211" t="n">
        <v>423357</v>
      </c>
      <c r="D3211" t="inlineStr">
        <is>
          <t>2024-05-13 12:04:15</t>
        </is>
      </c>
      <c r="E3211" t="inlineStr">
        <is>
          <t>2024-05-13 12:04:15</t>
        </is>
      </c>
      <c r="F3211" t="inlineStr">
        <is>
          <t>666</t>
        </is>
      </c>
    </row>
    <row r="3212">
      <c r="A3212" t="inlineStr">
        <is>
          <t>Combinado_35-E001-433 AGORA SERVICIOS MULTIPLES S.A.C.pdf</t>
        </is>
      </c>
      <c r="B3212">
        <f>HYPERLINK("C:\Users\lmonroy\Tema\Punto 1 y 2\PDFs Combinados\Combinado_35-E001-433 AGORA SERVICIOS MULTIPLES S.A.C.pdf", "Link")</f>
        <v/>
      </c>
      <c r="C3212" t="n">
        <v>426906</v>
      </c>
      <c r="D3212" t="inlineStr">
        <is>
          <t>2024-05-13 12:04:15</t>
        </is>
      </c>
      <c r="E3212" t="inlineStr">
        <is>
          <t>2024-05-13 12:04:15</t>
        </is>
      </c>
      <c r="F3212" t="inlineStr">
        <is>
          <t>666</t>
        </is>
      </c>
    </row>
    <row r="3213">
      <c r="A3213" t="inlineStr">
        <is>
          <t>Combinado_36-E001-437 AGORA SERVICIOS MULTIPLES S.A.C. 3.pdf</t>
        </is>
      </c>
      <c r="B3213">
        <f>HYPERLINK("C:\Users\lmonroy\Tema\Punto 1 y 2\PDFs Combinados\Combinado_36-E001-437 AGORA SERVICIOS MULTIPLES S.A.C. 3.pdf", "Link")</f>
        <v/>
      </c>
      <c r="C3213" t="n">
        <v>352839</v>
      </c>
      <c r="D3213" t="inlineStr">
        <is>
          <t>2024-05-13 12:04:15</t>
        </is>
      </c>
      <c r="E3213" t="inlineStr">
        <is>
          <t>2024-05-13 12:04:15</t>
        </is>
      </c>
      <c r="F3213" t="inlineStr">
        <is>
          <t>666</t>
        </is>
      </c>
    </row>
    <row r="3214">
      <c r="A3214" t="inlineStr">
        <is>
          <t>Combinado_37-E001-445 AGORA SERVICIOS MULTIPLES SOCIEDAD ANONI.pdf</t>
        </is>
      </c>
      <c r="B3214">
        <f>HYPERLINK("C:\Users\lmonroy\Tema\Punto 1 y 2\PDFs Combinados\Combinado_37-E001-445 AGORA SERVICIOS MULTIPLES SOCIEDAD ANONI.pdf", "Link")</f>
        <v/>
      </c>
      <c r="C3214" t="n">
        <v>2238031</v>
      </c>
      <c r="D3214" t="inlineStr">
        <is>
          <t>2024-05-13 12:04:15</t>
        </is>
      </c>
      <c r="E3214" t="inlineStr">
        <is>
          <t>2024-05-13 12:04:15</t>
        </is>
      </c>
      <c r="F3214" t="inlineStr">
        <is>
          <t>666</t>
        </is>
      </c>
    </row>
    <row r="3215">
      <c r="A3215" t="inlineStr">
        <is>
          <t>Combinado_38-E001-580 CORPORACION SURE SAC.pdf</t>
        </is>
      </c>
      <c r="B3215">
        <f>HYPERLINK("C:\Users\lmonroy\Tema\Punto 1 y 2\PDFs Combinados\Combinado_38-E001-580 CORPORACION SURE SAC.pdf", "Link")</f>
        <v/>
      </c>
      <c r="C3215" t="n">
        <v>445614</v>
      </c>
      <c r="D3215" t="inlineStr">
        <is>
          <t>2024-05-13 12:04:15</t>
        </is>
      </c>
      <c r="E3215" t="inlineStr">
        <is>
          <t>2024-05-13 12:04:15</t>
        </is>
      </c>
      <c r="F3215" t="inlineStr">
        <is>
          <t>666</t>
        </is>
      </c>
    </row>
    <row r="3216">
      <c r="A3216" t="inlineStr">
        <is>
          <t>Combinado_39-E001-581 CORPORACION SURE SAC 2.pdf</t>
        </is>
      </c>
      <c r="B3216">
        <f>HYPERLINK("C:\Users\lmonroy\Tema\Punto 1 y 2\PDFs Combinados\Combinado_39-E001-581 CORPORACION SURE SAC 2.pdf", "Link")</f>
        <v/>
      </c>
      <c r="C3216" t="n">
        <v>209160</v>
      </c>
      <c r="D3216" t="inlineStr">
        <is>
          <t>2024-05-13 12:04:15</t>
        </is>
      </c>
      <c r="E3216" t="inlineStr">
        <is>
          <t>2024-05-13 12:04:15</t>
        </is>
      </c>
      <c r="F3216" t="inlineStr">
        <is>
          <t>666</t>
        </is>
      </c>
    </row>
    <row r="3217">
      <c r="A3217" t="inlineStr">
        <is>
          <t>Combinado_40-FA01-25082 ALS LS PERU S.A.C.pdf</t>
        </is>
      </c>
      <c r="B3217">
        <f>HYPERLINK("C:\Users\lmonroy\Tema\Punto 1 y 2\PDFs Combinados\Combinado_40-FA01-25082 ALS LS PERU S.A.C.pdf", "Link")</f>
        <v/>
      </c>
      <c r="C3217" t="n">
        <v>702257</v>
      </c>
      <c r="D3217" t="inlineStr">
        <is>
          <t>2024-05-13 12:04:16</t>
        </is>
      </c>
      <c r="E3217" t="inlineStr">
        <is>
          <t>2024-05-13 12:04:16</t>
        </is>
      </c>
      <c r="F3217" t="inlineStr">
        <is>
          <t>666</t>
        </is>
      </c>
    </row>
    <row r="3218">
      <c r="A3218" t="inlineStr">
        <is>
          <t>Combinado_41-FA01-25129 ALS LS PERU S.A.C.pdf</t>
        </is>
      </c>
      <c r="B3218">
        <f>HYPERLINK("C:\Users\lmonroy\Tema\Punto 1 y 2\PDFs Combinados\Combinado_41-FA01-25129 ALS LS PERU S.A.C.pdf", "Link")</f>
        <v/>
      </c>
      <c r="C3218" t="n">
        <v>417383</v>
      </c>
      <c r="D3218" t="inlineStr">
        <is>
          <t>2024-05-13 12:04:16</t>
        </is>
      </c>
      <c r="E3218" t="inlineStr">
        <is>
          <t>2024-05-13 12:04:16</t>
        </is>
      </c>
      <c r="F3218" t="inlineStr">
        <is>
          <t>666</t>
        </is>
      </c>
    </row>
    <row r="3219">
      <c r="A3219" t="inlineStr">
        <is>
          <t>Combinado_42-FA01-25130 ALS LS PERU SAC. 3.pdf</t>
        </is>
      </c>
      <c r="B3219">
        <f>HYPERLINK("C:\Users\lmonroy\Tema\Punto 1 y 2\PDFs Combinados\Combinado_42-FA01-25130 ALS LS PERU SAC. 3.pdf", "Link")</f>
        <v/>
      </c>
      <c r="C3219" t="n">
        <v>1065558</v>
      </c>
      <c r="D3219" t="inlineStr">
        <is>
          <t>2024-05-13 12:04:16</t>
        </is>
      </c>
      <c r="E3219" t="inlineStr">
        <is>
          <t>2024-05-13 12:04:16</t>
        </is>
      </c>
      <c r="F3219" t="inlineStr">
        <is>
          <t>666</t>
        </is>
      </c>
    </row>
    <row r="3220">
      <c r="A3220" t="inlineStr">
        <is>
          <t>Combinado_43-FA01-25160 ALS LS PERU SAC. 3.pdf</t>
        </is>
      </c>
      <c r="B3220">
        <f>HYPERLINK("C:\Users\lmonroy\Tema\Punto 1 y 2\PDFs Combinados\Combinado_43-FA01-25160 ALS LS PERU SAC. 3.pdf", "Link")</f>
        <v/>
      </c>
      <c r="C3220" t="n">
        <v>417466</v>
      </c>
      <c r="D3220" t="inlineStr">
        <is>
          <t>2024-05-13 12:04:16</t>
        </is>
      </c>
      <c r="E3220" t="inlineStr">
        <is>
          <t>2024-05-13 12:04:16</t>
        </is>
      </c>
      <c r="F3220" t="inlineStr">
        <is>
          <t>666</t>
        </is>
      </c>
    </row>
    <row r="3221">
      <c r="A3221" t="inlineStr">
        <is>
          <t>Combinado_44-FFA1-4961 EDIFICADORA LIDER S.A.C. dolares.pdf</t>
        </is>
      </c>
      <c r="B3221">
        <f>HYPERLINK("C:\Users\lmonroy\Tema\Punto 1 y 2\PDFs Combinados\Combinado_44-FFA1-4961 EDIFICADORA LIDER S.A.C. dolares.pdf", "Link")</f>
        <v/>
      </c>
      <c r="C3221" t="n">
        <v>1038513</v>
      </c>
      <c r="D3221" t="inlineStr">
        <is>
          <t>2024-05-13 12:04:16</t>
        </is>
      </c>
      <c r="E3221" t="inlineStr">
        <is>
          <t>2024-05-13 12:04:16</t>
        </is>
      </c>
      <c r="F3221" t="inlineStr">
        <is>
          <t>666</t>
        </is>
      </c>
    </row>
    <row r="3222">
      <c r="A3222" t="inlineStr">
        <is>
          <t>Combinado_45-FFA1-4987 EDIFICADORA LIDER SAC.pdf</t>
        </is>
      </c>
      <c r="B3222">
        <f>HYPERLINK("C:\Users\lmonroy\Tema\Punto 1 y 2\PDFs Combinados\Combinado_45-FFA1-4987 EDIFICADORA LIDER SAC.pdf", "Link")</f>
        <v/>
      </c>
      <c r="C3222" t="n">
        <v>1038170</v>
      </c>
      <c r="D3222" t="inlineStr">
        <is>
          <t>2024-05-13 12:04:17</t>
        </is>
      </c>
      <c r="E3222" t="inlineStr">
        <is>
          <t>2024-05-13 12:04:17</t>
        </is>
      </c>
      <c r="F3222" t="inlineStr">
        <is>
          <t>666</t>
        </is>
      </c>
    </row>
    <row r="3223">
      <c r="A3223" t="inlineStr">
        <is>
          <t>Combinado_46-FL00-227758 BANCO BBVA PERÚ.pdf</t>
        </is>
      </c>
      <c r="B3223">
        <f>HYPERLINK("C:\Users\lmonroy\Tema\Punto 1 y 2\PDFs Combinados\Combinado_46-FL00-227758 BANCO BBVA PERÚ.pdf", "Link")</f>
        <v/>
      </c>
      <c r="C3223" t="n">
        <v>2002788</v>
      </c>
      <c r="D3223" t="inlineStr">
        <is>
          <t>2024-05-13 12:04:17</t>
        </is>
      </c>
      <c r="E3223" t="inlineStr">
        <is>
          <t>2024-05-13 12:04:17</t>
        </is>
      </c>
      <c r="F3223" t="inlineStr">
        <is>
          <t>666</t>
        </is>
      </c>
    </row>
    <row r="3224">
      <c r="A3224" t="inlineStr">
        <is>
          <t>Combinado_47-FL00-227759 BBVA.pdf</t>
        </is>
      </c>
      <c r="B3224">
        <f>HYPERLINK("C:\Users\lmonroy\Tema\Punto 1 y 2\PDFs Combinados\Combinado_47-FL00-227759 BBVA.pdf", "Link")</f>
        <v/>
      </c>
      <c r="C3224" t="n">
        <v>1995203</v>
      </c>
      <c r="D3224" t="inlineStr">
        <is>
          <t>2024-05-13 12:04:17</t>
        </is>
      </c>
      <c r="E3224" t="inlineStr">
        <is>
          <t>2024-05-13 12:04:17</t>
        </is>
      </c>
      <c r="F3224" t="inlineStr">
        <is>
          <t>666</t>
        </is>
      </c>
    </row>
    <row r="3225">
      <c r="A3225" t="inlineStr">
        <is>
          <t>Combinado_48-E001-65 ENMODEL S.A.C.pdf</t>
        </is>
      </c>
      <c r="B3225">
        <f>HYPERLINK("C:\Users\lmonroy\Tema\Punto 1 y 2\PDFs Combinados\Combinado_48-E001-65 ENMODEL S.A.C.pdf", "Link")</f>
        <v/>
      </c>
      <c r="C3225" t="n">
        <v>801802</v>
      </c>
      <c r="D3225" t="inlineStr">
        <is>
          <t>2024-05-13 12:04:17</t>
        </is>
      </c>
      <c r="E3225" t="inlineStr">
        <is>
          <t>2024-05-13 12:04:17</t>
        </is>
      </c>
      <c r="F3225" t="inlineStr">
        <is>
          <t>666</t>
        </is>
      </c>
    </row>
    <row r="3226">
      <c r="A3226" t="inlineStr">
        <is>
          <t>Combinado_49-E001-65 AC3 CONSULTORES EIRL.pdf</t>
        </is>
      </c>
      <c r="B3226">
        <f>HYPERLINK("C:\Users\lmonroy\Tema\Punto 1 y 2\PDFs Combinados\Combinado_49-E001-65 AC3 CONSULTORES EIRL.pdf", "Link")</f>
        <v/>
      </c>
      <c r="C3226" t="n">
        <v>422583</v>
      </c>
      <c r="D3226" t="inlineStr">
        <is>
          <t>2024-05-13 12:04:17</t>
        </is>
      </c>
      <c r="E3226" t="inlineStr">
        <is>
          <t>2024-05-13 12:04:17</t>
        </is>
      </c>
      <c r="F3226" t="inlineStr">
        <is>
          <t>666</t>
        </is>
      </c>
    </row>
    <row r="3227">
      <c r="A3227" t="inlineStr">
        <is>
          <t>Combinado_50-E001-106 ECHE CLAVIJO GIL LUIS.pdf</t>
        </is>
      </c>
      <c r="B3227">
        <f>HYPERLINK("C:\Users\lmonroy\Tema\Punto 1 y 2\PDFs Combinados\Combinado_50-E001-106 ECHE CLAVIJO GIL LUIS.pdf", "Link")</f>
        <v/>
      </c>
      <c r="C3227" t="n">
        <v>1527615</v>
      </c>
      <c r="D3227" t="inlineStr">
        <is>
          <t>2024-05-13 12:04:17</t>
        </is>
      </c>
      <c r="E3227" t="inlineStr">
        <is>
          <t>2024-05-13 12:04:17</t>
        </is>
      </c>
      <c r="F3227" t="inlineStr">
        <is>
          <t>666</t>
        </is>
      </c>
    </row>
    <row r="3228">
      <c r="A3228" t="inlineStr">
        <is>
          <t>Combinado_51-E001-109 ECHE CLAVIJO GIL LUIS.pdf</t>
        </is>
      </c>
      <c r="B3228">
        <f>HYPERLINK("C:\Users\lmonroy\Tema\Punto 1 y 2\PDFs Combinados\Combinado_51-E001-109 ECHE CLAVIJO GIL LUIS.pdf", "Link")</f>
        <v/>
      </c>
      <c r="C3228" t="n">
        <v>5337467</v>
      </c>
      <c r="D3228" t="inlineStr">
        <is>
          <t>2024-05-13 12:04:17</t>
        </is>
      </c>
      <c r="E3228" t="inlineStr">
        <is>
          <t>2024-05-13 12:04:17</t>
        </is>
      </c>
      <c r="F3228" t="inlineStr">
        <is>
          <t>666</t>
        </is>
      </c>
    </row>
    <row r="3229">
      <c r="A3229" t="inlineStr">
        <is>
          <t>Combinado_52-E001-140 MEDICINE &amp; SAFETY SAC.pdf</t>
        </is>
      </c>
      <c r="B3229">
        <f>HYPERLINK("C:\Users\lmonroy\Tema\Punto 1 y 2\PDFs Combinados\Combinado_52-E001-140 MEDICINE &amp; SAFETY SAC.pdf", "Link")</f>
        <v/>
      </c>
      <c r="C3229" t="n">
        <v>669037</v>
      </c>
      <c r="D3229" t="inlineStr">
        <is>
          <t>2024-05-13 12:04:18</t>
        </is>
      </c>
      <c r="E3229" t="inlineStr">
        <is>
          <t>2024-05-13 12:04:18</t>
        </is>
      </c>
      <c r="F3229" t="inlineStr">
        <is>
          <t>666</t>
        </is>
      </c>
    </row>
    <row r="3230">
      <c r="A3230" t="inlineStr">
        <is>
          <t>Combinado_53-E001-143 MEDICINE &amp; SAFETY SAC 2.pdf</t>
        </is>
      </c>
      <c r="B3230">
        <f>HYPERLINK("C:\Users\lmonroy\Tema\Punto 1 y 2\PDFs Combinados\Combinado_53-E001-143 MEDICINE &amp; SAFETY SAC 2.pdf", "Link")</f>
        <v/>
      </c>
      <c r="C3230" t="n">
        <v>334914</v>
      </c>
      <c r="D3230" t="inlineStr">
        <is>
          <t>2024-05-13 12:04:18</t>
        </is>
      </c>
      <c r="E3230" t="inlineStr">
        <is>
          <t>2024-05-13 12:04:18</t>
        </is>
      </c>
      <c r="F3230" t="inlineStr">
        <is>
          <t>666</t>
        </is>
      </c>
    </row>
    <row r="3231">
      <c r="A3231" t="inlineStr">
        <is>
          <t>Combinado_54-E001-154 GEOSERVICE PERU SOCIEDAD ANONIMA CERRADA.pdf</t>
        </is>
      </c>
      <c r="B3231">
        <f>HYPERLINK("C:\Users\lmonroy\Tema\Punto 1 y 2\PDFs Combinados\Combinado_54-E001-154 GEOSERVICE PERU SOCIEDAD ANONIMA CERRADA.pdf", "Link")</f>
        <v/>
      </c>
      <c r="C3231" t="n">
        <v>2499246</v>
      </c>
      <c r="D3231" t="inlineStr">
        <is>
          <t>2024-05-13 12:04:19</t>
        </is>
      </c>
      <c r="E3231" t="inlineStr">
        <is>
          <t>2024-05-13 12:04:19</t>
        </is>
      </c>
      <c r="F3231" t="inlineStr">
        <is>
          <t>666</t>
        </is>
      </c>
    </row>
    <row r="3232">
      <c r="A3232" t="inlineStr">
        <is>
          <t>Combinado_55-E001-450 AGORA SERVICIOS MULTIPLES SOCIEDAD ANONI.pdf</t>
        </is>
      </c>
      <c r="B3232">
        <f>HYPERLINK("C:\Users\lmonroy\Tema\Punto 1 y 2\PDFs Combinados\Combinado_55-E001-450 AGORA SERVICIOS MULTIPLES SOCIEDAD ANONI.pdf", "Link")</f>
        <v/>
      </c>
      <c r="C3232" t="n">
        <v>490945</v>
      </c>
      <c r="D3232" t="inlineStr">
        <is>
          <t>2024-05-13 12:04:19</t>
        </is>
      </c>
      <c r="E3232" t="inlineStr">
        <is>
          <t>2024-05-13 12:04:19</t>
        </is>
      </c>
      <c r="F3232" t="inlineStr">
        <is>
          <t>666</t>
        </is>
      </c>
    </row>
    <row r="3233">
      <c r="A3233" t="inlineStr">
        <is>
          <t>Combinado_56-E001-451 AGORA SERVICIOS MULTIPLES S.A.C.pdf</t>
        </is>
      </c>
      <c r="B3233">
        <f>HYPERLINK("C:\Users\lmonroy\Tema\Punto 1 y 2\PDFs Combinados\Combinado_56-E001-451 AGORA SERVICIOS MULTIPLES S.A.C.pdf", "Link")</f>
        <v/>
      </c>
      <c r="C3233" t="n">
        <v>438194</v>
      </c>
      <c r="D3233" t="inlineStr">
        <is>
          <t>2024-05-13 12:04:19</t>
        </is>
      </c>
      <c r="E3233" t="inlineStr">
        <is>
          <t>2024-05-13 12:04:19</t>
        </is>
      </c>
      <c r="F3233" t="inlineStr">
        <is>
          <t>666</t>
        </is>
      </c>
    </row>
    <row r="3234">
      <c r="A3234" t="inlineStr">
        <is>
          <t>Combinado_57-E001-456 AGORA SERVICIOS MULTIPLES S.A.C.pdf</t>
        </is>
      </c>
      <c r="B3234">
        <f>HYPERLINK("C:\Users\lmonroy\Tema\Punto 1 y 2\PDFs Combinados\Combinado_57-E001-456 AGORA SERVICIOS MULTIPLES S.A.C.pdf", "Link")</f>
        <v/>
      </c>
      <c r="C3234" t="n">
        <v>840585</v>
      </c>
      <c r="D3234" t="inlineStr">
        <is>
          <t>2024-05-13 12:04:19</t>
        </is>
      </c>
      <c r="E3234" t="inlineStr">
        <is>
          <t>2024-05-13 12:04:19</t>
        </is>
      </c>
      <c r="F3234" t="inlineStr">
        <is>
          <t>666</t>
        </is>
      </c>
    </row>
    <row r="3235">
      <c r="A3235" t="inlineStr">
        <is>
          <t>Combinado_58-E001-595 CORPORACION SURE SAC 2.pdf</t>
        </is>
      </c>
      <c r="B3235">
        <f>HYPERLINK("C:\Users\lmonroy\Tema\Punto 1 y 2\PDFs Combinados\Combinado_58-E001-595 CORPORACION SURE SAC 2.pdf", "Link")</f>
        <v/>
      </c>
      <c r="C3235" t="n">
        <v>143703</v>
      </c>
      <c r="D3235" t="inlineStr">
        <is>
          <t>2024-05-13 12:04:19</t>
        </is>
      </c>
      <c r="E3235" t="inlineStr">
        <is>
          <t>2024-05-13 12:04:19</t>
        </is>
      </c>
      <c r="F3235" t="inlineStr">
        <is>
          <t>666</t>
        </is>
      </c>
    </row>
    <row r="3236">
      <c r="A3236" t="inlineStr">
        <is>
          <t>Combinado_59-E001-604 CORPORACION SURE SAC.pdf</t>
        </is>
      </c>
      <c r="B3236">
        <f>HYPERLINK("C:\Users\lmonroy\Tema\Punto 1 y 2\PDFs Combinados\Combinado_59-E001-604 CORPORACION SURE SAC.pdf", "Link")</f>
        <v/>
      </c>
      <c r="C3236" t="n">
        <v>177771</v>
      </c>
      <c r="D3236" t="inlineStr">
        <is>
          <t>2024-05-13 12:04:19</t>
        </is>
      </c>
      <c r="E3236" t="inlineStr">
        <is>
          <t>2024-05-13 12:04:19</t>
        </is>
      </c>
      <c r="F3236" t="inlineStr">
        <is>
          <t>666</t>
        </is>
      </c>
    </row>
    <row r="3237">
      <c r="A3237" t="inlineStr">
        <is>
          <t>Combinado_60-E001-4520 ALQUIBARSA PERU SAC.pdf</t>
        </is>
      </c>
      <c r="B3237">
        <f>HYPERLINK("C:\Users\lmonroy\Tema\Punto 1 y 2\PDFs Combinados\Combinado_60-E001-4520 ALQUIBARSA PERU SAC.pdf", "Link")</f>
        <v/>
      </c>
      <c r="C3237" t="n">
        <v>946635</v>
      </c>
      <c r="D3237" t="inlineStr">
        <is>
          <t>2024-05-13 12:04:20</t>
        </is>
      </c>
      <c r="E3237" t="inlineStr">
        <is>
          <t>2024-05-13 12:04:20</t>
        </is>
      </c>
      <c r="F3237" t="inlineStr">
        <is>
          <t>666</t>
        </is>
      </c>
    </row>
    <row r="3238">
      <c r="A3238" t="inlineStr">
        <is>
          <t>Combinado_61-F581-4108960 RIMAC SEGUROS.pdf</t>
        </is>
      </c>
      <c r="B3238">
        <f>HYPERLINK("C:\Users\lmonroy\Tema\Punto 1 y 2\PDFs Combinados\Combinado_61-F581-4108960 RIMAC SEGUROS.pdf", "Link")</f>
        <v/>
      </c>
      <c r="C3238" t="n">
        <v>1208029</v>
      </c>
      <c r="D3238" t="inlineStr">
        <is>
          <t>2024-05-13 12:04:20</t>
        </is>
      </c>
      <c r="E3238" t="inlineStr">
        <is>
          <t>2024-05-13 12:04:20</t>
        </is>
      </c>
      <c r="F3238" t="inlineStr">
        <is>
          <t>666</t>
        </is>
      </c>
    </row>
    <row r="3239">
      <c r="A3239" t="inlineStr">
        <is>
          <t>Combinado_62-FA01-25487 ALS LS PERU S.A.C. 5.pdf</t>
        </is>
      </c>
      <c r="B3239">
        <f>HYPERLINK("C:\Users\lmonroy\Tema\Punto 1 y 2\PDFs Combinados\Combinado_62-FA01-25487 ALS LS PERU S.A.C. 5.pdf", "Link")</f>
        <v/>
      </c>
      <c r="C3239" t="n">
        <v>1815400</v>
      </c>
      <c r="D3239" t="inlineStr">
        <is>
          <t>2024-05-13 12:04:20</t>
        </is>
      </c>
      <c r="E3239" t="inlineStr">
        <is>
          <t>2024-05-13 12:04:20</t>
        </is>
      </c>
      <c r="F3239" t="inlineStr">
        <is>
          <t>666</t>
        </is>
      </c>
    </row>
    <row r="3240">
      <c r="A3240" t="inlineStr">
        <is>
          <t>Combinado_63-FA01-25490 ALS LS PERU SAC.pdf</t>
        </is>
      </c>
      <c r="B3240">
        <f>HYPERLINK("C:\Users\lmonroy\Tema\Punto 1 y 2\PDFs Combinados\Combinado_63-FA01-25490 ALS LS PERU SAC.pdf", "Link")</f>
        <v/>
      </c>
      <c r="C3240" t="n">
        <v>1907658</v>
      </c>
      <c r="D3240" t="inlineStr">
        <is>
          <t>2024-05-13 12:04:21</t>
        </is>
      </c>
      <c r="E3240" t="inlineStr">
        <is>
          <t>2024-05-13 12:04:21</t>
        </is>
      </c>
      <c r="F3240" t="inlineStr">
        <is>
          <t>666</t>
        </is>
      </c>
    </row>
    <row r="3241">
      <c r="A3241" t="inlineStr">
        <is>
          <t>Combinado_64-FFA1-5019 EDIFICADORA LIDER S.A.C.pdf</t>
        </is>
      </c>
      <c r="B3241">
        <f>HYPERLINK("C:\Users\lmonroy\Tema\Punto 1 y 2\PDFs Combinados\Combinado_64-FFA1-5019 EDIFICADORA LIDER S.A.C.pdf", "Link")</f>
        <v/>
      </c>
      <c r="C3241" t="n">
        <v>1037595</v>
      </c>
      <c r="D3241" t="inlineStr">
        <is>
          <t>2024-05-13 12:04:21</t>
        </is>
      </c>
      <c r="E3241" t="inlineStr">
        <is>
          <t>2024-05-13 12:04:21</t>
        </is>
      </c>
      <c r="F3241" t="inlineStr">
        <is>
          <t>666</t>
        </is>
      </c>
    </row>
    <row r="3242">
      <c r="A3242" t="inlineStr">
        <is>
          <t>Combinado_65-FFA1-5071 EDIFICADORA LIDER SAC SOLES.pdf</t>
        </is>
      </c>
      <c r="B3242">
        <f>HYPERLINK("C:\Users\lmonroy\Tema\Punto 1 y 2\PDFs Combinados\Combinado_65-FFA1-5071 EDIFICADORA LIDER SAC SOLES.pdf", "Link")</f>
        <v/>
      </c>
      <c r="C3242" t="n">
        <v>100717</v>
      </c>
      <c r="D3242" t="inlineStr">
        <is>
          <t>2024-05-13 12:04:21</t>
        </is>
      </c>
      <c r="E3242" t="inlineStr">
        <is>
          <t>2024-05-13 12:04:21</t>
        </is>
      </c>
      <c r="F3242" t="inlineStr">
        <is>
          <t>666</t>
        </is>
      </c>
    </row>
    <row r="3243">
      <c r="A3243" t="inlineStr">
        <is>
          <t>Combinado_66-FL00-237461 BBVA.pdf</t>
        </is>
      </c>
      <c r="B3243">
        <f>HYPERLINK("C:\Users\lmonroy\Tema\Punto 1 y 2\PDFs Combinados\Combinado_66-FL00-237461 BBVA.pdf", "Link")</f>
        <v/>
      </c>
      <c r="C3243" t="n">
        <v>1995500</v>
      </c>
      <c r="D3243" t="inlineStr">
        <is>
          <t>2024-05-13 12:04:21</t>
        </is>
      </c>
      <c r="E3243" t="inlineStr">
        <is>
          <t>2024-05-13 12:04:21</t>
        </is>
      </c>
      <c r="F3243" t="inlineStr">
        <is>
          <t>666</t>
        </is>
      </c>
    </row>
    <row r="3244">
      <c r="A3244" t="inlineStr">
        <is>
          <t>Combinado_67-E001-63 SUSTAINABLE ENGINEERING CONSULTANTS S.A.C.pdf</t>
        </is>
      </c>
      <c r="B3244">
        <f>HYPERLINK("C:\Users\lmonroy\Tema\Punto 1 y 2\PDFs Combinados\Combinado_67-E001-63 SUSTAINABLE ENGINEERING CONSULTANTS S.A.C.pdf", "Link")</f>
        <v/>
      </c>
      <c r="C3244" t="n">
        <v>1001688</v>
      </c>
      <c r="D3244" t="inlineStr">
        <is>
          <t>2024-05-13 12:04:22</t>
        </is>
      </c>
      <c r="E3244" t="inlineStr">
        <is>
          <t>2024-05-13 12:04:22</t>
        </is>
      </c>
      <c r="F3244" t="inlineStr">
        <is>
          <t>666</t>
        </is>
      </c>
    </row>
    <row r="3245">
      <c r="A3245" t="inlineStr">
        <is>
          <t>Combinado_68-E001-67 AC3 CONSULTORES EMPRESA INDIVIDUAL DE RESPONSABILIDAD.pdf</t>
        </is>
      </c>
      <c r="B3245">
        <f>HYPERLINK("C:\Users\lmonroy\Tema\Punto 1 y 2\PDFs Combinados\Combinado_68-E001-67 AC3 CONSULTORES EMPRESA INDIVIDUAL DE RESPONSABILIDAD.pdf", "Link")</f>
        <v/>
      </c>
      <c r="C3245" t="n">
        <v>149943</v>
      </c>
      <c r="D3245" t="inlineStr">
        <is>
          <t>2024-05-13 12:04:22</t>
        </is>
      </c>
      <c r="E3245" t="inlineStr">
        <is>
          <t>2024-05-13 12:04:22</t>
        </is>
      </c>
      <c r="F3245" t="inlineStr">
        <is>
          <t>666</t>
        </is>
      </c>
    </row>
    <row r="3246">
      <c r="A3246" t="inlineStr">
        <is>
          <t>Combinado_69-E05175 ENMODEL SAC.pdf</t>
        </is>
      </c>
      <c r="B3246">
        <f>HYPERLINK("C:\Users\lmonroy\Tema\Punto 1 y 2\PDFs Combinados\Combinado_69-E05175 ENMODEL SAC.pdf", "Link")</f>
        <v/>
      </c>
      <c r="C3246" t="n">
        <v>928266</v>
      </c>
      <c r="D3246" t="inlineStr">
        <is>
          <t>2024-05-13 12:04:22</t>
        </is>
      </c>
      <c r="E3246" t="inlineStr">
        <is>
          <t>2024-05-13 12:04:22</t>
        </is>
      </c>
      <c r="F3246" t="inlineStr">
        <is>
          <t>666</t>
        </is>
      </c>
    </row>
    <row r="3247">
      <c r="A3247" t="inlineStr">
        <is>
          <t>Combinado_70-E001-80 PERFOCON S.A.C.pdf</t>
        </is>
      </c>
      <c r="B3247">
        <f>HYPERLINK("C:\Users\lmonroy\Tema\Punto 1 y 2\PDFs Combinados\Combinado_70-E001-80 PERFOCON S.A.C.pdf", "Link")</f>
        <v/>
      </c>
      <c r="C3247" t="n">
        <v>5956080</v>
      </c>
      <c r="D3247" t="inlineStr">
        <is>
          <t>2024-05-13 12:04:22</t>
        </is>
      </c>
      <c r="E3247" t="inlineStr">
        <is>
          <t>2024-05-13 12:04:22</t>
        </is>
      </c>
      <c r="F3247" t="inlineStr">
        <is>
          <t>666</t>
        </is>
      </c>
    </row>
    <row r="3248">
      <c r="A3248" t="inlineStr">
        <is>
          <t>Combinado_71-E001-110 ECHE CLAVIJO GIL LUIS 2.pdf</t>
        </is>
      </c>
      <c r="B3248">
        <f>HYPERLINK("C:\Users\lmonroy\Tema\Punto 1 y 2\PDFs Combinados\Combinado_71-E001-110 ECHE CLAVIJO GIL LUIS 2.pdf", "Link")</f>
        <v/>
      </c>
      <c r="C3248" t="n">
        <v>1601682</v>
      </c>
      <c r="D3248" t="inlineStr">
        <is>
          <t>2024-05-13 12:04:22</t>
        </is>
      </c>
      <c r="E3248" t="inlineStr">
        <is>
          <t>2024-05-13 12:04:22</t>
        </is>
      </c>
      <c r="F3248" t="inlineStr">
        <is>
          <t>666</t>
        </is>
      </c>
    </row>
    <row r="3249">
      <c r="A3249" t="inlineStr">
        <is>
          <t>Combinado_72-E001-111 ECHE CLAVIJO GIL LUIS.pdf</t>
        </is>
      </c>
      <c r="B3249">
        <f>HYPERLINK("C:\Users\lmonroy\Tema\Punto 1 y 2\PDFs Combinados\Combinado_72-E001-111 ECHE CLAVIJO GIL LUIS.pdf", "Link")</f>
        <v/>
      </c>
      <c r="C3249" t="n">
        <v>1551028</v>
      </c>
      <c r="D3249" t="inlineStr">
        <is>
          <t>2024-05-13 12:04:22</t>
        </is>
      </c>
      <c r="E3249" t="inlineStr">
        <is>
          <t>2024-05-13 12:04:22</t>
        </is>
      </c>
      <c r="F3249" t="inlineStr">
        <is>
          <t>666</t>
        </is>
      </c>
    </row>
    <row r="3250">
      <c r="A3250" t="inlineStr">
        <is>
          <t>Combinado_73-E001-146 MEDICINE &amp; SAFETY SAC.pdf</t>
        </is>
      </c>
      <c r="B3250">
        <f>HYPERLINK("C:\Users\lmonroy\Tema\Punto 1 y 2\PDFs Combinados\Combinado_73-E001-146 MEDICINE &amp; SAFETY SAC.pdf", "Link")</f>
        <v/>
      </c>
      <c r="C3250" t="n">
        <v>233953</v>
      </c>
      <c r="D3250" t="inlineStr">
        <is>
          <t>2024-05-13 12:04:23</t>
        </is>
      </c>
      <c r="E3250" t="inlineStr">
        <is>
          <t>2024-05-13 12:04:23</t>
        </is>
      </c>
      <c r="F3250" t="inlineStr">
        <is>
          <t>666</t>
        </is>
      </c>
    </row>
    <row r="3251">
      <c r="A3251" t="inlineStr">
        <is>
          <t>Combinado_74-E001-471 AGORA SERVICIOS MULTIPLES S.A.C.pdf</t>
        </is>
      </c>
      <c r="B3251">
        <f>HYPERLINK("C:\Users\lmonroy\Tema\Punto 1 y 2\PDFs Combinados\Combinado_74-E001-471 AGORA SERVICIOS MULTIPLES S.A.C.pdf", "Link")</f>
        <v/>
      </c>
      <c r="C3251" t="n">
        <v>5125646</v>
      </c>
      <c r="D3251" t="inlineStr">
        <is>
          <t>2024-05-13 12:04:23</t>
        </is>
      </c>
      <c r="E3251" t="inlineStr">
        <is>
          <t>2024-05-13 12:04:23</t>
        </is>
      </c>
      <c r="F3251" t="inlineStr">
        <is>
          <t>666</t>
        </is>
      </c>
    </row>
    <row r="3252">
      <c r="A3252" t="inlineStr">
        <is>
          <t>Combinado_75-E001-472 AGORA SERVICIOS MULTIPLES S.A.C.pdf</t>
        </is>
      </c>
      <c r="B3252">
        <f>HYPERLINK("C:\Users\lmonroy\Tema\Punto 1 y 2\PDFs Combinados\Combinado_75-E001-472 AGORA SERVICIOS MULTIPLES S.A.C.pdf", "Link")</f>
        <v/>
      </c>
      <c r="C3252" t="n">
        <v>437030</v>
      </c>
      <c r="D3252" t="inlineStr">
        <is>
          <t>2024-05-13 12:04:23</t>
        </is>
      </c>
      <c r="E3252" t="inlineStr">
        <is>
          <t>2024-05-13 12:04:23</t>
        </is>
      </c>
      <c r="F3252" t="inlineStr">
        <is>
          <t>666</t>
        </is>
      </c>
    </row>
    <row r="3253">
      <c r="A3253" t="inlineStr">
        <is>
          <t>Combinado_76-E001-611 CORPORACION SURE SAC.pdf</t>
        </is>
      </c>
      <c r="B3253">
        <f>HYPERLINK("C:\Users\lmonroy\Tema\Punto 1 y 2\PDFs Combinados\Combinado_76-E001-611 CORPORACION SURE SAC.pdf", "Link")</f>
        <v/>
      </c>
      <c r="C3253" t="n">
        <v>143825</v>
      </c>
      <c r="D3253" t="inlineStr">
        <is>
          <t>2024-05-13 12:04:23</t>
        </is>
      </c>
      <c r="E3253" t="inlineStr">
        <is>
          <t>2024-05-13 12:04:23</t>
        </is>
      </c>
      <c r="F3253" t="inlineStr">
        <is>
          <t>666</t>
        </is>
      </c>
    </row>
    <row r="3254">
      <c r="A3254" t="inlineStr">
        <is>
          <t>Combinado_77-E001-625 CORPORACION SURE SAC.pdf</t>
        </is>
      </c>
      <c r="B3254">
        <f>HYPERLINK("C:\Users\lmonroy\Tema\Punto 1 y 2\PDFs Combinados\Combinado_77-E001-625 CORPORACION SURE SAC.pdf", "Link")</f>
        <v/>
      </c>
      <c r="C3254" t="n">
        <v>146870</v>
      </c>
      <c r="D3254" t="inlineStr">
        <is>
          <t>2024-05-13 12:04:23</t>
        </is>
      </c>
      <c r="E3254" t="inlineStr">
        <is>
          <t>2024-05-13 12:04:23</t>
        </is>
      </c>
      <c r="F3254" t="inlineStr">
        <is>
          <t>666</t>
        </is>
      </c>
    </row>
    <row r="3255">
      <c r="A3255" t="inlineStr">
        <is>
          <t>Combinado_78-E001-4608 ALQUIBARSA PERU SAC.pdf</t>
        </is>
      </c>
      <c r="B3255">
        <f>HYPERLINK("C:\Users\lmonroy\Tema\Punto 1 y 2\PDFs Combinados\Combinado_78-E001-4608 ALQUIBARSA PERU SAC.pdf", "Link")</f>
        <v/>
      </c>
      <c r="C3255" t="n">
        <v>746937</v>
      </c>
      <c r="D3255" t="inlineStr">
        <is>
          <t>2024-05-13 12:04:23</t>
        </is>
      </c>
      <c r="E3255" t="inlineStr">
        <is>
          <t>2024-05-13 12:04:23</t>
        </is>
      </c>
      <c r="F3255" t="inlineStr">
        <is>
          <t>666</t>
        </is>
      </c>
    </row>
    <row r="3256">
      <c r="A3256" t="inlineStr">
        <is>
          <t>Combinado_79-F581-4217054 RIMAC SEGUROS.pdf</t>
        </is>
      </c>
      <c r="B3256">
        <f>HYPERLINK("C:\Users\lmonroy\Tema\Punto 1 y 2\PDFs Combinados\Combinado_79-F581-4217054 RIMAC SEGUROS.pdf", "Link")</f>
        <v/>
      </c>
      <c r="C3256" t="n">
        <v>1208033</v>
      </c>
      <c r="D3256" t="inlineStr">
        <is>
          <t>2024-05-13 12:04:24</t>
        </is>
      </c>
      <c r="E3256" t="inlineStr">
        <is>
          <t>2024-05-13 12:04:23</t>
        </is>
      </c>
      <c r="F3256" t="inlineStr">
        <is>
          <t>666</t>
        </is>
      </c>
    </row>
    <row r="3257">
      <c r="A3257" t="inlineStr">
        <is>
          <t>Combinado_80-F710-292623 SGS DEL PERU SAC.pdf</t>
        </is>
      </c>
      <c r="B3257">
        <f>HYPERLINK("C:\Users\lmonroy\Tema\Punto 1 y 2\PDFs Combinados\Combinado_80-F710-292623 SGS DEL PERU SAC.pdf", "Link")</f>
        <v/>
      </c>
      <c r="C3257" t="n">
        <v>454586</v>
      </c>
      <c r="D3257" t="inlineStr">
        <is>
          <t>2024-05-13 12:04:24</t>
        </is>
      </c>
      <c r="E3257" t="inlineStr">
        <is>
          <t>2024-05-13 12:04:24</t>
        </is>
      </c>
      <c r="F3257" t="inlineStr">
        <is>
          <t>666</t>
        </is>
      </c>
    </row>
    <row r="3258">
      <c r="A3258" t="inlineStr">
        <is>
          <t>Combinado_81-FFA1-5105 EDIFICADORA LIDER S.A.C.pdf</t>
        </is>
      </c>
      <c r="B3258">
        <f>HYPERLINK("C:\Users\lmonroy\Tema\Punto 1 y 2\PDFs Combinados\Combinado_81-FFA1-5105 EDIFICADORA LIDER S.A.C.pdf", "Link")</f>
        <v/>
      </c>
      <c r="C3258" t="n">
        <v>1038349</v>
      </c>
      <c r="D3258" t="inlineStr">
        <is>
          <t>2024-05-13 12:04:24</t>
        </is>
      </c>
      <c r="E3258" t="inlineStr">
        <is>
          <t>2024-05-13 12:04:24</t>
        </is>
      </c>
      <c r="F3258" t="inlineStr">
        <is>
          <t>666</t>
        </is>
      </c>
    </row>
    <row r="3259">
      <c r="A3259" t="inlineStr">
        <is>
          <t>Combinado_82-FL00-247277 BBVA.pdf</t>
        </is>
      </c>
      <c r="B3259">
        <f>HYPERLINK("C:\Users\lmonroy\Tema\Punto 1 y 2\PDFs Combinados\Combinado_82-FL00-247277 BBVA.pdf", "Link")</f>
        <v/>
      </c>
      <c r="C3259" t="n">
        <v>1995827</v>
      </c>
      <c r="D3259" t="inlineStr">
        <is>
          <t>2024-05-13 12:04:24</t>
        </is>
      </c>
      <c r="E3259" t="inlineStr">
        <is>
          <t>2024-05-13 12:04:24</t>
        </is>
      </c>
      <c r="F3259" t="inlineStr">
        <is>
          <t>666</t>
        </is>
      </c>
    </row>
    <row r="3260">
      <c r="A3260" t="inlineStr">
        <is>
          <t>Combinado_83-E001-149 MEDICINE &amp; SAFETY SAC.pdf</t>
        </is>
      </c>
      <c r="B3260">
        <f>HYPERLINK("C:\Users\lmonroy\Tema\Punto 1 y 2\PDFs Combinados\Combinado_83-E001-149 MEDICINE &amp; SAFETY SAC.pdf", "Link")</f>
        <v/>
      </c>
      <c r="C3260" t="n">
        <v>310605</v>
      </c>
      <c r="D3260" t="inlineStr">
        <is>
          <t>2024-05-13 12:04:24</t>
        </is>
      </c>
      <c r="E3260" t="inlineStr">
        <is>
          <t>2024-05-13 12:04:24</t>
        </is>
      </c>
      <c r="F3260" t="inlineStr">
        <is>
          <t>666</t>
        </is>
      </c>
    </row>
    <row r="3261">
      <c r="A3261" t="inlineStr">
        <is>
          <t>Combinado_84-E001-492 AGORA SERVICIOS MULTIPLES SAC.pdf</t>
        </is>
      </c>
      <c r="B3261">
        <f>HYPERLINK("C:\Users\lmonroy\Tema\Punto 1 y 2\PDFs Combinados\Combinado_84-E001-492 AGORA SERVICIOS MULTIPLES SAC.pdf", "Link")</f>
        <v/>
      </c>
      <c r="C3261" t="n">
        <v>480393</v>
      </c>
      <c r="D3261" t="inlineStr">
        <is>
          <t>2024-05-13 12:04:24</t>
        </is>
      </c>
      <c r="E3261" t="inlineStr">
        <is>
          <t>2024-05-13 12:04:24</t>
        </is>
      </c>
      <c r="F3261" t="inlineStr">
        <is>
          <t>666</t>
        </is>
      </c>
    </row>
    <row r="3262">
      <c r="A3262" t="inlineStr">
        <is>
          <t>Combinado_85-E001-493 AGORA SERVICIOS MULTIPLES SAC 3.pdf</t>
        </is>
      </c>
      <c r="B3262">
        <f>HYPERLINK("C:\Users\lmonroy\Tema\Punto 1 y 2\PDFs Combinados\Combinado_85-E001-493 AGORA SERVICIOS MULTIPLES SAC 3.pdf", "Link")</f>
        <v/>
      </c>
      <c r="C3262" t="n">
        <v>470084</v>
      </c>
      <c r="D3262" t="inlineStr">
        <is>
          <t>2024-05-13 12:04:24</t>
        </is>
      </c>
      <c r="E3262" t="inlineStr">
        <is>
          <t>2024-05-13 12:04:24</t>
        </is>
      </c>
      <c r="F3262" t="inlineStr">
        <is>
          <t>666</t>
        </is>
      </c>
    </row>
    <row r="3263">
      <c r="A3263" t="inlineStr">
        <is>
          <t>Combinado_86-E001-636 CORPORACION SURE SAC.pdf</t>
        </is>
      </c>
      <c r="B3263">
        <f>HYPERLINK("C:\Users\lmonroy\Tema\Punto 1 y 2\PDFs Combinados\Combinado_86-E001-636 CORPORACION SURE SAC.pdf", "Link")</f>
        <v/>
      </c>
      <c r="C3263" t="n">
        <v>175073</v>
      </c>
      <c r="D3263" t="inlineStr">
        <is>
          <t>2024-05-13 12:04:25</t>
        </is>
      </c>
      <c r="E3263" t="inlineStr">
        <is>
          <t>2024-05-13 12:04:25</t>
        </is>
      </c>
      <c r="F3263" t="inlineStr">
        <is>
          <t>666</t>
        </is>
      </c>
    </row>
    <row r="3264">
      <c r="A3264" t="inlineStr">
        <is>
          <t>Combinado_87-E001-641 CORPORACION SURE SAC.pdf</t>
        </is>
      </c>
      <c r="B3264">
        <f>HYPERLINK("C:\Users\lmonroy\Tema\Punto 1 y 2\PDFs Combinados\Combinado_87-E001-641 CORPORACION SURE SAC.pdf", "Link")</f>
        <v/>
      </c>
      <c r="C3264" t="n">
        <v>147209</v>
      </c>
      <c r="D3264" t="inlineStr">
        <is>
          <t>2024-05-13 12:04:25</t>
        </is>
      </c>
      <c r="E3264" t="inlineStr">
        <is>
          <t>2024-05-13 12:04:25</t>
        </is>
      </c>
      <c r="F3264" t="inlineStr">
        <is>
          <t>666</t>
        </is>
      </c>
    </row>
    <row r="3265">
      <c r="A3265" t="inlineStr">
        <is>
          <t>Combinado_88-F001-3088 BUSINESS TECHNOLOGY SA.pdf</t>
        </is>
      </c>
      <c r="B3265">
        <f>HYPERLINK("C:\Users\lmonroy\Tema\Punto 1 y 2\PDFs Combinados\Combinado_88-F001-3088 BUSINESS TECHNOLOGY SA.pdf", "Link")</f>
        <v/>
      </c>
      <c r="C3265" t="n">
        <v>516013</v>
      </c>
      <c r="D3265" t="inlineStr">
        <is>
          <t>2024-05-13 12:04:25</t>
        </is>
      </c>
      <c r="E3265" t="inlineStr">
        <is>
          <t>2024-05-13 12:04:25</t>
        </is>
      </c>
      <c r="F3265" t="inlineStr">
        <is>
          <t>666</t>
        </is>
      </c>
    </row>
    <row r="3266">
      <c r="A3266" t="inlineStr">
        <is>
          <t>Combinado_89-F581-4247708 RIMAC SEGUROS.pdf</t>
        </is>
      </c>
      <c r="B3266">
        <f>HYPERLINK("C:\Users\lmonroy\Tema\Punto 1 y 2\PDFs Combinados\Combinado_89-F581-4247708 RIMAC SEGUROS.pdf", "Link")</f>
        <v/>
      </c>
      <c r="C3266" t="n">
        <v>437123</v>
      </c>
      <c r="D3266" t="inlineStr">
        <is>
          <t>2024-05-13 12:04:25</t>
        </is>
      </c>
      <c r="E3266" t="inlineStr">
        <is>
          <t>2024-05-13 12:04:25</t>
        </is>
      </c>
      <c r="F3266" t="inlineStr">
        <is>
          <t>666</t>
        </is>
      </c>
    </row>
    <row r="3267">
      <c r="A3267" t="inlineStr">
        <is>
          <t>Combinado_90-F581-4261915 RIMAC SEGUROS.pdf</t>
        </is>
      </c>
      <c r="B3267">
        <f>HYPERLINK("C:\Users\lmonroy\Tema\Punto 1 y 2\PDFs Combinados\Combinado_90-F581-4261915 RIMAC SEGUROS.pdf", "Link")</f>
        <v/>
      </c>
      <c r="C3267" t="n">
        <v>1208009</v>
      </c>
      <c r="D3267" t="inlineStr">
        <is>
          <t>2024-05-13 12:04:25</t>
        </is>
      </c>
      <c r="E3267" t="inlineStr">
        <is>
          <t>2024-05-13 12:04:25</t>
        </is>
      </c>
      <c r="F3267" t="inlineStr">
        <is>
          <t>666</t>
        </is>
      </c>
    </row>
    <row r="3268">
      <c r="A3268" t="inlineStr">
        <is>
          <t>Combinado_91-F710-297026 SGS DEL PERU S.A.C.pdf</t>
        </is>
      </c>
      <c r="B3268">
        <f>HYPERLINK("C:\Users\lmonroy\Tema\Punto 1 y 2\PDFs Combinados\Combinado_91-F710-297026 SGS DEL PERU S.A.C.pdf", "Link")</f>
        <v/>
      </c>
      <c r="C3268" t="n">
        <v>129597</v>
      </c>
      <c r="D3268" t="inlineStr">
        <is>
          <t>2024-05-13 12:04:25</t>
        </is>
      </c>
      <c r="E3268" t="inlineStr">
        <is>
          <t>2024-05-13 12:04:25</t>
        </is>
      </c>
      <c r="F3268" t="inlineStr">
        <is>
          <t>666</t>
        </is>
      </c>
    </row>
    <row r="3269">
      <c r="A3269" t="inlineStr">
        <is>
          <t>Combinado_92-FA01-26205 ALS PERU SAC.pdf</t>
        </is>
      </c>
      <c r="B3269">
        <f>HYPERLINK("C:\Users\lmonroy\Tema\Punto 1 y 2\PDFs Combinados\Combinado_92-FA01-26205 ALS PERU SAC.pdf", "Link")</f>
        <v/>
      </c>
      <c r="C3269" t="n">
        <v>1859725</v>
      </c>
      <c r="D3269" t="inlineStr">
        <is>
          <t>2024-05-13 12:04:26</t>
        </is>
      </c>
      <c r="E3269" t="inlineStr">
        <is>
          <t>2024-05-13 12:04:26</t>
        </is>
      </c>
      <c r="F3269" t="inlineStr">
        <is>
          <t>666</t>
        </is>
      </c>
    </row>
    <row r="3270">
      <c r="A3270" t="inlineStr">
        <is>
          <t>Combinado_93-FFA1-5170 EDIFICADORA LIDER SAC.pdf</t>
        </is>
      </c>
      <c r="B3270">
        <f>HYPERLINK("C:\Users\lmonroy\Tema\Punto 1 y 2\PDFs Combinados\Combinado_93-FFA1-5170 EDIFICADORA LIDER SAC.pdf", "Link")</f>
        <v/>
      </c>
      <c r="C3270" t="n">
        <v>100742</v>
      </c>
      <c r="D3270" t="inlineStr">
        <is>
          <t>2024-05-13 12:04:26</t>
        </is>
      </c>
      <c r="E3270" t="inlineStr">
        <is>
          <t>2024-05-13 12:04:26</t>
        </is>
      </c>
      <c r="F3270" t="inlineStr">
        <is>
          <t>666</t>
        </is>
      </c>
    </row>
    <row r="3271">
      <c r="A3271" t="inlineStr">
        <is>
          <t>Combinado_94-FFA1-5213 EDIFICADORA LIDER SAC.pdf</t>
        </is>
      </c>
      <c r="B3271">
        <f>HYPERLINK("C:\Users\lmonroy\Tema\Punto 1 y 2\PDFs Combinados\Combinado_94-FFA1-5213 EDIFICADORA LIDER SAC.pdf", "Link")</f>
        <v/>
      </c>
      <c r="C3271" t="n">
        <v>979947</v>
      </c>
      <c r="D3271" t="inlineStr">
        <is>
          <t>2024-05-13 12:04:26</t>
        </is>
      </c>
      <c r="E3271" t="inlineStr">
        <is>
          <t>2024-05-13 12:04:26</t>
        </is>
      </c>
      <c r="F3271" t="inlineStr">
        <is>
          <t>666</t>
        </is>
      </c>
    </row>
    <row r="3272">
      <c r="A3272" t="inlineStr">
        <is>
          <t>Combinado_95-FFA1-5255 EDIFICADORA LIDER SAC.pdf</t>
        </is>
      </c>
      <c r="B3272">
        <f>HYPERLINK("C:\Users\lmonroy\Tema\Punto 1 y 2\PDFs Combinados\Combinado_95-FFA1-5255 EDIFICADORA LIDER SAC.pdf", "Link")</f>
        <v/>
      </c>
      <c r="C3272" t="n">
        <v>42350</v>
      </c>
      <c r="D3272" t="inlineStr">
        <is>
          <t>2024-05-13 12:04:26</t>
        </is>
      </c>
      <c r="E3272" t="inlineStr">
        <is>
          <t>2024-05-13 12:04:26</t>
        </is>
      </c>
      <c r="F3272" t="inlineStr">
        <is>
          <t>666</t>
        </is>
      </c>
    </row>
    <row r="3273">
      <c r="A3273" t="inlineStr">
        <is>
          <t>Combinado_96-FL00-259130 BBVA.pdf</t>
        </is>
      </c>
      <c r="B3273">
        <f>HYPERLINK("C:\Users\lmonroy\Tema\Punto 1 y 2\PDFs Combinados\Combinado_96-FL00-259130 BBVA.pdf", "Link")</f>
        <v/>
      </c>
      <c r="C3273" t="n">
        <v>1995715</v>
      </c>
      <c r="D3273" t="inlineStr">
        <is>
          <t>2024-05-13 12:04:26</t>
        </is>
      </c>
      <c r="E3273" t="inlineStr">
        <is>
          <t>2024-05-13 12:04:26</t>
        </is>
      </c>
      <c r="F3273" t="inlineStr">
        <is>
          <t>666</t>
        </is>
      </c>
    </row>
    <row r="3274">
      <c r="A3274" t="inlineStr">
        <is>
          <t>240410_62531_REG-19 Reporte HSE.xlsx</t>
        </is>
      </c>
      <c r="B3274">
        <f>HYPERLINK("C:\Users\lmonroy\Tema\ReporteDiario\240410_62531_REG-19 Reporte HSE.xlsx", "Link")</f>
        <v/>
      </c>
      <c r="C3274" t="n">
        <v>159070</v>
      </c>
      <c r="D3274" t="inlineStr">
        <is>
          <t>2024-05-16 10:29:40</t>
        </is>
      </c>
      <c r="E3274" t="inlineStr">
        <is>
          <t>2024-05-16 10:29:39</t>
        </is>
      </c>
      <c r="F3274" t="inlineStr">
        <is>
          <t>666</t>
        </is>
      </c>
    </row>
    <row r="3275">
      <c r="A3275" t="inlineStr">
        <is>
          <t>240422 Macros RD HSE.xlsm</t>
        </is>
      </c>
      <c r="B3275">
        <f>HYPERLINK("C:\Users\lmonroy\Tema\ReporteDiario\240422 Macros RD HSE.xlsm", "Link")</f>
        <v/>
      </c>
      <c r="C3275" t="n">
        <v>522417</v>
      </c>
      <c r="D3275" t="inlineStr">
        <is>
          <t>2024-05-16 10:30:36</t>
        </is>
      </c>
      <c r="E3275" t="inlineStr">
        <is>
          <t>2024-04-22 16:36:55</t>
        </is>
      </c>
      <c r="F3275" t="inlineStr">
        <is>
          <t>666</t>
        </is>
      </c>
    </row>
    <row r="3276">
      <c r="A3276" t="inlineStr">
        <is>
          <t>240422 Modelo RD HSE.xlsx</t>
        </is>
      </c>
      <c r="B3276">
        <f>HYPERLINK("C:\Users\lmonroy\Tema\ReporteDiario\240422 Modelo RD HSE.xlsx", "Link")</f>
        <v/>
      </c>
      <c r="C3276" t="n">
        <v>145363</v>
      </c>
      <c r="D3276" t="inlineStr">
        <is>
          <t>2024-03-04 09:08:20</t>
        </is>
      </c>
      <c r="E3276" t="inlineStr">
        <is>
          <t>2024-03-21 17:28:25</t>
        </is>
      </c>
      <c r="F3276" t="inlineStr">
        <is>
          <t>666</t>
        </is>
      </c>
    </row>
    <row r="3277">
      <c r="A3277" t="inlineStr">
        <is>
          <t>240422_MasterDataProyect.xlsm</t>
        </is>
      </c>
      <c r="B3277">
        <f>HYPERLINK("C:\Users\lmonroy\Tema\ReporteDiario\240422_MasterDataProyect.xlsm", "Link")</f>
        <v/>
      </c>
      <c r="C3277" t="n">
        <v>28784</v>
      </c>
      <c r="D3277" t="inlineStr">
        <is>
          <t>2024-04-25 10:08:23</t>
        </is>
      </c>
      <c r="E3277" t="inlineStr">
        <is>
          <t>2024-04-25 08:58:35</t>
        </is>
      </c>
      <c r="F3277" t="inlineStr">
        <is>
          <t>666</t>
        </is>
      </c>
    </row>
    <row r="3278">
      <c r="A3278" t="inlineStr">
        <is>
          <t>240422_MasterDataProyect.xlsx</t>
        </is>
      </c>
      <c r="B3278">
        <f>HYPERLINK("C:\Users\lmonroy\Tema\ReporteDiario\240422_MasterDataProyect.xlsx", "Link")</f>
        <v/>
      </c>
      <c r="C3278" t="n">
        <v>14655</v>
      </c>
      <c r="D3278" t="inlineStr">
        <is>
          <t>2024-04-24 15:31:29</t>
        </is>
      </c>
      <c r="E3278" t="inlineStr">
        <is>
          <t>2024-04-24 15:30:44</t>
        </is>
      </c>
      <c r="F3278" t="inlineStr">
        <is>
          <t>666</t>
        </is>
      </c>
    </row>
    <row r="3279">
      <c r="A3279" t="inlineStr">
        <is>
          <t>240422_Plantilla_Asistencia.xlsx</t>
        </is>
      </c>
      <c r="B3279">
        <f>HYPERLINK("C:\Users\lmonroy\Tema\ReporteDiario\240422_Plantilla_Asistencia.xlsx", "Link")</f>
        <v/>
      </c>
      <c r="C3279" t="n">
        <v>39295</v>
      </c>
      <c r="D3279" t="inlineStr">
        <is>
          <t>2024-04-22 17:13:22</t>
        </is>
      </c>
      <c r="E3279" t="inlineStr">
        <is>
          <t>2024-04-22 17:13:21</t>
        </is>
      </c>
      <c r="F3279" t="inlineStr">
        <is>
          <t>666</t>
        </is>
      </c>
    </row>
    <row r="3280">
      <c r="A3280" t="inlineStr">
        <is>
          <t>240422_Plantilla_Capacitaciones.xlsx</t>
        </is>
      </c>
      <c r="B3280">
        <f>HYPERLINK("C:\Users\lmonroy\Tema\ReporteDiario\240422_Plantilla_Capacitaciones.xlsx", "Link")</f>
        <v/>
      </c>
      <c r="C3280" t="n">
        <v>46725</v>
      </c>
      <c r="D3280" t="inlineStr">
        <is>
          <t>2024-04-23 18:03:39</t>
        </is>
      </c>
      <c r="E3280" t="inlineStr">
        <is>
          <t>2024-04-23 16:50:09</t>
        </is>
      </c>
      <c r="F3280" t="inlineStr">
        <is>
          <t>666</t>
        </is>
      </c>
    </row>
    <row r="3281">
      <c r="A3281" t="inlineStr">
        <is>
          <t>240422_Plantilla_Frente_RD_HSE.xlsx</t>
        </is>
      </c>
      <c r="B3281">
        <f>HYPERLINK("C:\Users\lmonroy\Tema\ReporteDiario\240422_Plantilla_Frente_RD_HSE.xlsx", "Link")</f>
        <v/>
      </c>
      <c r="C3281" t="n">
        <v>39772</v>
      </c>
      <c r="D3281" t="inlineStr">
        <is>
          <t>2024-05-09 14:35:28</t>
        </is>
      </c>
      <c r="E3281" t="inlineStr">
        <is>
          <t>2024-04-22 16:41:14</t>
        </is>
      </c>
      <c r="F3281" t="inlineStr">
        <is>
          <t>666</t>
        </is>
      </c>
    </row>
    <row r="3282">
      <c r="A3282" t="inlineStr">
        <is>
          <t>240422_Plantilla_Resumen_RD_HSE.xlsx</t>
        </is>
      </c>
      <c r="B3282">
        <f>HYPERLINK("C:\Users\lmonroy\Tema\ReporteDiario\240422_Plantilla_Resumen_RD_HSE.xlsx", "Link")</f>
        <v/>
      </c>
      <c r="C3282" t="n">
        <v>38933</v>
      </c>
      <c r="D3282" t="inlineStr">
        <is>
          <t>2024-04-22 16:51:33</t>
        </is>
      </c>
      <c r="E3282" t="inlineStr">
        <is>
          <t>2024-04-22 16:42:18</t>
        </is>
      </c>
      <c r="F3282" t="inlineStr">
        <is>
          <t>666</t>
        </is>
      </c>
    </row>
    <row r="3283">
      <c r="A3283" t="inlineStr">
        <is>
          <t>_62531REG-19 Reporte HSE.xlsx</t>
        </is>
      </c>
      <c r="B3283">
        <f>HYPERLINK("C:\Users\lmonroy\Tema\ReporteDiario\_62531REG-19 Reporte HSE.xlsx", "Link")</f>
        <v/>
      </c>
      <c r="C3283" t="n">
        <v>139078</v>
      </c>
      <c r="D3283" t="inlineStr">
        <is>
          <t>2024-05-10 14:57:22</t>
        </is>
      </c>
      <c r="E3283" t="inlineStr">
        <is>
          <t>2024-05-10 14:57:22</t>
        </is>
      </c>
      <c r="F3283" t="inlineStr">
        <is>
          <t>666</t>
        </is>
      </c>
    </row>
    <row r="3284">
      <c r="A3284" t="inlineStr">
        <is>
          <t>~$240422 Macros RD HSE.xlsm</t>
        </is>
      </c>
      <c r="B3284">
        <f>HYPERLINK("C:\Users\lmonroy\Tema\ReporteDiario\~$240422 Macros RD HSE.xlsm", "Link")</f>
        <v/>
      </c>
      <c r="C3284" t="n">
        <v>165</v>
      </c>
      <c r="D3284" t="inlineStr">
        <is>
          <t>2024-05-16 10:31:21</t>
        </is>
      </c>
      <c r="E3284" t="inlineStr">
        <is>
          <t>2024-05-16 08:32:32</t>
        </is>
      </c>
      <c r="F3284" t="inlineStr">
        <is>
          <t>666</t>
        </is>
      </c>
    </row>
    <row r="3285">
      <c r="A3285" t="inlineStr">
        <is>
          <t>240401_Cha_Asist_Km 86+700.xlsx</t>
        </is>
      </c>
      <c r="B3285">
        <f>HYPERLINK("C:\Users\lmonroy\Tema\ReporteDiario\62531_Asistencia\240401_Cha_Asist_Km 86+700.xlsx", "Link")</f>
        <v/>
      </c>
      <c r="C3285" t="n">
        <v>123520</v>
      </c>
      <c r="D3285" t="inlineStr">
        <is>
          <t>2024-04-23 11:51:48</t>
        </is>
      </c>
      <c r="E3285" t="inlineStr">
        <is>
          <t>2024-04-23 10:15:28</t>
        </is>
      </c>
      <c r="F3285" t="inlineStr">
        <is>
          <t>666</t>
        </is>
      </c>
    </row>
    <row r="3286">
      <c r="A3286" t="inlineStr">
        <is>
          <t>240401_Cha_Asist_Km 86+701.xlsx</t>
        </is>
      </c>
      <c r="B3286">
        <f>HYPERLINK("C:\Users\lmonroy\Tema\ReporteDiario\62531_Asistencia\240401_Cha_Asist_Km 86+701.xlsx", "Link")</f>
        <v/>
      </c>
      <c r="C3286" t="n">
        <v>123609</v>
      </c>
      <c r="D3286" t="inlineStr">
        <is>
          <t>2024-04-23 14:05:41</t>
        </is>
      </c>
      <c r="E3286" t="inlineStr">
        <is>
          <t>2024-04-23 11:52:21</t>
        </is>
      </c>
      <c r="F3286" t="inlineStr">
        <is>
          <t>666</t>
        </is>
      </c>
    </row>
    <row r="3287">
      <c r="A3287" t="inlineStr">
        <is>
          <t>240401_Cha_Asist_Km 86+702.xlsx</t>
        </is>
      </c>
      <c r="B3287">
        <f>HYPERLINK("C:\Users\lmonroy\Tema\ReporteDiario\62531_Asistencia\240401_Cha_Asist_Km 86+702.xlsx", "Link")</f>
        <v/>
      </c>
      <c r="C3287" t="n">
        <v>123609</v>
      </c>
      <c r="D3287" t="inlineStr">
        <is>
          <t>2024-04-23 11:54:24</t>
        </is>
      </c>
      <c r="E3287" t="inlineStr">
        <is>
          <t>2024-04-23 11:52:23</t>
        </is>
      </c>
      <c r="F3287" t="inlineStr">
        <is>
          <t>666</t>
        </is>
      </c>
    </row>
    <row r="3288">
      <c r="A3288" t="inlineStr">
        <is>
          <t>240401_Cha_Asist_Km 86+703.xlsx</t>
        </is>
      </c>
      <c r="B3288">
        <f>HYPERLINK("C:\Users\lmonroy\Tema\ReporteDiario\62531_Asistencia\240401_Cha_Asist_Km 86+703.xlsx", "Link")</f>
        <v/>
      </c>
      <c r="C3288" t="n">
        <v>123601</v>
      </c>
      <c r="D3288" t="inlineStr">
        <is>
          <t>2024-04-23 11:53:56</t>
        </is>
      </c>
      <c r="E3288" t="inlineStr">
        <is>
          <t>2024-04-23 11:52:23</t>
        </is>
      </c>
      <c r="F3288" t="inlineStr">
        <is>
          <t>666</t>
        </is>
      </c>
    </row>
    <row r="3289">
      <c r="A3289" t="inlineStr">
        <is>
          <t>240423_CharCapInd_Km 86+700.xlsx</t>
        </is>
      </c>
      <c r="B3289">
        <f>HYPERLINK("C:\Users\lmonroy\Tema\ReporteDiario\62531_CharCapInd\240423_CharCapInd_Km 86+700.xlsx", "Link")</f>
        <v/>
      </c>
      <c r="C3289" t="n">
        <v>33848</v>
      </c>
      <c r="D3289" t="inlineStr">
        <is>
          <t>2024-05-10 12:06:34</t>
        </is>
      </c>
      <c r="E3289" t="inlineStr">
        <is>
          <t>2024-04-23 16:47:31</t>
        </is>
      </c>
      <c r="F3289" t="inlineStr">
        <is>
          <t>666</t>
        </is>
      </c>
    </row>
    <row r="3290">
      <c r="A3290" t="inlineStr">
        <is>
          <t>240401_Cha_Asist_Km 71+940.xlsx</t>
        </is>
      </c>
      <c r="B3290">
        <f>HYPERLINK("C:\Users\lmonroy\Tema\ReporteDiario\backup\240401_Cha_Asist_Km 71+940.xlsx", "Link")</f>
        <v/>
      </c>
      <c r="C3290" t="n">
        <v>139207</v>
      </c>
      <c r="D3290" t="inlineStr">
        <is>
          <t>2024-04-07 16:22:20</t>
        </is>
      </c>
      <c r="E3290" t="inlineStr">
        <is>
          <t>2024-04-23 10:15:28</t>
        </is>
      </c>
      <c r="F3290" t="inlineStr">
        <is>
          <t>666</t>
        </is>
      </c>
    </row>
    <row r="3291">
      <c r="A3291" t="inlineStr">
        <is>
          <t>240401_Cha_Asist_Km 93+500.xlsx</t>
        </is>
      </c>
      <c r="B3291">
        <f>HYPERLINK("C:\Users\lmonroy\Tema\ReporteDiario\backup\240401_Cha_Asist_Km 93+500.xlsx", "Link")</f>
        <v/>
      </c>
      <c r="C3291" t="n">
        <v>122685</v>
      </c>
      <c r="D3291" t="inlineStr">
        <is>
          <t>2024-04-07 16:37:29</t>
        </is>
      </c>
      <c r="E3291" t="inlineStr">
        <is>
          <t>2024-04-23 10:15:28</t>
        </is>
      </c>
      <c r="F3291" t="inlineStr">
        <is>
          <t>666</t>
        </is>
      </c>
    </row>
    <row r="3292">
      <c r="A3292" t="inlineStr">
        <is>
          <t>240401_Cha_Asist_Km 94+700.xlsx</t>
        </is>
      </c>
      <c r="B3292">
        <f>HYPERLINK("C:\Users\lmonroy\Tema\ReporteDiario\backup\240401_Cha_Asist_Km 94+700.xlsx", "Link")</f>
        <v/>
      </c>
      <c r="C3292" t="n">
        <v>106038</v>
      </c>
      <c r="D3292" t="inlineStr">
        <is>
          <t>2024-04-07 16:38:13</t>
        </is>
      </c>
      <c r="E3292" t="inlineStr">
        <is>
          <t>2024-04-23 10:15:28</t>
        </is>
      </c>
      <c r="F3292" t="inlineStr">
        <is>
          <t>666</t>
        </is>
      </c>
    </row>
    <row r="3293">
      <c r="A3293" t="inlineStr">
        <is>
          <t>240401_Cha_Asist_Km 97+593.xlsx</t>
        </is>
      </c>
      <c r="B3293">
        <f>HYPERLINK("C:\Users\lmonroy\Tema\ReporteDiario\backup\240401_Cha_Asist_Km 97+593.xlsx", "Link")</f>
        <v/>
      </c>
      <c r="C3293" t="n">
        <v>121905</v>
      </c>
      <c r="D3293" t="inlineStr">
        <is>
          <t>2024-04-07 16:41:01</t>
        </is>
      </c>
      <c r="E3293" t="inlineStr">
        <is>
          <t>2024-04-23 10:15:28</t>
        </is>
      </c>
      <c r="F3293" t="inlineStr">
        <is>
          <t>666</t>
        </is>
      </c>
    </row>
    <row r="3294">
      <c r="A3294" t="inlineStr">
        <is>
          <t>240401_Cha_Asist_Ollanta.xlsx</t>
        </is>
      </c>
      <c r="B3294">
        <f>HYPERLINK("C:\Users\lmonroy\Tema\ReporteDiario\backup\240401_Cha_Asist_Ollanta.xlsx", "Link")</f>
        <v/>
      </c>
      <c r="C3294" t="n">
        <v>122327</v>
      </c>
      <c r="D3294" t="inlineStr">
        <is>
          <t>2024-04-07 16:42:12</t>
        </is>
      </c>
      <c r="E3294" t="inlineStr">
        <is>
          <t>2024-04-23 10:15:28</t>
        </is>
      </c>
      <c r="F3294" t="inlineStr">
        <is>
          <t>666</t>
        </is>
      </c>
    </row>
    <row r="3295">
      <c r="A3295" t="inlineStr">
        <is>
          <t>adicionar.png</t>
        </is>
      </c>
      <c r="B3295">
        <f>HYPERLINK("C:\Users\lmonroy\Tema\ReporteDiario\icono\adicionar.png", "Link")</f>
        <v/>
      </c>
      <c r="C3295" t="n">
        <v>9055</v>
      </c>
      <c r="D3295" t="inlineStr">
        <is>
          <t>2024-05-15 16:51:58</t>
        </is>
      </c>
      <c r="E3295" t="inlineStr">
        <is>
          <t>2024-05-15 16:51:57</t>
        </is>
      </c>
      <c r="F3295" t="inlineStr">
        <is>
          <t>666</t>
        </is>
      </c>
    </row>
    <row r="3296">
      <c r="A3296" t="inlineStr">
        <is>
          <t>240410_62531_REG-19 Reporte HSE.xlsx</t>
        </is>
      </c>
      <c r="B3296">
        <f>HYPERLINK("C:\Users\lmonroy\Tema\ReporteDiario\Resultados\240410_62531_REG-19 Reporte HSE.xlsx", "Link")</f>
        <v/>
      </c>
      <c r="C3296" t="n">
        <v>158227</v>
      </c>
      <c r="D3296" t="inlineStr">
        <is>
          <t>2024-05-15 17:56:30</t>
        </is>
      </c>
      <c r="E3296" t="inlineStr">
        <is>
          <t>2024-05-14 12:57:13</t>
        </is>
      </c>
      <c r="F3296" t="inlineStr">
        <is>
          <t>666</t>
        </is>
      </c>
    </row>
    <row r="3297">
      <c r="A3297" t="inlineStr">
        <is>
          <t>240318 62531 BC REG-19 Reporte HSE Rev 07.xlsx</t>
        </is>
      </c>
      <c r="B3297">
        <f>HYPERLINK("C:\Users\lmonroy\Tema\ReporteDiario\ZReferenciales\240318 62531 BC REG-19 Reporte HSE Rev 07.xlsx", "Link")</f>
        <v/>
      </c>
      <c r="C3297" t="n">
        <v>1475607</v>
      </c>
      <c r="D3297" t="inlineStr">
        <is>
          <t>2024-03-22 11:57:30</t>
        </is>
      </c>
      <c r="E3297" t="inlineStr">
        <is>
          <t>2024-03-22 11:46:09</t>
        </is>
      </c>
      <c r="F3297" t="inlineStr">
        <is>
          <t>666</t>
        </is>
      </c>
    </row>
    <row r="3298">
      <c r="A3298" t="inlineStr">
        <is>
          <t>2639 Anexo 3 Máster Plan Pre campo 4-04-24 - YS-DJ5-4-24.xlsx</t>
        </is>
      </c>
      <c r="B3298">
        <f>HYPERLINK("C:\Users\lmonroy\Tema\ReporteDiario\ZReferenciales\2639 Anexo 3 Máster Plan Pre campo 4-04-24 - YS-DJ5-4-24.xlsx", "Link")</f>
        <v/>
      </c>
      <c r="C3298" t="n">
        <v>39121</v>
      </c>
      <c r="D3298" t="inlineStr">
        <is>
          <t>2024-04-15 15:48:45</t>
        </is>
      </c>
      <c r="E3298" t="inlineStr">
        <is>
          <t>2024-04-15 15:48:45</t>
        </is>
      </c>
      <c r="F3298" t="inlineStr">
        <is>
          <t>666</t>
        </is>
      </c>
    </row>
    <row r="3299">
      <c r="A3299" t="inlineStr">
        <is>
          <t>Codificación documentos HSE Campo.xlsx</t>
        </is>
      </c>
      <c r="B3299">
        <f>HYPERLINK("C:\Users\lmonroy\Tema\ReporteDiario\ZReferenciales\Codificación documentos HSE Campo.xlsx", "Link")</f>
        <v/>
      </c>
      <c r="C3299" t="n">
        <v>332449</v>
      </c>
      <c r="D3299" t="inlineStr">
        <is>
          <t>2024-04-16 13:35:00</t>
        </is>
      </c>
      <c r="E3299" t="inlineStr">
        <is>
          <t>2024-04-16 13:34:59</t>
        </is>
      </c>
      <c r="F3299" t="inlineStr">
        <is>
          <t>666</t>
        </is>
      </c>
    </row>
    <row r="3300">
      <c r="A3300" t="inlineStr">
        <is>
          <t>Dashboard Gestión riesgos DJ 9-04-2024-2.xlsm</t>
        </is>
      </c>
      <c r="B3300">
        <f>HYPERLINK("C:\Users\lmonroy\Tema\ReporteDiario\ZReferenciales\Dashboard Gestión riesgos DJ 9-04-2024-2.xlsm", "Link")</f>
        <v/>
      </c>
      <c r="C3300" t="n">
        <v>2138786</v>
      </c>
      <c r="D3300" t="inlineStr">
        <is>
          <t>2024-04-18 17:52:09</t>
        </is>
      </c>
      <c r="E3300" t="inlineStr">
        <is>
          <t>2024-04-17 17:56:28</t>
        </is>
      </c>
      <c r="F3300" t="inlineStr">
        <is>
          <t>666</t>
        </is>
      </c>
    </row>
    <row r="3301">
      <c r="A3301" t="inlineStr">
        <is>
          <t>Listas sin macros.docx</t>
        </is>
      </c>
      <c r="B3301">
        <f>HYPERLINK("C:\Users\lmonroy\Tema\ReporteDiario\ZReferenciales\Listas sin macros.docx", "Link")</f>
        <v/>
      </c>
      <c r="C3301" t="n">
        <v>22249</v>
      </c>
      <c r="D3301" t="inlineStr">
        <is>
          <t>2024-04-18 10:30:19</t>
        </is>
      </c>
      <c r="E3301" t="inlineStr">
        <is>
          <t>2024-04-18 10:30:16</t>
        </is>
      </c>
      <c r="F3301" t="inlineStr">
        <is>
          <t>666</t>
        </is>
      </c>
    </row>
    <row r="3302">
      <c r="A3302" t="inlineStr">
        <is>
          <t>REG-19 Reporte HSE Rev 08 - GGGI.xlsm</t>
        </is>
      </c>
      <c r="B3302">
        <f>HYPERLINK("C:\Users\lmonroy\Tema\ReporteDiario\ZReferenciales\REG-19 Reporte HSE Rev 08 - GGGI.xlsm", "Link")</f>
        <v/>
      </c>
      <c r="C3302" t="n">
        <v>156254</v>
      </c>
      <c r="D3302" t="inlineStr">
        <is>
          <t>2024-04-19 18:10:01</t>
        </is>
      </c>
      <c r="E3302" t="inlineStr">
        <is>
          <t>2024-04-16 15:13:54</t>
        </is>
      </c>
      <c r="F3302" t="inlineStr">
        <is>
          <t>666</t>
        </is>
      </c>
    </row>
    <row r="3303">
      <c r="A3303" t="inlineStr">
        <is>
          <t>REG-19 Reporte HSE Rev 08-1.xlsx</t>
        </is>
      </c>
      <c r="B3303">
        <f>HYPERLINK("C:\Users\lmonroy\Tema\ReporteDiario\ZReferenciales\REG-19 Reporte HSE Rev 08-1.xlsx", "Link")</f>
        <v/>
      </c>
      <c r="C3303" t="n">
        <v>39387</v>
      </c>
      <c r="D3303" t="inlineStr">
        <is>
          <t>2024-04-16 09:50:48</t>
        </is>
      </c>
      <c r="E3303" t="inlineStr">
        <is>
          <t>2024-04-16 09:50:47</t>
        </is>
      </c>
      <c r="F3303" t="inlineStr">
        <is>
          <t>666</t>
        </is>
      </c>
    </row>
    <row r="3304">
      <c r="A3304" t="inlineStr">
        <is>
          <t>REG-19 Reporte HSE Rev 08.xlsx</t>
        </is>
      </c>
      <c r="B3304">
        <f>HYPERLINK("C:\Users\lmonroy\Tema\ReporteDiario\ZReferenciales\REG-19 Reporte HSE Rev 08.xlsx", "Link")</f>
        <v/>
      </c>
      <c r="C3304" t="n">
        <v>38523</v>
      </c>
      <c r="D3304" t="inlineStr">
        <is>
          <t>2024-04-15 17:55:12</t>
        </is>
      </c>
      <c r="E3304" t="inlineStr">
        <is>
          <t>2024-04-15 16:58:26</t>
        </is>
      </c>
      <c r="F3304" t="inlineStr">
        <is>
          <t>666</t>
        </is>
      </c>
    </row>
    <row r="3305">
      <c r="A3305" t="inlineStr">
        <is>
          <t>REG-19 Reporte HSE Rev 09 - GGPI.xlsm</t>
        </is>
      </c>
      <c r="B3305">
        <f>HYPERLINK("C:\Users\lmonroy\Tema\ReporteDiario\ZReferenciales\REG-19 Reporte HSE Rev 09 - GGPI.xlsm", "Link")</f>
        <v/>
      </c>
      <c r="C3305" t="n">
        <v>208485</v>
      </c>
      <c r="D3305" t="inlineStr">
        <is>
          <t>2024-04-21 10:58:31</t>
        </is>
      </c>
      <c r="E3305" t="inlineStr">
        <is>
          <t>2024-04-21 10:58:31</t>
        </is>
      </c>
      <c r="F3305" t="inlineStr">
        <is>
          <t>666</t>
        </is>
      </c>
    </row>
    <row r="3306">
      <c r="A3306" t="inlineStr">
        <is>
          <t>REG-19 Reporte HSE Rev 09 - GGPI.xlsx</t>
        </is>
      </c>
      <c r="B3306">
        <f>HYPERLINK("C:\Users\lmonroy\Tema\ReporteDiario\ZReferenciales\REG-19 Reporte HSE Rev 09 - GGPI.xlsx", "Link")</f>
        <v/>
      </c>
      <c r="C3306" t="n">
        <v>195455</v>
      </c>
      <c r="D3306" t="inlineStr">
        <is>
          <t>2024-04-21 10:58:56</t>
        </is>
      </c>
      <c r="E3306" t="inlineStr">
        <is>
          <t>2024-04-21 10:58:53</t>
        </is>
      </c>
      <c r="F3306" t="inlineStr">
        <is>
          <t>666</t>
        </is>
      </c>
    </row>
    <row r="3307">
      <c r="A3307" t="inlineStr">
        <is>
          <t>221101 BD RD Km 373.xlsx</t>
        </is>
      </c>
      <c r="B3307">
        <f>HYPERLINK("C:\Users\lmonroy\Tema\ReporteDiario\ZReferenciales\Formatos originales\221101 BD RD Km 373.xlsx", "Link")</f>
        <v/>
      </c>
      <c r="C3307" t="n">
        <v>2884973</v>
      </c>
      <c r="D3307" t="inlineStr">
        <is>
          <t>2024-03-25 09:46:26</t>
        </is>
      </c>
      <c r="E3307" t="inlineStr">
        <is>
          <t>2024-03-25 09:46:24</t>
        </is>
      </c>
      <c r="F3307" t="inlineStr">
        <is>
          <t>666</t>
        </is>
      </c>
    </row>
    <row r="3308">
      <c r="A3308" t="inlineStr">
        <is>
          <t>240302 Chambira REG-19 Reporte HSE Rev 07.xlsx</t>
        </is>
      </c>
      <c r="B3308">
        <f>HYPERLINK("C:\Users\lmonroy\Tema\ReporteDiario\ZReferenciales\Formatos originales\240302 Chambira REG-19 Reporte HSE Rev 07.xlsx", "Link")</f>
        <v/>
      </c>
      <c r="C3308" t="n">
        <v>185623</v>
      </c>
      <c r="D3308" t="inlineStr">
        <is>
          <t>2024-03-04 09:26:09</t>
        </is>
      </c>
      <c r="E3308" t="inlineStr">
        <is>
          <t>2024-03-21 17:28:25</t>
        </is>
      </c>
      <c r="F3308" t="inlineStr">
        <is>
          <t>666</t>
        </is>
      </c>
    </row>
    <row r="3309">
      <c r="A3309" t="inlineStr">
        <is>
          <t>240303 Chambira REG-19 Reporte HSE Rev 07.xlsx</t>
        </is>
      </c>
      <c r="B3309">
        <f>HYPERLINK("C:\Users\lmonroy\Tema\ReporteDiario\ZReferenciales\Formatos originales\240303 Chambira REG-19 Reporte HSE Rev 07.xlsx", "Link")</f>
        <v/>
      </c>
      <c r="C3309" t="n">
        <v>145360</v>
      </c>
      <c r="D3309" t="inlineStr">
        <is>
          <t>2024-03-04 10:24:03</t>
        </is>
      </c>
      <c r="E3309" t="inlineStr">
        <is>
          <t>2024-03-21 17:28:25</t>
        </is>
      </c>
      <c r="F3309" t="inlineStr">
        <is>
          <t>666</t>
        </is>
      </c>
    </row>
    <row r="3310">
      <c r="A3310" t="inlineStr">
        <is>
          <t>240306 62531 BC REG-19 Reporte HSE Rev 07.xlsx</t>
        </is>
      </c>
      <c r="B3310">
        <f>HYPERLINK("C:\Users\lmonroy\Tema\ReporteDiario\ZReferenciales\Formatos originales\240306 62531 BC REG-19 Reporte HSE Rev 07.xlsx", "Link")</f>
        <v/>
      </c>
      <c r="C3310" t="n">
        <v>264168</v>
      </c>
      <c r="D3310" t="inlineStr">
        <is>
          <t>2024-03-18 14:19:22</t>
        </is>
      </c>
      <c r="E3310" t="inlineStr">
        <is>
          <t>2024-03-21 17:28:25</t>
        </is>
      </c>
      <c r="F3310" t="inlineStr">
        <is>
          <t>666</t>
        </is>
      </c>
    </row>
    <row r="3311">
      <c r="A3311" t="inlineStr">
        <is>
          <t>240307 62531 BC REG-19 Reporte HSE Rev 07.xlsx</t>
        </is>
      </c>
      <c r="B3311">
        <f>HYPERLINK("C:\Users\lmonroy\Tema\ReporteDiario\ZReferenciales\Formatos originales\240307 62531 BC REG-19 Reporte HSE Rev 07.xlsx", "Link")</f>
        <v/>
      </c>
      <c r="C3311" t="n">
        <v>251667</v>
      </c>
      <c r="D3311" t="inlineStr">
        <is>
          <t>2024-03-18 14:26:13</t>
        </is>
      </c>
      <c r="E3311" t="inlineStr">
        <is>
          <t>2024-03-21 17:28:25</t>
        </is>
      </c>
      <c r="F3311" t="inlineStr">
        <is>
          <t>666</t>
        </is>
      </c>
    </row>
    <row r="3312">
      <c r="A3312" t="inlineStr">
        <is>
          <t>240309 62531 BC REG-19 Reporte HSE Rev 07.xlsx</t>
        </is>
      </c>
      <c r="B3312">
        <f>HYPERLINK("C:\Users\lmonroy\Tema\ReporteDiario\ZReferenciales\Formatos originales\240309 62531 BC REG-19 Reporte HSE Rev 07.xlsx", "Link")</f>
        <v/>
      </c>
      <c r="C3312" t="n">
        <v>485935</v>
      </c>
      <c r="D3312" t="inlineStr">
        <is>
          <t>2024-03-18 14:33:05</t>
        </is>
      </c>
      <c r="E3312" t="inlineStr">
        <is>
          <t>2024-03-21 17:28:25</t>
        </is>
      </c>
      <c r="F3312" t="inlineStr">
        <is>
          <t>666</t>
        </is>
      </c>
    </row>
    <row r="3313">
      <c r="A3313" t="inlineStr">
        <is>
          <t>240310 62531 BC REG-19 Reporte HSE Rev 07.xlsx</t>
        </is>
      </c>
      <c r="B3313">
        <f>HYPERLINK("C:\Users\lmonroy\Tema\ReporteDiario\ZReferenciales\Formatos originales\240310 62531 BC REG-19 Reporte HSE Rev 07.xlsx", "Link")</f>
        <v/>
      </c>
      <c r="C3313" t="n">
        <v>238679</v>
      </c>
      <c r="D3313" t="inlineStr">
        <is>
          <t>2024-03-18 14:52:44</t>
        </is>
      </c>
      <c r="E3313" t="inlineStr">
        <is>
          <t>2024-03-21 17:28:25</t>
        </is>
      </c>
      <c r="F3313" t="inlineStr">
        <is>
          <t>666</t>
        </is>
      </c>
    </row>
    <row r="3314">
      <c r="A3314" t="inlineStr">
        <is>
          <t>240312 62531 BC REG-19 Reporte HSE Rev 07.xlsx</t>
        </is>
      </c>
      <c r="B3314">
        <f>HYPERLINK("C:\Users\lmonroy\Tema\ReporteDiario\ZReferenciales\Formatos originales\240312 62531 BC REG-19 Reporte HSE Rev 07.xlsx", "Link")</f>
        <v/>
      </c>
      <c r="C3314" t="n">
        <v>1104370</v>
      </c>
      <c r="D3314" t="inlineStr">
        <is>
          <t>2024-03-18 14:45:54</t>
        </is>
      </c>
      <c r="E3314" t="inlineStr">
        <is>
          <t>2024-03-21 17:28:25</t>
        </is>
      </c>
      <c r="F3314" t="inlineStr">
        <is>
          <t>666</t>
        </is>
      </c>
    </row>
    <row r="3315">
      <c r="A3315" t="inlineStr">
        <is>
          <t>240313 62531 BC REG-19 Reporte HSE Rev 07.xlsx</t>
        </is>
      </c>
      <c r="B3315">
        <f>HYPERLINK("C:\Users\lmonroy\Tema\ReporteDiario\ZReferenciales\Formatos originales\240313 62531 BC REG-19 Reporte HSE Rev 07.xlsx", "Link")</f>
        <v/>
      </c>
      <c r="C3315" t="n">
        <v>1778991</v>
      </c>
      <c r="D3315" t="inlineStr">
        <is>
          <t>2024-03-18 11:17:22</t>
        </is>
      </c>
      <c r="E3315" t="inlineStr">
        <is>
          <t>2024-03-21 17:28:25</t>
        </is>
      </c>
      <c r="F3315" t="inlineStr">
        <is>
          <t>666</t>
        </is>
      </c>
    </row>
    <row r="3316">
      <c r="A3316" t="inlineStr">
        <is>
          <t>240314 62531 BC REG-19 Reporte HSE Rev 07.xlsx</t>
        </is>
      </c>
      <c r="B3316">
        <f>HYPERLINK("C:\Users\lmonroy\Tema\ReporteDiario\ZReferenciales\Formatos originales\240314 62531 BC REG-19 Reporte HSE Rev 07.xlsx", "Link")</f>
        <v/>
      </c>
      <c r="C3316" t="n">
        <v>4760870</v>
      </c>
      <c r="D3316" t="inlineStr">
        <is>
          <t>2024-03-18 10:54:10</t>
        </is>
      </c>
      <c r="E3316" t="inlineStr">
        <is>
          <t>2024-03-21 17:28:25</t>
        </is>
      </c>
      <c r="F3316" t="inlineStr">
        <is>
          <t>666</t>
        </is>
      </c>
    </row>
    <row r="3317">
      <c r="A3317" t="inlineStr">
        <is>
          <t>240315 62531 BC REG-19 Reporte HSE Rev 07.xlsx</t>
        </is>
      </c>
      <c r="B3317">
        <f>HYPERLINK("C:\Users\lmonroy\Tema\ReporteDiario\ZReferenciales\Formatos originales\240315 62531 BC REG-19 Reporte HSE Rev 07.xlsx", "Link")</f>
        <v/>
      </c>
      <c r="C3317" t="n">
        <v>1273754</v>
      </c>
      <c r="D3317" t="inlineStr">
        <is>
          <t>2024-03-18 10:10:10</t>
        </is>
      </c>
      <c r="E3317" t="inlineStr">
        <is>
          <t>2024-03-21 17:28:25</t>
        </is>
      </c>
      <c r="F3317" t="inlineStr">
        <is>
          <t>666</t>
        </is>
      </c>
    </row>
    <row r="3318">
      <c r="A3318" t="inlineStr">
        <is>
          <t>240316 62531 BC REG-19 Reporte HSE Rev 07.xlsx</t>
        </is>
      </c>
      <c r="B3318">
        <f>HYPERLINK("C:\Users\lmonroy\Tema\ReporteDiario\ZReferenciales\Formatos originales\240316 62531 BC REG-19 Reporte HSE Rev 07.xlsx", "Link")</f>
        <v/>
      </c>
      <c r="C3318" t="n">
        <v>1236650</v>
      </c>
      <c r="D3318" t="inlineStr">
        <is>
          <t>2024-03-18 09:57:17</t>
        </is>
      </c>
      <c r="E3318" t="inlineStr">
        <is>
          <t>2024-03-21 17:28:25</t>
        </is>
      </c>
      <c r="F3318" t="inlineStr">
        <is>
          <t>666</t>
        </is>
      </c>
    </row>
    <row r="3319">
      <c r="A3319" t="inlineStr">
        <is>
          <t>240317 62531 BC REG-19 Reporte HSE Rev 07.xlsx</t>
        </is>
      </c>
      <c r="B3319">
        <f>HYPERLINK("C:\Users\lmonroy\Tema\ReporteDiario\ZReferenciales\Formatos originales\240317 62531 BC REG-19 Reporte HSE Rev 07.xlsx", "Link")</f>
        <v/>
      </c>
      <c r="C3319" t="n">
        <v>1585613</v>
      </c>
      <c r="D3319" t="inlineStr">
        <is>
          <t>2024-03-18 09:26:02</t>
        </is>
      </c>
      <c r="E3319" t="inlineStr">
        <is>
          <t>2024-03-21 17:28:25</t>
        </is>
      </c>
      <c r="F3319" t="inlineStr">
        <is>
          <t>666</t>
        </is>
      </c>
    </row>
    <row r="3320">
      <c r="A3320" t="inlineStr">
        <is>
          <t>240322 Chambira REG-19 Reporte HSE Rev 08.xlsx</t>
        </is>
      </c>
      <c r="B3320">
        <f>HYPERLINK("C:\Users\lmonroy\Tema\ReporteDiario\ZReferenciales\Formatos originales\240322 Chambira REG-19 Reporte HSE Rev 08.xlsx", "Link")</f>
        <v/>
      </c>
      <c r="C3320" t="n">
        <v>139793</v>
      </c>
      <c r="D3320" t="inlineStr">
        <is>
          <t>2024-03-25 14:03:14</t>
        </is>
      </c>
      <c r="E3320" t="inlineStr">
        <is>
          <t>2024-03-22 13:11:02</t>
        </is>
      </c>
      <c r="F3320" t="inlineStr">
        <is>
          <t>666</t>
        </is>
      </c>
    </row>
    <row r="3321">
      <c r="A3321" t="inlineStr">
        <is>
          <t>Consolidador.xlsm</t>
        </is>
      </c>
      <c r="B3321">
        <f>HYPERLINK("C:\Users\lmonroy\Tema\ReporteDiario\ZReferenciales\Formatos originales\Principal\Consolidador.xlsm", "Link")</f>
        <v/>
      </c>
      <c r="C3321" t="n">
        <v>40739</v>
      </c>
      <c r="D3321" t="inlineStr">
        <is>
          <t>2024-04-03 18:27:25</t>
        </is>
      </c>
      <c r="E3321" t="inlineStr">
        <is>
          <t>2024-03-25 14:03:45</t>
        </is>
      </c>
      <c r="F3321" t="inlineStr">
        <is>
          <t>666</t>
        </is>
      </c>
    </row>
    <row r="3322">
      <c r="A3322" t="inlineStr">
        <is>
          <t>Consolidador.xlsx</t>
        </is>
      </c>
      <c r="B3322">
        <f>HYPERLINK("C:\Users\lmonroy\Tema\ReporteDiario\ZReferenciales\Formatos originales\Principal\Consolidador.xlsx", "Link")</f>
        <v/>
      </c>
      <c r="C3322" t="n">
        <v>8518</v>
      </c>
      <c r="D3322" t="inlineStr">
        <is>
          <t>2024-03-25 10:35:51</t>
        </is>
      </c>
      <c r="E3322" t="inlineStr">
        <is>
          <t>2024-03-25 10:35:51</t>
        </is>
      </c>
      <c r="F3322" t="inlineStr">
        <is>
          <t>666</t>
        </is>
      </c>
    </row>
    <row r="3323">
      <c r="A3323" t="inlineStr">
        <is>
          <t>Crear carpetas.xlsm</t>
        </is>
      </c>
      <c r="B3323">
        <f>HYPERLINK("C:\Users\lmonroy\Tema\ReporteDiario\ZReferenciales\Formatos originales\Principal\Crear carpetas.xlsm", "Link")</f>
        <v/>
      </c>
      <c r="C3323" t="n">
        <v>22558</v>
      </c>
      <c r="D3323" t="inlineStr">
        <is>
          <t>2024-03-22 10:28:50</t>
        </is>
      </c>
      <c r="E3323" t="inlineStr">
        <is>
          <t>2024-03-22 10:28:49</t>
        </is>
      </c>
      <c r="F3323" t="inlineStr">
        <is>
          <t>666</t>
        </is>
      </c>
    </row>
    <row r="3324">
      <c r="A3324" t="inlineStr">
        <is>
          <t>Matrix de Reportes.xlsm</t>
        </is>
      </c>
      <c r="B3324">
        <f>HYPERLINK("C:\Users\lmonroy\Tema\ReporteDiario\ZReferenciales\Formatos originales\Principal\Matrix de Reportes.xlsm", "Link")</f>
        <v/>
      </c>
      <c r="C3324" t="n">
        <v>25854</v>
      </c>
      <c r="D3324" t="inlineStr">
        <is>
          <t>2024-03-22 09:58:39</t>
        </is>
      </c>
      <c r="E3324" t="inlineStr">
        <is>
          <t>2024-03-22 07:26:04</t>
        </is>
      </c>
      <c r="F3324" t="inlineStr">
        <is>
          <t>666</t>
        </is>
      </c>
    </row>
    <row r="3325">
      <c r="A3325" t="inlineStr">
        <is>
          <t>Matriz de Reportes.xlsm</t>
        </is>
      </c>
      <c r="B3325">
        <f>HYPERLINK("C:\Users\lmonroy\Tema\ReporteDiario\ZReferenciales\Formatos originales\Principal\Matriz de Reportes.xlsm", "Link")</f>
        <v/>
      </c>
      <c r="C3325" t="n">
        <v>156587</v>
      </c>
      <c r="D3325" t="inlineStr">
        <is>
          <t>2024-04-10 17:17:03</t>
        </is>
      </c>
      <c r="E3325" t="inlineStr">
        <is>
          <t>2024-03-22 10:32:37</t>
        </is>
      </c>
      <c r="F3325" t="inlineStr">
        <is>
          <t>666</t>
        </is>
      </c>
    </row>
    <row r="3326">
      <c r="A3326" t="inlineStr">
        <is>
          <t>Plantilla detalle master.xlsx</t>
        </is>
      </c>
      <c r="B3326">
        <f>HYPERLINK("C:\Users\lmonroy\Tema\ReporteDiario\ZReferenciales\Formatos originales\Principal\Plantilla detalle master.xlsx", "Link")</f>
        <v/>
      </c>
      <c r="C3326" t="n">
        <v>62439</v>
      </c>
      <c r="D3326" t="inlineStr">
        <is>
          <t>2024-04-10 13:39:17</t>
        </is>
      </c>
      <c r="E3326" t="inlineStr">
        <is>
          <t>2024-04-10 13:38:17</t>
        </is>
      </c>
      <c r="F3326" t="inlineStr">
        <is>
          <t>666</t>
        </is>
      </c>
    </row>
    <row r="3327">
      <c r="A3327" t="inlineStr">
        <is>
          <t>Plantilla detalle.xlsx</t>
        </is>
      </c>
      <c r="B3327">
        <f>HYPERLINK("C:\Users\lmonroy\Tema\ReporteDiario\ZReferenciales\Formatos originales\Principal\Plantilla detalle.xlsx", "Link")</f>
        <v/>
      </c>
      <c r="C3327" t="n">
        <v>88046</v>
      </c>
      <c r="D3327" t="inlineStr">
        <is>
          <t>2024-04-05 17:11:07</t>
        </is>
      </c>
      <c r="E3327" t="inlineStr">
        <is>
          <t>2024-04-02 17:01:51</t>
        </is>
      </c>
      <c r="F3327" t="inlineStr">
        <is>
          <t>666</t>
        </is>
      </c>
    </row>
    <row r="3328">
      <c r="A3328" t="inlineStr">
        <is>
          <t>240322 Chambira.xlsx</t>
        </is>
      </c>
      <c r="B3328">
        <f>HYPERLINK("C:\Users\lmonroy\Tema\ReporteDiario\ZReferenciales\Formatos originales\Principal\Prueba de ruta resultado\240322 Chambira.xlsx", "Link")</f>
        <v/>
      </c>
      <c r="C3328" t="n">
        <v>17189</v>
      </c>
      <c r="D3328" t="inlineStr">
        <is>
          <t>2024-03-22 11:12:01</t>
        </is>
      </c>
      <c r="E3328" t="inlineStr">
        <is>
          <t>2024-03-22 11:12:01</t>
        </is>
      </c>
      <c r="F3328" t="inlineStr">
        <is>
          <t>666</t>
        </is>
      </c>
    </row>
    <row r="3329">
      <c r="A3329" t="inlineStr">
        <is>
          <t>SCTR-ALTAS-12-04-2024.xls</t>
        </is>
      </c>
      <c r="B3329">
        <f>HYPERLINK("C:\Users\lmonroy\Tema\SCTR\SCTR-ALTAS-12-04-2024.xls", "Link")</f>
        <v/>
      </c>
      <c r="C3329" t="n">
        <v>176640</v>
      </c>
      <c r="D3329" t="inlineStr">
        <is>
          <t>2024-04-13 11:46:09</t>
        </is>
      </c>
      <c r="E3329" t="inlineStr">
        <is>
          <t>2024-04-13 11:46:06</t>
        </is>
      </c>
      <c r="F3329" t="inlineStr">
        <is>
          <t>666</t>
        </is>
      </c>
    </row>
    <row r="3330">
      <c r="A3330" t="inlineStr">
        <is>
          <t>ALTAS - BAJAS - T REGISTRO 13-02-2024.xlsx</t>
        </is>
      </c>
      <c r="B3330">
        <f>HYPERLINK("C:\Users\lmonroy\Tema\T REGISTRO\ALTAS - BAJAS - T REGISTRO 13-02-2024.xlsx", "Link")</f>
        <v/>
      </c>
      <c r="C3330" t="n">
        <v>72507</v>
      </c>
      <c r="D3330" t="inlineStr">
        <is>
          <t>2024-02-12 12:17:12</t>
        </is>
      </c>
      <c r="E3330" t="inlineStr">
        <is>
          <t>2024-02-12 11:52:22</t>
        </is>
      </c>
      <c r="F3330" t="inlineStr">
        <is>
          <t>666</t>
        </is>
      </c>
    </row>
    <row r="3331">
      <c r="A3331" t="inlineStr">
        <is>
          <t>Altas Generales 09-02.xlsx</t>
        </is>
      </c>
      <c r="B3331">
        <f>HYPERLINK("C:\Users\lmonroy\Tema\T REGISTRO\Altas Generales 09-02.xlsx", "Link")</f>
        <v/>
      </c>
      <c r="C3331" t="n">
        <v>829963</v>
      </c>
      <c r="D3331" t="inlineStr">
        <is>
          <t>2024-02-09 15:42:18</t>
        </is>
      </c>
      <c r="E3331" t="inlineStr">
        <is>
          <t>2024-02-09 15:17:48</t>
        </is>
      </c>
      <c r="F3331" t="inlineStr">
        <is>
          <t>666</t>
        </is>
      </c>
    </row>
    <row r="3332">
      <c r="A3332" t="inlineStr">
        <is>
          <t>T-Registro Altas 12-02-2023.xlsm</t>
        </is>
      </c>
      <c r="B3332">
        <f>HYPERLINK("C:\Users\lmonroy\Tema\T REGISTRO\T-Registro Altas 12-02-2023.xlsm", "Link")</f>
        <v/>
      </c>
      <c r="C3332" t="n">
        <v>909915</v>
      </c>
      <c r="D3332" t="inlineStr">
        <is>
          <t>2024-02-12 12:17:08</t>
        </is>
      </c>
      <c r="E3332" t="inlineStr">
        <is>
          <t>2024-02-12 11:59:54</t>
        </is>
      </c>
      <c r="F3332" t="inlineStr">
        <is>
          <t>666</t>
        </is>
      </c>
    </row>
    <row r="3333">
      <c r="A3333" t="inlineStr">
        <is>
          <t>T-Registro CCNN Altas - 13-04-2024.xlsm</t>
        </is>
      </c>
      <c r="B3333">
        <f>HYPERLINK("C:\Users\lmonroy\Tema\T REGISTRO\T-Registro CCNN Altas - 13-04-2024.xlsm", "Link")</f>
        <v/>
      </c>
      <c r="C3333" t="n">
        <v>909226</v>
      </c>
      <c r="D3333" t="inlineStr">
        <is>
          <t>2024-04-13 09:18:17</t>
        </is>
      </c>
      <c r="E3333" t="inlineStr">
        <is>
          <t>2024-04-13 09:18:15</t>
        </is>
      </c>
      <c r="F3333" t="inlineStr">
        <is>
          <t>666</t>
        </is>
      </c>
    </row>
    <row r="3334">
      <c r="A3334" t="inlineStr">
        <is>
          <t>T-Registro CCNN Altas - 16-02-2024.xlsm</t>
        </is>
      </c>
      <c r="B3334">
        <f>HYPERLINK("C:\Users\lmonroy\Tema\T REGISTRO\T-Registro CCNN Altas - 16-02-2024.xlsm", "Link")</f>
        <v/>
      </c>
      <c r="C3334" t="n">
        <v>904699</v>
      </c>
      <c r="D3334" t="inlineStr">
        <is>
          <t>2024-02-19 16:46:02</t>
        </is>
      </c>
      <c r="E3334" t="inlineStr">
        <is>
          <t>2024-02-16 12:17:30</t>
        </is>
      </c>
      <c r="F3334" t="inlineStr">
        <is>
          <t>666</t>
        </is>
      </c>
    </row>
    <row r="3335">
      <c r="A3335" t="inlineStr">
        <is>
          <t>T-Registro CCNN Altas - 19-02-2024.xlsm</t>
        </is>
      </c>
      <c r="B3335">
        <f>HYPERLINK("C:\Users\lmonroy\Tema\T REGISTRO\T-Registro CCNN Altas - 19-02-2024.xlsm", "Link")</f>
        <v/>
      </c>
      <c r="C3335" t="n">
        <v>914773</v>
      </c>
      <c r="D3335" t="inlineStr">
        <is>
          <t>2024-02-19 15:28:23</t>
        </is>
      </c>
      <c r="E3335" t="inlineStr">
        <is>
          <t>2024-02-19 15:28:22</t>
        </is>
      </c>
      <c r="F3335" t="inlineStr">
        <is>
          <t>666</t>
        </is>
      </c>
    </row>
    <row r="3336">
      <c r="A3336" t="inlineStr">
        <is>
          <t>T-Registro CCNN Altas - 20-02-2024.xlsm</t>
        </is>
      </c>
      <c r="B3336">
        <f>HYPERLINK("C:\Users\lmonroy\Tema\T REGISTRO\T-Registro CCNN Altas - 20-02-2024.xlsm", "Link")</f>
        <v/>
      </c>
      <c r="C3336" t="n">
        <v>903323</v>
      </c>
      <c r="D3336" t="inlineStr">
        <is>
          <t>2024-02-19 17:04:13</t>
        </is>
      </c>
      <c r="E3336" t="inlineStr">
        <is>
          <t>2024-02-19 10:57:16</t>
        </is>
      </c>
      <c r="F3336" t="inlineStr">
        <is>
          <t>666</t>
        </is>
      </c>
    </row>
    <row r="3337">
      <c r="A3337" t="inlineStr">
        <is>
          <t>T-Registro CCNN Altas - 26-02-2024.xlsm</t>
        </is>
      </c>
      <c r="B3337">
        <f>HYPERLINK("C:\Users\lmonroy\Tema\T REGISTRO\T-Registro CCNN Altas - 26-02-2024.xlsm", "Link")</f>
        <v/>
      </c>
      <c r="C3337" t="n">
        <v>906090</v>
      </c>
      <c r="D3337" t="inlineStr">
        <is>
          <t>2024-02-26 16:09:20</t>
        </is>
      </c>
      <c r="E3337" t="inlineStr">
        <is>
          <t>2024-02-26 10:13:19</t>
        </is>
      </c>
      <c r="F3337" t="inlineStr">
        <is>
          <t>666</t>
        </is>
      </c>
    </row>
    <row r="3338">
      <c r="A3338" t="inlineStr">
        <is>
          <t>T-Registro Tuesta Aching.xlsm</t>
        </is>
      </c>
      <c r="B3338">
        <f>HYPERLINK("C:\Users\lmonroy\Tema\T REGISTRO\T-Registro Tuesta Aching.xlsm", "Link")</f>
        <v/>
      </c>
      <c r="C3338" t="n">
        <v>908474</v>
      </c>
      <c r="D3338" t="inlineStr">
        <is>
          <t>2024-02-03 06:50:19</t>
        </is>
      </c>
      <c r="E3338" t="inlineStr">
        <is>
          <t>2024-02-03 06:47:40</t>
        </is>
      </c>
      <c r="F3338" t="inlineStr">
        <is>
          <t>666</t>
        </is>
      </c>
    </row>
    <row r="3339">
      <c r="A3339" t="inlineStr">
        <is>
          <t>T-Registro V 1 - CARO SORIA, JIMMY AMERICO - 11-03-2024.xlsm</t>
        </is>
      </c>
      <c r="B3339">
        <f>HYPERLINK("C:\Users\lmonroy\Tema\T REGISTRO\T-Registro V 1 - CARO SORIA, JIMMY AMERICO - 11-03-2024.xlsm", "Link")</f>
        <v/>
      </c>
      <c r="C3339" t="n">
        <v>902437</v>
      </c>
      <c r="D3339" t="inlineStr">
        <is>
          <t>2024-03-11 09:34:59</t>
        </is>
      </c>
      <c r="E3339" t="inlineStr">
        <is>
          <t>2024-03-11 09:34:58</t>
        </is>
      </c>
      <c r="F3339" t="inlineStr">
        <is>
          <t>666</t>
        </is>
      </c>
    </row>
    <row r="3340">
      <c r="A3340" t="inlineStr">
        <is>
          <t>T-Registro V 1 - CNN -01-02-2024.xlsm</t>
        </is>
      </c>
      <c r="B3340">
        <f>HYPERLINK("C:\Users\lmonroy\Tema\T REGISTRO\T-Registro V 1 - CNN -01-02-2024.xlsm", "Link")</f>
        <v/>
      </c>
      <c r="C3340" t="n">
        <v>902948</v>
      </c>
      <c r="D3340" t="inlineStr">
        <is>
          <t>2024-02-02 12:55:27</t>
        </is>
      </c>
      <c r="E3340" t="inlineStr">
        <is>
          <t>2024-02-02 12:22:22</t>
        </is>
      </c>
      <c r="F3340" t="inlineStr">
        <is>
          <t>666</t>
        </is>
      </c>
    </row>
    <row r="3341">
      <c r="A3341" t="inlineStr">
        <is>
          <t>T-Registro V 1 - Grupo XI.xlsm</t>
        </is>
      </c>
      <c r="B3341">
        <f>HYPERLINK("C:\Users\lmonroy\Tema\T REGISTRO\T-Registro V 1 - Grupo XI.xlsm", "Link")</f>
        <v/>
      </c>
      <c r="C3341" t="n">
        <v>885953</v>
      </c>
      <c r="D3341" t="inlineStr">
        <is>
          <t>2024-01-06 12:26:35</t>
        </is>
      </c>
      <c r="E3341" t="inlineStr">
        <is>
          <t>2024-01-06 12:26:33</t>
        </is>
      </c>
      <c r="F3341" t="inlineStr">
        <is>
          <t>666</t>
        </is>
      </c>
    </row>
    <row r="3342">
      <c r="A3342" t="inlineStr">
        <is>
          <t>T-Registro V 1 - LOMAS PACAYA MARCOS - 11-03-2024.xlsm</t>
        </is>
      </c>
      <c r="B3342">
        <f>HYPERLINK("C:\Users\lmonroy\Tema\T REGISTRO\T-Registro V 1 - LOMAS PACAYA MARCOS - 11-03-2024.xlsm", "Link")</f>
        <v/>
      </c>
      <c r="C3342" t="n">
        <v>904163</v>
      </c>
      <c r="D3342" t="inlineStr">
        <is>
          <t>2024-03-11 18:19:47</t>
        </is>
      </c>
      <c r="E3342" t="inlineStr">
        <is>
          <t>2024-03-11 18:07:49</t>
        </is>
      </c>
      <c r="F3342" t="inlineStr">
        <is>
          <t>666</t>
        </is>
      </c>
    </row>
    <row r="3343">
      <c r="A3343" t="inlineStr">
        <is>
          <t>T-Registro V 1.1 blq - actualización sueldos.xlsm</t>
        </is>
      </c>
      <c r="B3343">
        <f>HYPERLINK("C:\Users\lmonroy\Tema\T REGISTRO\T-Registro V 1.1 blq - actualización sueldos.xlsm", "Link")</f>
        <v/>
      </c>
      <c r="C3343" t="n">
        <v>910962</v>
      </c>
      <c r="D3343" t="inlineStr">
        <is>
          <t>2023-12-11 11:40:21</t>
        </is>
      </c>
      <c r="E3343" t="inlineStr">
        <is>
          <t>2023-12-11 11:40:21</t>
        </is>
      </c>
      <c r="F3343" t="inlineStr">
        <is>
          <t>666</t>
        </is>
      </c>
    </row>
    <row r="3344">
      <c r="A3344" t="inlineStr">
        <is>
          <t>T-Registro V 1.1 blq - ALTAS 05 - 01 - 2024.xlsm</t>
        </is>
      </c>
      <c r="B3344">
        <f>HYPERLINK("C:\Users\lmonroy\Tema\T REGISTRO\T-Registro V 1.1 blq - ALTAS 05 - 01 - 2024.xlsm", "Link")</f>
        <v/>
      </c>
      <c r="C3344" t="n">
        <v>907361</v>
      </c>
      <c r="D3344" t="inlineStr">
        <is>
          <t>2024-01-05 21:46:05</t>
        </is>
      </c>
      <c r="E3344" t="inlineStr">
        <is>
          <t>2024-01-05 16:27:30</t>
        </is>
      </c>
      <c r="F3344" t="inlineStr">
        <is>
          <t>666</t>
        </is>
      </c>
    </row>
    <row r="3345">
      <c r="A3345" t="inlineStr">
        <is>
          <t>T-Registro V 1.1 blq - ALTAS 05-01-2024.xlsm</t>
        </is>
      </c>
      <c r="B3345">
        <f>HYPERLINK("C:\Users\lmonroy\Tema\T REGISTRO\T-Registro V 1.1 blq - ALTAS 05-01-2024.xlsm", "Link")</f>
        <v/>
      </c>
      <c r="C3345" t="n">
        <v>910462</v>
      </c>
      <c r="D3345" t="inlineStr">
        <is>
          <t>2024-01-04 13:58:18</t>
        </is>
      </c>
      <c r="E3345" t="inlineStr">
        <is>
          <t>2024-01-04 13:52:03</t>
        </is>
      </c>
      <c r="F3345" t="inlineStr">
        <is>
          <t>666</t>
        </is>
      </c>
    </row>
    <row r="3346">
      <c r="A3346" t="inlineStr">
        <is>
          <t>T-Registro V 1.1 blq - ALTAS 10-01-2024.xlsm</t>
        </is>
      </c>
      <c r="B3346">
        <f>HYPERLINK("C:\Users\lmonroy\Tema\T REGISTRO\T-Registro V 1.1 blq - ALTAS 10-01-2024.xlsm", "Link")</f>
        <v/>
      </c>
      <c r="C3346" t="n">
        <v>910101</v>
      </c>
      <c r="D3346" t="inlineStr">
        <is>
          <t>2024-01-10 13:32:11</t>
        </is>
      </c>
      <c r="E3346" t="inlineStr">
        <is>
          <t>2024-01-10 13:14:36</t>
        </is>
      </c>
      <c r="F3346" t="inlineStr">
        <is>
          <t>666</t>
        </is>
      </c>
    </row>
    <row r="3347">
      <c r="A3347" t="inlineStr">
        <is>
          <t>T-Registro V 1.1 blq - ALTAS 2023 - 12 - FALTANTE.xlsm</t>
        </is>
      </c>
      <c r="B3347">
        <f>HYPERLINK("C:\Users\lmonroy\Tema\T REGISTRO\T-Registro V 1.1 blq - ALTAS 2023 - 12 - FALTANTE.xlsm", "Link")</f>
        <v/>
      </c>
      <c r="C3347" t="n">
        <v>907117</v>
      </c>
      <c r="D3347" t="inlineStr">
        <is>
          <t>2024-01-02 21:30:02</t>
        </is>
      </c>
      <c r="E3347" t="inlineStr">
        <is>
          <t>2024-01-02 21:08:25</t>
        </is>
      </c>
      <c r="F3347" t="inlineStr">
        <is>
          <t>666</t>
        </is>
      </c>
    </row>
    <row r="3348">
      <c r="A3348" t="inlineStr">
        <is>
          <t>T-Registro V 1.1 blq - ALTAS 2024 - ALMEIDA.xlsm</t>
        </is>
      </c>
      <c r="B3348">
        <f>HYPERLINK("C:\Users\lmonroy\Tema\T REGISTRO\T-Registro V 1.1 blq - ALTAS 2024 - ALMEIDA.xlsm", "Link")</f>
        <v/>
      </c>
      <c r="C3348" t="n">
        <v>910002</v>
      </c>
      <c r="D3348" t="inlineStr">
        <is>
          <t>2024-01-04 18:03:47</t>
        </is>
      </c>
      <c r="E3348" t="inlineStr">
        <is>
          <t>2024-01-04 17:28:06</t>
        </is>
      </c>
      <c r="F3348" t="inlineStr">
        <is>
          <t>666</t>
        </is>
      </c>
    </row>
    <row r="3349">
      <c r="A3349" t="inlineStr">
        <is>
          <t>T-Registro V 1.1 blq - ALTAS 2024 - CORRECCION CCNN.xlsm</t>
        </is>
      </c>
      <c r="B3349">
        <f>HYPERLINK("C:\Users\lmonroy\Tema\T REGISTRO\T-Registro V 1.1 blq - ALTAS 2024 - CORRECCION CCNN.xlsm", "Link")</f>
        <v/>
      </c>
      <c r="C3349" t="n">
        <v>910446</v>
      </c>
      <c r="D3349" t="inlineStr">
        <is>
          <t>2024-01-03 18:19:19</t>
        </is>
      </c>
      <c r="E3349" t="inlineStr">
        <is>
          <t>2024-01-03 18:03:09</t>
        </is>
      </c>
      <c r="F3349" t="inlineStr">
        <is>
          <t>666</t>
        </is>
      </c>
    </row>
    <row r="3350">
      <c r="A3350" t="inlineStr">
        <is>
          <t>T-Registro V 1.1 blq - ALTAS 2024 - GRUPO IX.xlsm</t>
        </is>
      </c>
      <c r="B3350">
        <f>HYPERLINK("C:\Users\lmonroy\Tema\T REGISTRO\T-Registro V 1.1 blq - ALTAS 2024 - GRUPO IX.xlsm", "Link")</f>
        <v/>
      </c>
      <c r="C3350" t="n">
        <v>905830</v>
      </c>
      <c r="D3350" t="inlineStr">
        <is>
          <t>2024-01-03 17:22:13</t>
        </is>
      </c>
      <c r="E3350" t="inlineStr">
        <is>
          <t>2024-01-03 17:21:50</t>
        </is>
      </c>
      <c r="F3350" t="inlineStr">
        <is>
          <t>666</t>
        </is>
      </c>
    </row>
    <row r="3351">
      <c r="A3351" t="inlineStr">
        <is>
          <t>T-Registro V 1.1 blq - ALTAS 2024.xlsm</t>
        </is>
      </c>
      <c r="B3351">
        <f>HYPERLINK("C:\Users\lmonroy\Tema\T REGISTRO\T-Registro V 1.1 blq - ALTAS 2024.xlsm", "Link")</f>
        <v/>
      </c>
      <c r="C3351" t="n">
        <v>913141</v>
      </c>
      <c r="D3351" t="inlineStr">
        <is>
          <t>2024-01-03 16:20:18</t>
        </is>
      </c>
      <c r="E3351" t="inlineStr">
        <is>
          <t>2024-01-02 20:18:39</t>
        </is>
      </c>
      <c r="F3351" t="inlineStr">
        <is>
          <t>666</t>
        </is>
      </c>
    </row>
    <row r="3352">
      <c r="A3352" t="inlineStr">
        <is>
          <t>T-Registro V 1.1 blq - altas 26 - 12 - 2023 otros proyectos.xlsm</t>
        </is>
      </c>
      <c r="B3352">
        <f>HYPERLINK("C:\Users\lmonroy\Tema\T REGISTRO\T-Registro V 1.1 blq - altas 26 - 12 - 2023 otros proyectos.xlsm", "Link")</f>
        <v/>
      </c>
      <c r="C3352" t="n">
        <v>907939</v>
      </c>
      <c r="D3352" t="inlineStr">
        <is>
          <t>2023-12-26 22:21:48</t>
        </is>
      </c>
      <c r="E3352" t="inlineStr">
        <is>
          <t>2023-12-26 22:14:02</t>
        </is>
      </c>
      <c r="F3352" t="inlineStr">
        <is>
          <t>666</t>
        </is>
      </c>
    </row>
    <row r="3353">
      <c r="A3353" t="inlineStr">
        <is>
          <t>T-Registro V 1.1 blq - altas 26 - 12 - 2023.xlsm</t>
        </is>
      </c>
      <c r="B3353">
        <f>HYPERLINK("C:\Users\lmonroy\Tema\T REGISTRO\T-Registro V 1.1 blq - altas 26 - 12 - 2023.xlsm", "Link")</f>
        <v/>
      </c>
      <c r="C3353" t="n">
        <v>919527</v>
      </c>
      <c r="D3353" t="inlineStr">
        <is>
          <t>2023-12-26 16:19:58</t>
        </is>
      </c>
      <c r="E3353" t="inlineStr">
        <is>
          <t>2023-12-26 16:19:57</t>
        </is>
      </c>
      <c r="F3353" t="inlineStr">
        <is>
          <t>666</t>
        </is>
      </c>
    </row>
    <row r="3354">
      <c r="A3354" t="inlineStr">
        <is>
          <t>T-Registro V 1.1 blq - ALTAS 26-01-2024 CCNN.xlsm</t>
        </is>
      </c>
      <c r="B3354">
        <f>HYPERLINK("C:\Users\lmonroy\Tema\T REGISTRO\T-Registro V 1.1 blq - ALTAS 26-01-2024 CCNN.xlsm", "Link")</f>
        <v/>
      </c>
      <c r="C3354" t="n">
        <v>906007</v>
      </c>
      <c r="D3354" t="inlineStr">
        <is>
          <t>2024-01-26 16:44:26</t>
        </is>
      </c>
      <c r="E3354" t="inlineStr">
        <is>
          <t>2024-01-26 16:21:47</t>
        </is>
      </c>
      <c r="F3354" t="inlineStr">
        <is>
          <t>666</t>
        </is>
      </c>
    </row>
    <row r="3355">
      <c r="A3355" t="inlineStr">
        <is>
          <t>T-Registro V 1.1 blq - BAJA - 05 - 01.xlsm</t>
        </is>
      </c>
      <c r="B3355">
        <f>HYPERLINK("C:\Users\lmonroy\Tema\T REGISTRO\T-Registro V 1.1 blq - BAJA - 05 - 01.xlsm", "Link")</f>
        <v/>
      </c>
      <c r="C3355" t="n">
        <v>908079</v>
      </c>
      <c r="D3355" t="inlineStr">
        <is>
          <t>2024-01-05 19:29:21</t>
        </is>
      </c>
      <c r="E3355" t="inlineStr">
        <is>
          <t>2024-01-05 19:00:24</t>
        </is>
      </c>
      <c r="F3355" t="inlineStr">
        <is>
          <t>666</t>
        </is>
      </c>
    </row>
    <row r="3356">
      <c r="A3356" t="inlineStr">
        <is>
          <t>T-Registro V 1.1 blq - BAJA - 09 - 01.xlsm</t>
        </is>
      </c>
      <c r="B3356">
        <f>HYPERLINK("C:\Users\lmonroy\Tema\T REGISTRO\T-Registro V 1.1 blq - BAJA - 09 - 01.xlsm", "Link")</f>
        <v/>
      </c>
      <c r="C3356" t="n">
        <v>908182</v>
      </c>
      <c r="D3356" t="inlineStr">
        <is>
          <t>2024-01-09 10:57:54</t>
        </is>
      </c>
      <c r="E3356" t="inlineStr">
        <is>
          <t>2024-01-09 10:57:53</t>
        </is>
      </c>
      <c r="F3356" t="inlineStr">
        <is>
          <t>666</t>
        </is>
      </c>
    </row>
    <row r="3357">
      <c r="A3357" t="inlineStr">
        <is>
          <t>T-Registro V 1.1 blq - BAJA 15-01-2024.xlsm</t>
        </is>
      </c>
      <c r="B3357">
        <f>HYPERLINK("C:\Users\lmonroy\Tema\T REGISTRO\T-Registro V 1.1 blq - BAJA 15-01-2024.xlsm", "Link")</f>
        <v/>
      </c>
      <c r="C3357" t="n">
        <v>905866</v>
      </c>
      <c r="D3357" t="inlineStr">
        <is>
          <t>2024-01-15 16:12:27</t>
        </is>
      </c>
      <c r="E3357" t="inlineStr">
        <is>
          <t>2024-01-15 16:12:26</t>
        </is>
      </c>
      <c r="F3357" t="inlineStr">
        <is>
          <t>666</t>
        </is>
      </c>
    </row>
    <row r="3358">
      <c r="A3358" t="inlineStr">
        <is>
          <t>T-Registro V 1.1 blq - BAJA 26-01-2024 - CCNN.xlsm</t>
        </is>
      </c>
      <c r="B3358">
        <f>HYPERLINK("C:\Users\lmonroy\Tema\T REGISTRO\T-Registro V 1.1 blq - BAJA 26-01-2024 - CCNN.xlsm", "Link")</f>
        <v/>
      </c>
      <c r="C3358" t="n">
        <v>906461</v>
      </c>
      <c r="D3358" t="inlineStr">
        <is>
          <t>2024-01-26 16:44:32</t>
        </is>
      </c>
      <c r="E3358" t="inlineStr">
        <is>
          <t>2024-01-26 16:38:21</t>
        </is>
      </c>
      <c r="F3358" t="inlineStr">
        <is>
          <t>666</t>
        </is>
      </c>
    </row>
    <row r="3359">
      <c r="A3359" t="inlineStr">
        <is>
          <t>T-Registro V 1.1 blq - BAJA 26-01-2024.xlsm</t>
        </is>
      </c>
      <c r="B3359">
        <f>HYPERLINK("C:\Users\lmonroy\Tema\T REGISTRO\T-Registro V 1.1 blq - BAJA 26-01-2024.xlsm", "Link")</f>
        <v/>
      </c>
      <c r="C3359" t="n">
        <v>910635</v>
      </c>
      <c r="D3359" t="inlineStr">
        <is>
          <t>2024-01-26 16:30:00</t>
        </is>
      </c>
      <c r="E3359" t="inlineStr">
        <is>
          <t>2024-01-26 15:44:49</t>
        </is>
      </c>
      <c r="F3359" t="inlineStr">
        <is>
          <t>666</t>
        </is>
      </c>
    </row>
    <row r="3360">
      <c r="A3360" t="inlineStr">
        <is>
          <t>T-Registro V 1.1 blq - BAJAS 31-ENERO - CCNN.xlsm</t>
        </is>
      </c>
      <c r="B3360">
        <f>HYPERLINK("C:\Users\lmonroy\Tema\T REGISTRO\T-Registro V 1.1 blq - BAJAS 31-ENERO - CCNN.xlsm", "Link")</f>
        <v/>
      </c>
      <c r="C3360" t="n">
        <v>905981</v>
      </c>
      <c r="D3360" t="inlineStr">
        <is>
          <t>2024-01-31 16:32:49</t>
        </is>
      </c>
      <c r="E3360" t="inlineStr">
        <is>
          <t>2024-01-31 16:32:48</t>
        </is>
      </c>
      <c r="F3360" t="inlineStr">
        <is>
          <t>666</t>
        </is>
      </c>
    </row>
    <row r="3361">
      <c r="A3361" t="inlineStr">
        <is>
          <t>T-Registro V 1.1 blq - BAJAS DIC 2023.xlsm</t>
        </is>
      </c>
      <c r="B3361">
        <f>HYPERLINK("C:\Users\lmonroy\Tema\T REGISTRO\T-Registro V 1.1 blq - BAJAS DIC 2023.xlsm", "Link")</f>
        <v/>
      </c>
      <c r="C3361" t="n">
        <v>910483</v>
      </c>
      <c r="D3361" t="inlineStr">
        <is>
          <t>2024-01-04 12:11:38</t>
        </is>
      </c>
      <c r="E3361" t="inlineStr">
        <is>
          <t>2024-01-04 11:26:05</t>
        </is>
      </c>
      <c r="F3361" t="inlineStr">
        <is>
          <t>666</t>
        </is>
      </c>
    </row>
    <row r="3362">
      <c r="A3362" t="inlineStr">
        <is>
          <t>T-Registro V 1.1 blq - BAJAS ENERO - PROYECTO PLAYAS.xlsm</t>
        </is>
      </c>
      <c r="B3362">
        <f>HYPERLINK("C:\Users\lmonroy\Tema\T REGISTRO\T-Registro V 1.1 blq - BAJAS ENERO - PROYECTO PLAYAS.xlsm", "Link")</f>
        <v/>
      </c>
      <c r="C3362" t="n">
        <v>909982</v>
      </c>
      <c r="D3362" t="inlineStr">
        <is>
          <t>2024-01-30 23:24:58</t>
        </is>
      </c>
      <c r="E3362" t="inlineStr">
        <is>
          <t>2024-01-30 23:24:57</t>
        </is>
      </c>
      <c r="F3362" t="inlineStr">
        <is>
          <t>666</t>
        </is>
      </c>
    </row>
    <row r="3363">
      <c r="A3363" t="inlineStr">
        <is>
          <t>T-Registro V 1.1 blq - Grupo XI.xlsm</t>
        </is>
      </c>
      <c r="B3363">
        <f>HYPERLINK("C:\Users\lmonroy\Tema\T REGISTRO\T-Registro V 1.1 blq - Grupo XI.xlsm", "Link")</f>
        <v/>
      </c>
      <c r="C3363" t="n">
        <v>917596</v>
      </c>
      <c r="D3363" t="inlineStr">
        <is>
          <t>2024-01-06 08:38:01</t>
        </is>
      </c>
      <c r="E3363" t="inlineStr">
        <is>
          <t>2024-01-05 21:43:59</t>
        </is>
      </c>
      <c r="F3363" t="inlineStr">
        <is>
          <t>666</t>
        </is>
      </c>
    </row>
    <row r="3364">
      <c r="A3364" t="inlineStr">
        <is>
          <t>MODELO_VL - 19-02-2024 - CCNN.xlsx</t>
        </is>
      </c>
      <c r="B3364">
        <f>HYPERLINK("C:\Users\lmonroy\Tema\Vida Ley\MODELO_VL - 19-02-2024 - CCNN.xlsx", "Link")</f>
        <v/>
      </c>
      <c r="C3364" t="n">
        <v>16203</v>
      </c>
      <c r="D3364" t="inlineStr">
        <is>
          <t>2024-02-19 15:35:47</t>
        </is>
      </c>
      <c r="E3364" t="inlineStr">
        <is>
          <t>2024-02-19 15:32:55</t>
        </is>
      </c>
      <c r="F3364" t="inlineStr">
        <is>
          <t>666</t>
        </is>
      </c>
    </row>
    <row r="3365">
      <c r="A3365" t="inlineStr">
        <is>
          <t>MODELO_VL - 21-02-2024 - CCNN.xlsx</t>
        </is>
      </c>
      <c r="B3365">
        <f>HYPERLINK("C:\Users\lmonroy\Tema\Vida Ley\MODELO_VL - 21-02-2024 - CCNN.xlsx", "Link")</f>
        <v/>
      </c>
      <c r="C3365" t="n">
        <v>15302</v>
      </c>
      <c r="D3365" t="inlineStr">
        <is>
          <t>2024-02-21 08:45:50</t>
        </is>
      </c>
      <c r="E3365" t="inlineStr">
        <is>
          <t>2024-02-21 08:45:49</t>
        </is>
      </c>
      <c r="F3365" t="inlineStr">
        <is>
          <t>666</t>
        </is>
      </c>
    </row>
    <row r="3366">
      <c r="A3366" t="inlineStr">
        <is>
          <t>MODELO_VL - 26-01-2024 - CCNN.xlsx</t>
        </is>
      </c>
      <c r="B3366">
        <f>HYPERLINK("C:\Users\lmonroy\Tema\Vida Ley\MODELO_VL - 26-01-2024 - CCNN.xlsx", "Link")</f>
        <v/>
      </c>
      <c r="C3366" t="n">
        <v>14775</v>
      </c>
      <c r="D3366" t="inlineStr">
        <is>
          <t>2024-01-26 16:42:08</t>
        </is>
      </c>
      <c r="E3366" t="inlineStr">
        <is>
          <t>2024-01-26 16:42:07</t>
        </is>
      </c>
      <c r="F3366" t="inlineStr">
        <is>
          <t>666</t>
        </is>
      </c>
    </row>
    <row r="3367">
      <c r="A3367" t="inlineStr">
        <is>
          <t>MODELO_VL - 26-02-2024 - CCNN.xlsx</t>
        </is>
      </c>
      <c r="B3367">
        <f>HYPERLINK("C:\Users\lmonroy\Tema\Vida Ley\MODELO_VL - 26-02-2024 - CCNN.xlsx", "Link")</f>
        <v/>
      </c>
      <c r="C3367" t="n">
        <v>16057</v>
      </c>
      <c r="D3367" t="inlineStr">
        <is>
          <t>2024-02-26 10:53:37</t>
        </is>
      </c>
      <c r="E3367" t="inlineStr">
        <is>
          <t>2024-02-26 10:53:37</t>
        </is>
      </c>
      <c r="F3367" t="inlineStr">
        <is>
          <t>666</t>
        </is>
      </c>
    </row>
    <row r="3368">
      <c r="A3368" t="inlineStr">
        <is>
          <t>MODELO_VL - 26-DIC_62531 - CORREGIDO.xlsx</t>
        </is>
      </c>
      <c r="B3368">
        <f>HYPERLINK("C:\Users\lmonroy\Tema\Vida Ley\MODELO_VL - 26-DIC_62531 - CORREGIDO.xlsx", "Link")</f>
        <v/>
      </c>
      <c r="C3368" t="n">
        <v>18930</v>
      </c>
      <c r="D3368" t="inlineStr">
        <is>
          <t>2023-12-27 18:01:32</t>
        </is>
      </c>
      <c r="E3368" t="inlineStr">
        <is>
          <t>2023-12-27 18:01:04</t>
        </is>
      </c>
      <c r="F3368" t="inlineStr">
        <is>
          <t>666</t>
        </is>
      </c>
    </row>
    <row r="3369">
      <c r="A3369" t="inlineStr">
        <is>
          <t>MODELO_VL - 26-DIC_62531 - FEC. NACIMIENTO - CORREGIDO.xlsx</t>
        </is>
      </c>
      <c r="B3369">
        <f>HYPERLINK("C:\Users\lmonroy\Tema\Vida Ley\MODELO_VL - 26-DIC_62531 - FEC. NACIMIENTO - CORREGIDO.xlsx", "Link")</f>
        <v/>
      </c>
      <c r="C3369" t="n">
        <v>18939</v>
      </c>
      <c r="D3369" t="inlineStr">
        <is>
          <t>2023-12-27 17:59:43</t>
        </is>
      </c>
      <c r="E3369" t="inlineStr">
        <is>
          <t>2023-12-27 16:01:45</t>
        </is>
      </c>
      <c r="F3369" t="inlineStr">
        <is>
          <t>666</t>
        </is>
      </c>
    </row>
    <row r="3370">
      <c r="A3370" t="inlineStr">
        <is>
          <t>MODELO_VL - 26-DIC_62531 - FEC. NACIMIENTO.xlsx</t>
        </is>
      </c>
      <c r="B3370">
        <f>HYPERLINK("C:\Users\lmonroy\Tema\Vida Ley\MODELO_VL - 26-DIC_62531 - FEC. NACIMIENTO.xlsx", "Link")</f>
        <v/>
      </c>
      <c r="C3370" t="n">
        <v>18854</v>
      </c>
      <c r="D3370" t="inlineStr">
        <is>
          <t>2023-12-27 16:01:34</t>
        </is>
      </c>
      <c r="E3370" t="inlineStr">
        <is>
          <t>2023-12-27 11:28:34</t>
        </is>
      </c>
      <c r="F3370" t="inlineStr">
        <is>
          <t>666</t>
        </is>
      </c>
    </row>
    <row r="3371">
      <c r="A3371" t="inlineStr">
        <is>
          <t>MODELO_VL - 29-01-2024 - CCNN.xlsx</t>
        </is>
      </c>
      <c r="B3371">
        <f>HYPERLINK("C:\Users\lmonroy\Tema\Vida Ley\MODELO_VL - 29-01-2024 - CCNN.xlsx", "Link")</f>
        <v/>
      </c>
      <c r="C3371" t="n">
        <v>14726</v>
      </c>
      <c r="D3371" t="inlineStr">
        <is>
          <t>2024-01-29 14:01:58</t>
        </is>
      </c>
      <c r="E3371" t="inlineStr">
        <is>
          <t>2024-01-29 13:24:16</t>
        </is>
      </c>
      <c r="F3371" t="inlineStr">
        <is>
          <t>666</t>
        </is>
      </c>
    </row>
    <row r="3372">
      <c r="A3372" t="inlineStr">
        <is>
          <t>MODELO_VL - ALTAS - 01-04-2024.xlsx</t>
        </is>
      </c>
      <c r="B3372">
        <f>HYPERLINK("C:\Users\lmonroy\Tema\Vida Ley\MODELO_VL - ALTAS - 01-04-2024.xlsx", "Link")</f>
        <v/>
      </c>
      <c r="C3372" t="n">
        <v>57223</v>
      </c>
      <c r="D3372" t="inlineStr">
        <is>
          <t>2024-03-31 12:10:35</t>
        </is>
      </c>
      <c r="E3372" t="inlineStr">
        <is>
          <t>2024-03-31 12:10:34</t>
        </is>
      </c>
      <c r="F3372" t="inlineStr">
        <is>
          <t>666</t>
        </is>
      </c>
    </row>
    <row r="3373">
      <c r="A3373" t="inlineStr">
        <is>
          <t>MODELO_VL - ALTAS - 12-04-2024.xlsx</t>
        </is>
      </c>
      <c r="B3373">
        <f>HYPERLINK("C:\Users\lmonroy\Tema\Vida Ley\MODELO_VL - ALTAS - 12-04-2024.xlsx", "Link")</f>
        <v/>
      </c>
      <c r="C3373" t="n">
        <v>15163</v>
      </c>
      <c r="D3373" t="inlineStr">
        <is>
          <t>2024-04-13 11:20:35</t>
        </is>
      </c>
      <c r="E3373" t="inlineStr">
        <is>
          <t>2024-04-13 11:20:35</t>
        </is>
      </c>
      <c r="F3373" t="inlineStr">
        <is>
          <t>666</t>
        </is>
      </c>
    </row>
    <row r="3374">
      <c r="A3374" t="inlineStr">
        <is>
          <t>MODELO_VL - ALTAS - 21-03-2024.xlsx</t>
        </is>
      </c>
      <c r="B3374">
        <f>HYPERLINK("C:\Users\lmonroy\Tema\Vida Ley\MODELO_VL - ALTAS - 21-03-2024.xlsx", "Link")</f>
        <v/>
      </c>
      <c r="C3374" t="n">
        <v>16123</v>
      </c>
      <c r="D3374" t="inlineStr">
        <is>
          <t>2024-03-21 19:49:17</t>
        </is>
      </c>
      <c r="E3374" t="inlineStr">
        <is>
          <t>2024-03-21 19:49:17</t>
        </is>
      </c>
      <c r="F3374" t="inlineStr">
        <is>
          <t>666</t>
        </is>
      </c>
    </row>
    <row r="3375">
      <c r="A3375" t="inlineStr">
        <is>
          <t>MODELO_VL - CARO SORIA - 11-03-2024.xlsx</t>
        </is>
      </c>
      <c r="B3375">
        <f>HYPERLINK("C:\Users\lmonroy\Tema\Vida Ley\MODELO_VL - CARO SORIA - 11-03-2024.xlsx", "Link")</f>
        <v/>
      </c>
      <c r="C3375" t="n">
        <v>14349</v>
      </c>
      <c r="D3375" t="inlineStr">
        <is>
          <t>2024-03-11 09:40:18</t>
        </is>
      </c>
      <c r="E3375" t="inlineStr">
        <is>
          <t>2024-03-11 09:40:18</t>
        </is>
      </c>
      <c r="F3375" t="inlineStr">
        <is>
          <t>666</t>
        </is>
      </c>
    </row>
    <row r="3376">
      <c r="A3376" t="inlineStr">
        <is>
          <t>MODELO_VL - LOMAS PACAYA - 11-03-2024.xlsx</t>
        </is>
      </c>
      <c r="B3376">
        <f>HYPERLINK("C:\Users\lmonroy\Tema\Vida Ley\MODELO_VL - LOMAS PACAYA - 11-03-2024.xlsx", "Link")</f>
        <v/>
      </c>
      <c r="C3376" t="n">
        <v>14352</v>
      </c>
      <c r="D3376" t="inlineStr">
        <is>
          <t>2024-03-11 18:29:39</t>
        </is>
      </c>
      <c r="E3376" t="inlineStr">
        <is>
          <t>2024-03-11 18:29:38</t>
        </is>
      </c>
      <c r="F3376" t="inlineStr">
        <is>
          <t>666</t>
        </is>
      </c>
    </row>
    <row r="3377">
      <c r="A3377" t="inlineStr">
        <is>
          <t>MODELO_VL - MARZO.xlsx</t>
        </is>
      </c>
      <c r="B3377">
        <f>HYPERLINK("C:\Users\lmonroy\Tema\Vida Ley\MODELO_VL - MARZO.xlsx", "Link")</f>
        <v/>
      </c>
      <c r="C3377" t="n">
        <v>48705</v>
      </c>
      <c r="D3377" t="inlineStr">
        <is>
          <t>2024-02-29 11:48:21</t>
        </is>
      </c>
      <c r="E3377" t="inlineStr">
        <is>
          <t>2024-02-29 11:34:52</t>
        </is>
      </c>
      <c r="F3377" t="inlineStr">
        <is>
          <t>666</t>
        </is>
      </c>
    </row>
    <row r="3378">
      <c r="A3378" t="inlineStr">
        <is>
          <t>MODELO_VL - PROYECTO 62531 - ALTAS 01 FEBRERO.xlsx</t>
        </is>
      </c>
      <c r="B3378">
        <f>HYPERLINK("C:\Users\lmonroy\Tema\Vida Ley\MODELO_VL - PROYECTO 62531 - ALTAS 01 FEBRERO.xlsx", "Link")</f>
        <v/>
      </c>
      <c r="C3378" t="n">
        <v>16513</v>
      </c>
      <c r="D3378" t="inlineStr">
        <is>
          <t>2024-02-02 12:00:56</t>
        </is>
      </c>
      <c r="E3378" t="inlineStr">
        <is>
          <t>2024-02-02 12:00:55</t>
        </is>
      </c>
      <c r="F3378" t="inlineStr">
        <is>
          <t>666</t>
        </is>
      </c>
    </row>
    <row r="3379">
      <c r="A3379" t="inlineStr">
        <is>
          <t>MODELO_VL - PROYECTO 62531 - ALTAS 12-02-2024.xlsx</t>
        </is>
      </c>
      <c r="B3379">
        <f>HYPERLINK("C:\Users\lmonroy\Tema\Vida Ley\MODELO_VL - PROYECTO 62531 - ALTAS 12-02-2024.xlsx", "Link")</f>
        <v/>
      </c>
      <c r="C3379" t="n">
        <v>15171</v>
      </c>
      <c r="D3379" t="inlineStr">
        <is>
          <t>2024-02-12 12:16:45</t>
        </is>
      </c>
      <c r="E3379" t="inlineStr">
        <is>
          <t>2024-02-12 12:16:44</t>
        </is>
      </c>
      <c r="F3379" t="inlineStr">
        <is>
          <t>666</t>
        </is>
      </c>
    </row>
    <row r="3380">
      <c r="A3380" t="inlineStr">
        <is>
          <t>MODELO_VL - PROYECTO 62531 - ALTAS 16-02-2024.xlsx</t>
        </is>
      </c>
      <c r="B3380">
        <f>HYPERLINK("C:\Users\lmonroy\Tema\Vida Ley\MODELO_VL - PROYECTO 62531 - ALTAS 16-02-2024.xlsx", "Link")</f>
        <v/>
      </c>
      <c r="C3380" t="n">
        <v>14868</v>
      </c>
      <c r="D3380" t="inlineStr">
        <is>
          <t>2024-02-16 12:12:45</t>
        </is>
      </c>
      <c r="E3380" t="inlineStr">
        <is>
          <t>2024-02-16 12:10:48</t>
        </is>
      </c>
      <c r="F3380" t="inlineStr">
        <is>
          <t>666</t>
        </is>
      </c>
    </row>
    <row r="3381">
      <c r="A3381" t="inlineStr">
        <is>
          <t>MODELO_VL - PROYECTO 62531 - ALTAS 20-02-2024.xlsx</t>
        </is>
      </c>
      <c r="B3381">
        <f>HYPERLINK("C:\Users\lmonroy\Tema\Vida Ley\MODELO_VL - PROYECTO 62531 - ALTAS 20-02-2024.xlsx", "Link")</f>
        <v/>
      </c>
      <c r="C3381" t="n">
        <v>14806</v>
      </c>
      <c r="D3381" t="inlineStr">
        <is>
          <t>2024-02-19 11:29:34</t>
        </is>
      </c>
      <c r="E3381" t="inlineStr">
        <is>
          <t>2024-02-19 11:29:34</t>
        </is>
      </c>
      <c r="F3381" t="inlineStr">
        <is>
          <t>666</t>
        </is>
      </c>
    </row>
    <row r="3382">
      <c r="A3382" t="inlineStr">
        <is>
          <t>MODELO_VL - PROYECTO 62531 - FEBRERO.xlsx</t>
        </is>
      </c>
      <c r="B3382">
        <f>HYPERLINK("C:\Users\lmonroy\Tema\Vida Ley\MODELO_VL - PROYECTO 62531 - FEBRERO.xlsx", "Link")</f>
        <v/>
      </c>
      <c r="C3382" t="n">
        <v>49982</v>
      </c>
      <c r="D3382" t="inlineStr">
        <is>
          <t>2024-01-31 17:25:42</t>
        </is>
      </c>
      <c r="E3382" t="inlineStr">
        <is>
          <t>2024-01-31 17:25:41</t>
        </is>
      </c>
      <c r="F3382" t="inlineStr">
        <is>
          <t>666</t>
        </is>
      </c>
    </row>
    <row r="3383">
      <c r="A3383" t="inlineStr">
        <is>
          <t>MODELO_VL - PROYECTO 62531 - TUESTA ACHING.xlsx</t>
        </is>
      </c>
      <c r="B3383">
        <f>HYPERLINK("C:\Users\lmonroy\Tema\Vida Ley\MODELO_VL - PROYECTO 62531 - TUESTA ACHING.xlsx", "Link")</f>
        <v/>
      </c>
      <c r="C3383" t="n">
        <v>14211</v>
      </c>
      <c r="D3383" t="inlineStr">
        <is>
          <t>2024-02-03 07:02:09</t>
        </is>
      </c>
      <c r="E3383" t="inlineStr">
        <is>
          <t>2024-02-03 06:53:18</t>
        </is>
      </c>
      <c r="F3383" t="inlineStr">
        <is>
          <t>666</t>
        </is>
      </c>
    </row>
    <row r="3384">
      <c r="A3384" t="inlineStr">
        <is>
          <t>MODELO_VL -PAREJA DE LA CRUZ MONICA - 13-03-2024.xlsx</t>
        </is>
      </c>
      <c r="B3384">
        <f>HYPERLINK("C:\Users\lmonroy\Tema\Vida Ley\MODELO_VL -PAREJA DE LA CRUZ MONICA - 13-03-2024.xlsx", "Link")</f>
        <v/>
      </c>
      <c r="C3384" t="n">
        <v>14457</v>
      </c>
      <c r="D3384" t="inlineStr">
        <is>
          <t>2024-03-13 17:34:00</t>
        </is>
      </c>
      <c r="E3384" t="inlineStr">
        <is>
          <t>2024-03-13 17:33:40</t>
        </is>
      </c>
      <c r="F3384" t="inlineStr">
        <is>
          <t>666</t>
        </is>
      </c>
    </row>
    <row r="3385">
      <c r="A3385" t="inlineStr">
        <is>
          <t>MODELO_VL.xlsx</t>
        </is>
      </c>
      <c r="B3385">
        <f>HYPERLINK("C:\Users\lmonroy\Tema\Vida Ley\MODELO_VL.xlsx", "Link")</f>
        <v/>
      </c>
      <c r="C3385" t="n">
        <v>15300</v>
      </c>
      <c r="D3385" t="inlineStr">
        <is>
          <t>2024-02-21 09:02:30</t>
        </is>
      </c>
      <c r="E3385" t="inlineStr">
        <is>
          <t>2024-02-21 09:02:30</t>
        </is>
      </c>
      <c r="F3385" t="inlineStr">
        <is>
          <t>666</t>
        </is>
      </c>
    </row>
    <row r="3386">
      <c r="A3386" t="inlineStr">
        <is>
          <t>PLANTILLA_AGREGAR_TRABAJADORES - VL - 05-01-2024.xlsx</t>
        </is>
      </c>
      <c r="B3386">
        <f>HYPERLINK("C:\Users\lmonroy\Tema\Vida Ley\PLANTILLA_AGREGAR_TRABAJADORES - VL - 05-01-2024.xlsx", "Link")</f>
        <v/>
      </c>
      <c r="C3386" t="n">
        <v>14958</v>
      </c>
      <c r="D3386" t="inlineStr">
        <is>
          <t>2024-01-05 16:31:26</t>
        </is>
      </c>
      <c r="E3386" t="inlineStr">
        <is>
          <t>2024-01-05 16:31:25</t>
        </is>
      </c>
      <c r="F3386" t="inlineStr">
        <is>
          <t>666</t>
        </is>
      </c>
    </row>
    <row r="3387">
      <c r="A3387" t="inlineStr">
        <is>
          <t>PLANTILLA_AGREGAR_TRABAJADORES 05-01-2024.xlsx</t>
        </is>
      </c>
      <c r="B3387">
        <f>HYPERLINK("C:\Users\lmonroy\Tema\Vida Ley\PLANTILLA_AGREGAR_TRABAJADORES 05-01-2024.xlsx", "Link")</f>
        <v/>
      </c>
      <c r="C3387" t="n">
        <v>14959</v>
      </c>
      <c r="D3387" t="inlineStr">
        <is>
          <t>2024-01-05 16:27:03</t>
        </is>
      </c>
      <c r="E3387" t="inlineStr">
        <is>
          <t>2024-01-05 16:27:02</t>
        </is>
      </c>
      <c r="F3387" t="inlineStr">
        <is>
          <t>666</t>
        </is>
      </c>
    </row>
    <row r="3388">
      <c r="A3388" t="inlineStr">
        <is>
          <t>PLANTILLA_AGREGAR_TRABAJADORES MODELO_VL - 02 - 01 -2024.xlsx</t>
        </is>
      </c>
      <c r="B3388">
        <f>HYPERLINK("C:\Users\lmonroy\Tema\Vida Ley\PLANTILLA_AGREGAR_TRABAJADORES MODELO_VL - 02 - 01 -2024.xlsx", "Link")</f>
        <v/>
      </c>
      <c r="C3388" t="n">
        <v>15629</v>
      </c>
      <c r="D3388" t="inlineStr">
        <is>
          <t>2024-01-02 21:01:05</t>
        </is>
      </c>
      <c r="E3388" t="inlineStr">
        <is>
          <t>2024-01-02 21:01:04</t>
        </is>
      </c>
      <c r="F3388" t="inlineStr">
        <is>
          <t>666</t>
        </is>
      </c>
    </row>
    <row r="3389">
      <c r="A3389" t="inlineStr">
        <is>
          <t>PLANTILLA_AGREGAR_TRABAJADORES MODELO_VL - 03-01-2024.xlsx</t>
        </is>
      </c>
      <c r="B3389">
        <f>HYPERLINK("C:\Users\lmonroy\Tema\Vida Ley\PLANTILLA_AGREGAR_TRABAJADORES MODELO_VL - 03-01-2024.xlsx", "Link")</f>
        <v/>
      </c>
      <c r="C3389" t="n">
        <v>14767</v>
      </c>
      <c r="D3389" t="inlineStr">
        <is>
          <t>2024-01-03 18:21:02</t>
        </is>
      </c>
      <c r="E3389" t="inlineStr">
        <is>
          <t>2024-01-03 18:19:06</t>
        </is>
      </c>
      <c r="F3389" t="inlineStr">
        <is>
          <t>666</t>
        </is>
      </c>
    </row>
    <row r="3390">
      <c r="A3390" t="inlineStr">
        <is>
          <t>PLANTILLA_AGREGAR_TRABAJADORES MODELO_VL - 04-01-2024.xlsx</t>
        </is>
      </c>
      <c r="B3390">
        <f>HYPERLINK("C:\Users\lmonroy\Tema\Vida Ley\PLANTILLA_AGREGAR_TRABAJADORES MODELO_VL - 04-01-2024.xlsx", "Link")</f>
        <v/>
      </c>
      <c r="C3390" t="n">
        <v>14768</v>
      </c>
      <c r="D3390" t="inlineStr">
        <is>
          <t>2024-01-04 13:58:55</t>
        </is>
      </c>
      <c r="E3390" t="inlineStr">
        <is>
          <t>2024-01-04 13:58:54</t>
        </is>
      </c>
      <c r="F3390" t="inlineStr">
        <is>
          <t>666</t>
        </is>
      </c>
    </row>
    <row r="3391">
      <c r="A3391" t="inlineStr">
        <is>
          <t>PLANTILLA_AGREGAR_TRABAJADORES MODELO_VL - 26-DIC_62531.xlsx</t>
        </is>
      </c>
      <c r="B3391">
        <f>HYPERLINK("C:\Users\lmonroy\Tema\Vida Ley\PLANTILLA_AGREGAR_TRABAJADORES MODELO_VL - 26-DIC_62531.xlsx", "Link")</f>
        <v/>
      </c>
      <c r="C3391" t="n">
        <v>18521</v>
      </c>
      <c r="D3391" t="inlineStr">
        <is>
          <t>2023-12-27 11:28:14</t>
        </is>
      </c>
      <c r="E3391" t="inlineStr">
        <is>
          <t>2023-12-26 16:49:34</t>
        </is>
      </c>
      <c r="F3391" t="inlineStr">
        <is>
          <t>666</t>
        </is>
      </c>
    </row>
    <row r="3392">
      <c r="A3392" t="inlineStr">
        <is>
          <t>PLANTILLA_AGREGAR_TRABAJADORES MODELO_VL - 3_62531.xlsx</t>
        </is>
      </c>
      <c r="B3392">
        <f>HYPERLINK("C:\Users\lmonroy\Tema\Vida Ley\PLANTILLA_AGREGAR_TRABAJADORES MODELO_VL - 3_62531.xlsx", "Link")</f>
        <v/>
      </c>
      <c r="C3392" t="n">
        <v>30758</v>
      </c>
      <c r="D3392" t="inlineStr">
        <is>
          <t>2023-12-11 13:56:36</t>
        </is>
      </c>
      <c r="E3392" t="inlineStr">
        <is>
          <t>2023-12-11 13:53:58</t>
        </is>
      </c>
      <c r="F3392" t="inlineStr">
        <is>
          <t>666</t>
        </is>
      </c>
    </row>
    <row r="3393">
      <c r="A3393" t="inlineStr">
        <is>
          <t>PLANTILLA_AGREGAR_TRABAJADORES MODELO_VL - DIC_62531.xlsx</t>
        </is>
      </c>
      <c r="B3393">
        <f>HYPERLINK("C:\Users\lmonroy\Tema\Vida Ley\PLANTILLA_AGREGAR_TRABAJADORES MODELO_VL - DIC_62531.xlsx", "Link")</f>
        <v/>
      </c>
      <c r="C3393" t="n">
        <v>51414</v>
      </c>
      <c r="D3393" t="inlineStr">
        <is>
          <t>2023-12-12 15:41:13</t>
        </is>
      </c>
      <c r="E3393" t="inlineStr">
        <is>
          <t>2023-12-11 14:15:53</t>
        </is>
      </c>
      <c r="F3393" t="inlineStr">
        <is>
          <t>666</t>
        </is>
      </c>
    </row>
    <row r="3394">
      <c r="A3394" t="inlineStr">
        <is>
          <t>PLANTILLA_AGREGAR_TRABAJADORES MODELO_VL - DONAYRE.xlsx</t>
        </is>
      </c>
      <c r="B3394">
        <f>HYPERLINK("C:\Users\lmonroy\Tema\Vida Ley\PLANTILLA_AGREGAR_TRABAJADORES MODELO_VL - DONAYRE.xlsx", "Link")</f>
        <v/>
      </c>
      <c r="C3394" t="n">
        <v>14744</v>
      </c>
      <c r="D3394" t="inlineStr">
        <is>
          <t>2024-01-02 21:32:29</t>
        </is>
      </c>
      <c r="E3394" t="inlineStr">
        <is>
          <t>2024-01-02 21:32:28</t>
        </is>
      </c>
      <c r="F3394" t="inlineStr">
        <is>
          <t>666</t>
        </is>
      </c>
    </row>
    <row r="3395">
      <c r="A3395" t="inlineStr">
        <is>
          <t>PLANTILLA_AGREGAR_TRABAJADORES VL - 10-01-2024.xlsx</t>
        </is>
      </c>
      <c r="B3395">
        <f>HYPERLINK("C:\Users\lmonroy\Tema\Vida Ley\PLANTILLA_AGREGAR_TRABAJADORES VL - 10-01-2024.xlsx", "Link")</f>
        <v/>
      </c>
      <c r="C3395" t="n">
        <v>16169</v>
      </c>
      <c r="D3395" t="inlineStr">
        <is>
          <t>2024-01-10 13:32:05</t>
        </is>
      </c>
      <c r="E3395" t="inlineStr">
        <is>
          <t>2024-01-10 13:30:31</t>
        </is>
      </c>
      <c r="F3395" t="inlineStr">
        <is>
          <t>666</t>
        </is>
      </c>
    </row>
    <row r="3396">
      <c r="A3396" t="inlineStr">
        <is>
          <t>PLANTILLA_VL - 22-01-2024 - ADICIONAL - PROYECTO 62531.xlsx</t>
        </is>
      </c>
      <c r="B3396">
        <f>HYPERLINK("C:\Users\lmonroy\Tema\Vida Ley\PLANTILLA_VL - 22-01-2024 - ADICIONAL - PROYECTO 62531.xlsx", "Link")</f>
        <v/>
      </c>
      <c r="C3396" t="n">
        <v>14376</v>
      </c>
      <c r="D3396" t="inlineStr">
        <is>
          <t>2024-01-22 17:17:24</t>
        </is>
      </c>
      <c r="E3396" t="inlineStr">
        <is>
          <t>2024-01-22 17:17:23</t>
        </is>
      </c>
      <c r="F3396" t="inlineStr">
        <is>
          <t>666</t>
        </is>
      </c>
    </row>
    <row r="3397">
      <c r="A3397" t="inlineStr">
        <is>
          <t>PLANTILLA_VL - 22-01-2024 - PROYECTO 62531.xlsx</t>
        </is>
      </c>
      <c r="B3397">
        <f>HYPERLINK("C:\Users\lmonroy\Tema\Vida Ley\PLANTILLA_VL - 22-01-2024 - PROYECTO 62531.xlsx", "Link")</f>
        <v/>
      </c>
      <c r="C3397" t="n">
        <v>14608</v>
      </c>
      <c r="D3397" t="inlineStr">
        <is>
          <t>2024-01-22 12:58:15</t>
        </is>
      </c>
      <c r="E3397" t="inlineStr">
        <is>
          <t>2024-01-22 12:50:01</t>
        </is>
      </c>
      <c r="F3397" t="inlineStr">
        <is>
          <t>666</t>
        </is>
      </c>
    </row>
    <row r="3398">
      <c r="A3398" t="inlineStr">
        <is>
          <t>VIDA LEY FEBRERO.xlsm</t>
        </is>
      </c>
      <c r="B3398">
        <f>HYPERLINK("C:\Users\lmonroy\Tema\Vida Ley\VIDA LEY FEBRERO.xlsm", "Link")</f>
        <v/>
      </c>
      <c r="C3398" t="n">
        <v>237480</v>
      </c>
      <c r="D3398" t="inlineStr">
        <is>
          <t>2024-01-31 17:35:41</t>
        </is>
      </c>
      <c r="E3398" t="inlineStr">
        <is>
          <t>2024-01-31 16:46:05</t>
        </is>
      </c>
      <c r="F3398" t="inlineStr">
        <is>
          <t>666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2024-05-16T16:14:46Z</dcterms:created>
  <dcterms:modified xsi:type="dcterms:W3CDTF">2024-05-16T16:14:46Z</dcterms:modified>
</cp:coreProperties>
</file>