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trlProps/ctrlProp20.xml" ContentType="application/vnd.ms-excel.controlproperties+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Chuchin/Documents/Uni/8 Semestre/Seguridad/Activities/activity1/"/>
    </mc:Choice>
  </mc:AlternateContent>
  <xr:revisionPtr revIDLastSave="0" documentId="13_ncr:1_{92E8D409-F6F4-9444-A851-A83FC3E76A02}" xr6:coauthVersionLast="46" xr6:coauthVersionMax="46" xr10:uidLastSave="{00000000-0000-0000-0000-000000000000}"/>
  <bookViews>
    <workbookView showHorizontalScroll="0" showVerticalScroll="0" showSheetTabs="0" xWindow="44420" yWindow="0" windowWidth="19580" windowHeight="21600" tabRatio="500" activeTab="2" xr2:uid="{00000000-000D-0000-FFFF-FFFF00000000}"/>
  </bookViews>
  <sheets>
    <sheet name="About" sheetId="17" r:id="rId1"/>
    <sheet name="Risk" sheetId="16" r:id="rId2"/>
    <sheet name="Loss Event Frequency" sheetId="4" r:id="rId3"/>
    <sheet name="Loss Magnitude" sheetId="15" r:id="rId4"/>
    <sheet name="Current_Calc" sheetId="1" state="hidden" r:id="rId5"/>
    <sheet name="Proposed_Calc" sheetId="8" state="hidden" r:id="rId6"/>
    <sheet name="Vulnerability" sheetId="6" state="hidden" r:id="rId7"/>
    <sheet name="SUMS of IID Triangles" sheetId="7" state="hidden" r:id="rId8"/>
    <sheet name="PMTable" sheetId="11" state="hidden" r:id="rId9"/>
    <sheet name="SIPmath Chart Data" sheetId="12" state="hidden" r:id="rId10"/>
    <sheet name="Guide 1" sheetId="18" r:id="rId11"/>
    <sheet name="Guide 2" sheetId="19" r:id="rId12"/>
    <sheet name="Guide 3" sheetId="21" r:id="rId13"/>
  </sheets>
  <definedNames>
    <definedName name="About">About!$A$1</definedName>
    <definedName name="Current_Loss_Events">PMTable!$E$4:$E$103</definedName>
    <definedName name="Current_Toggle">OFFSET( 'SIPmath Chart Data'!$B$116, 0, IF( PM_Toggle, 2, 0 ), IF( PM_Toggle, 'SIPmath Chart Data'!$D$6, 'SIPmath Chart Data'!$B$6 ))</definedName>
    <definedName name="Current_X_Toggle">OFFSET( 'SIPmath Chart Data'!$B$322:$B$426, 0, IF( PM_Toggle, 2, 0 ))</definedName>
    <definedName name="Guide2">'Guide 2'!$A$1</definedName>
    <definedName name="Guide3">'Guide 3'!$A$1</definedName>
    <definedName name="Home">Risk!$A$1</definedName>
    <definedName name="Intro">'Guide 1'!$A$1</definedName>
    <definedName name="Labels_Toggle">OFFSET( 'SIPmath Chart Data'!$B$219:$B$320, 0, IF( PM_Toggle, 2, 0 ), IF( PM_Toggle, 'SIPmath Chart Data'!$D$6, 'SIPmath Chart Data'!$B$6 ))</definedName>
    <definedName name="Labels_Toggle_Backup">OFFSET( 'SIPmath Chart Data'!$B$219:$B$320, 0, IF( PM_Toggle, 3, 0 ), 'SIPmath Chart Data'!$B$6 )</definedName>
    <definedName name="LEF">'Loss Event Frequency'!$BV$3</definedName>
    <definedName name="LEF_Home">'Loss Event Frequency'!$A$1</definedName>
    <definedName name="LEF_TEF">'Loss Event Frequency'!$BV$4</definedName>
    <definedName name="LEF_VUL">'Loss Event Frequency'!$BV$5</definedName>
    <definedName name="LM_Home">'Loss Magnitude'!$A$1</definedName>
    <definedName name="LM_TOP">'Loss Magnitude'!$BG$12</definedName>
    <definedName name="Mag_Event">'SIPmath Chart Data'!$AB$2</definedName>
    <definedName name="Metric">'SIPmath Chart Data'!$AA$5</definedName>
    <definedName name="PM_1.66">{-1,0,1,2,3,4,5,6,7,8,9,10,11,12,13,14,15,16,17,18,19,20,21,22,23,24,25,26,27,28,29,30,31,32,33,34,35,36,37,38,39,40,41,42,43,44,45,46,47,48,49,50,51,52,53,54,55,56,57,58,59,60,61,62,63,64}</definedName>
    <definedName name="PM_A_GT_B_axis_lbls" localSheetId="5" xml:space="preserve"> OFFSET(#REF!, 0, 0,#REF! )</definedName>
    <definedName name="PM_A_GT_B_bins" localSheetId="5">#REF!</definedName>
    <definedName name="PM_A_GT_B_freq" localSheetId="5">#REF!</definedName>
    <definedName name="PM_A_GT_B_hist_data" localSheetId="5" xml:space="preserve"> OFFSET(#REF!, 0, 0,#REF! )</definedName>
    <definedName name="PM_A_GT_B_lbls" localSheetId="5">#REF!</definedName>
    <definedName name="PM_cdf_Y">'SIPmath Chart Data'!$A$322:$A$426</definedName>
    <definedName name="PM_Current_Loss_Events_axis_lbls">OFFSET( 'SIPmath Chart Data'!$D$219:$D$320, 0, 0, 'SIPmath Chart Data'!$D$6 )</definedName>
    <definedName name="PM_Current_Loss_Events_bins">'SIPmath Chart Data'!$D$14:$D$114</definedName>
    <definedName name="PM_Current_Loss_Events_cdf_X">'SIPmath Chart Data'!$D$322:$D$426</definedName>
    <definedName name="PM_Current_Loss_Events_freq">'SIPmath Chart Data'!$D$116:$D$217</definedName>
    <definedName name="PM_Current_Loss_Events_hist_data">OFFSET( 'SIPmath Chart Data'!$D$116:$D$217, 0, 0, 'SIPmath Chart Data'!$D$6 )</definedName>
    <definedName name="PM_Current_Loss_Events_lbls">'SIPmath Chart Data'!$D$219:$D$320</definedName>
    <definedName name="PM_DfltBins">10</definedName>
    <definedName name="PM_Index">PMTable!$A$1</definedName>
    <definedName name="PM_InitialVariableID" localSheetId="6">4633297</definedName>
    <definedName name="PM_InitialVariableID">7055485</definedName>
    <definedName name="PM_library_file_name">"FAIR Model v8.1.xlsx"</definedName>
    <definedName name="PM_library_file_path">"C:\Users\Sam Savage\Documents\FAIR"</definedName>
    <definedName name="PM_local_library">TRUE</definedName>
    <definedName name="PM_MaxBins">100</definedName>
    <definedName name="PM_Primary_axis_lbls" localSheetId="5" xml:space="preserve"> OFFSET(#REF!, 0, 0,#REF! )</definedName>
    <definedName name="PM_Primary_bins" localSheetId="5">#REF!</definedName>
    <definedName name="PM_Primary_freq" localSheetId="5">#REF!</definedName>
    <definedName name="PM_Primary_hist_data" localSheetId="5" xml:space="preserve"> OFFSET(#REF!, 0, 0,#REF! )</definedName>
    <definedName name="PM_Primary_lbls" localSheetId="5">#REF!</definedName>
    <definedName name="PM_Proposed_Loss_Events_axis_lbls">OFFSET( 'SIPmath Chart Data'!$E$219:$E$320, 0, 0, 'SIPmath Chart Data'!$E$6 )</definedName>
    <definedName name="PM_Proposed_Loss_Events_bins">'SIPmath Chart Data'!$E$14:$E$114</definedName>
    <definedName name="PM_Proposed_Loss_Events_cdf_X">'SIPmath Chart Data'!$E$322:$E$426</definedName>
    <definedName name="PM_Proposed_Loss_Events_freq">'SIPmath Chart Data'!$E$116:$E$217</definedName>
    <definedName name="PM_Proposed_Loss_Events_hist_data">OFFSET( 'SIPmath Chart Data'!$E$116:$E$217, 0, 0, 'SIPmath Chart Data'!$E$6 )</definedName>
    <definedName name="PM_Proposed_Loss_Events_lbls">'SIPmath Chart Data'!$E$219:$E$320</definedName>
    <definedName name="PM_random_mode">TRUE</definedName>
    <definedName name="PM_Risk_axis_lbls">OFFSET( 'SIPmath Chart Data'!$B$219:$B$320, 0, 0, 'SIPmath Chart Data'!$B$6 )</definedName>
    <definedName name="PM_Risk_bins">'SIPmath Chart Data'!$B$14:$B$114</definedName>
    <definedName name="PM_Risk_cdf_X">'SIPmath Chart Data'!$B$322:$B$426</definedName>
    <definedName name="PM_Risk_freq">'SIPmath Chart Data'!$B$116:$B$217</definedName>
    <definedName name="PM_Risk_hist_data">OFFSET( 'SIPmath Chart Data'!$B$116:$B$217, 0, 0, 'SIPmath Chart Data'!$B$6 )</definedName>
    <definedName name="PM_Risk_lbls">'SIPmath Chart Data'!$B$219:$B$320</definedName>
    <definedName name="PM_Secondary_axis_lbls" localSheetId="5" xml:space="preserve"> OFFSET(#REF!, 0, 0,#REF! )</definedName>
    <definedName name="PM_Secondary_bins" localSheetId="5">#REF!</definedName>
    <definedName name="PM_Secondary_freq" localSheetId="5">#REF!</definedName>
    <definedName name="PM_Secondary_hist_data" localSheetId="5" xml:space="preserve"> OFFSET(#REF!, 0, 0,#REF! )</definedName>
    <definedName name="PM_Secondary_lbls" localSheetId="5">#REF!</definedName>
    <definedName name="PM_sparklinesForInputs" hidden="1">TRUE</definedName>
    <definedName name="PM_sparklinesForOutputs" hidden="1">TRUE</definedName>
    <definedName name="PM_sparklinesIONumberOfBins" hidden="1">10</definedName>
    <definedName name="PM_Toggle">'SIPmath Chart Data'!$T$2</definedName>
    <definedName name="PM_Total_Risk_axis_lbls" localSheetId="5" xml:space="preserve"> OFFSET(#REF!, 0, 0,#REF! )</definedName>
    <definedName name="PM_Total_Risk_bins" localSheetId="5">#REF!</definedName>
    <definedName name="PM_Total_Risk_cdf_X" localSheetId="5">#REF!</definedName>
    <definedName name="PM_Total_Risk_freq" localSheetId="5">#REF!</definedName>
    <definedName name="PM_Total_Risk_hist_data" localSheetId="5" xml:space="preserve"> OFFSET(#REF!, 0, 0,#REF! )</definedName>
    <definedName name="PM_Total_Risk_lbls" localSheetId="5">#REF!</definedName>
    <definedName name="PM_Trials" localSheetId="6">10000</definedName>
    <definedName name="PM_Trials">100</definedName>
    <definedName name="PM_What_If_axis_lbls">OFFSET( 'SIPmath Chart Data'!$C$219:$C$320, 0, 0, 'SIPmath Chart Data'!$C$6 )</definedName>
    <definedName name="PM_What_If_bins">'SIPmath Chart Data'!$C$14:$C$114</definedName>
    <definedName name="PM_What_If_cdf_X">'SIPmath Chart Data'!$C$322:$C$426</definedName>
    <definedName name="PM_What_If_freq">'SIPmath Chart Data'!$C$116:$C$217</definedName>
    <definedName name="PM_What_If_hist_data">OFFSET( 'SIPmath Chart Data'!$C$116:$C$217, 0, 0, 'SIPmath Chart Data'!$C$6 )</definedName>
    <definedName name="PM_What_If_lbls">'SIPmath Chart Data'!$C$219:$C$320</definedName>
    <definedName name="Proposed_Loss_Events">PMTable!$F$4:$F$103</definedName>
    <definedName name="Proposed_Toggle">OFFSET( 'SIPmath Chart Data'!$C$116, 0, IF( PM_Toggle, 2, 0 ), IF( PM_Toggle, 'SIPmath Chart Data'!$E$6, 'SIPmath Chart Data'!$C$6 ))</definedName>
    <definedName name="Proposed_X_Toggle">OFFSET( 'SIPmath Chart Data'!$C$322:$C$426, 0, IF( PM_Toggle, 2, 0 ))</definedName>
    <definedName name="Risk">PMTable!$C$4:$C$103</definedName>
    <definedName name="TEF_CF">'Loss Event Frequency'!$BV$6</definedName>
    <definedName name="TEF_PoA">'Loss Event Frequency'!$BV$7</definedName>
    <definedName name="Unmitigated_Total">#REF!</definedName>
    <definedName name="Vul_RS">'Loss Event Frequency'!$BV$9</definedName>
    <definedName name="Vul_TC">'Loss Event Frequency'!$BV$8</definedName>
    <definedName name="What_If">PMTable!$D$4:$D$103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6" i="7" l="1"/>
  <c r="M58" i="7" a="1"/>
  <c r="R58" i="7" s="1"/>
  <c r="M57" i="7" a="1"/>
  <c r="U57" i="7" s="1"/>
  <c r="D13" i="12"/>
  <c r="D6" i="12"/>
  <c r="E6" i="12" s="1"/>
  <c r="AW23" i="15"/>
  <c r="AW22" i="15"/>
  <c r="Y22" i="15" s="1"/>
  <c r="AV23" i="15"/>
  <c r="AV22" i="15"/>
  <c r="X22" i="15" s="1"/>
  <c r="AW17" i="15"/>
  <c r="AV17" i="15"/>
  <c r="AW16" i="15"/>
  <c r="Y16" i="15" s="1"/>
  <c r="AV16" i="15"/>
  <c r="X16" i="15" s="1"/>
  <c r="AW12" i="15"/>
  <c r="AV12" i="15"/>
  <c r="AW11" i="15"/>
  <c r="Y11" i="15" s="1"/>
  <c r="AV11" i="15"/>
  <c r="AW7" i="15"/>
  <c r="BB23" i="4"/>
  <c r="BA23" i="4"/>
  <c r="BB22" i="4"/>
  <c r="AD22" i="4" s="1"/>
  <c r="BA22" i="4"/>
  <c r="AC22" i="4" s="1"/>
  <c r="BB17" i="4"/>
  <c r="BA17" i="4"/>
  <c r="BB16" i="4"/>
  <c r="AD16" i="4" s="1"/>
  <c r="BA16" i="4"/>
  <c r="AC16" i="4" s="1"/>
  <c r="BB12" i="4"/>
  <c r="BA12" i="4"/>
  <c r="BB11" i="4"/>
  <c r="AD11" i="4" s="1"/>
  <c r="BA11" i="4"/>
  <c r="AC11" i="4" s="1"/>
  <c r="BB7" i="4"/>
  <c r="AY24" i="16"/>
  <c r="AX24" i="16"/>
  <c r="AY23" i="16"/>
  <c r="N22" i="16" s="1"/>
  <c r="AX23" i="16"/>
  <c r="AY18" i="16"/>
  <c r="AX18" i="16"/>
  <c r="AY17" i="16"/>
  <c r="N16" i="16" s="1"/>
  <c r="AX17" i="16"/>
  <c r="M16" i="16" s="1"/>
  <c r="AY13" i="16"/>
  <c r="AX13" i="16"/>
  <c r="AY12" i="16"/>
  <c r="N11" i="16" s="1"/>
  <c r="AX12" i="16"/>
  <c r="AA5" i="12"/>
  <c r="M3" i="12" s="1"/>
  <c r="K26" i="16"/>
  <c r="Z26" i="4"/>
  <c r="U26" i="15"/>
  <c r="B8" i="12" s="1"/>
  <c r="S26" i="15"/>
  <c r="B6" i="12" s="1"/>
  <c r="C6" i="12" s="1"/>
  <c r="X26" i="4"/>
  <c r="Z26" i="15"/>
  <c r="P26" i="16"/>
  <c r="AB15" i="12"/>
  <c r="X2" i="12"/>
  <c r="T2" i="12"/>
  <c r="L27" i="8"/>
  <c r="L28" i="8"/>
  <c r="L29" i="8"/>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M27" i="16"/>
  <c r="AB27" i="4"/>
  <c r="BV7" i="4"/>
  <c r="BV9" i="4"/>
  <c r="BV4" i="4"/>
  <c r="BV5" i="4" s="1"/>
  <c r="I3" i="4" s="1"/>
  <c r="BJ7" i="15"/>
  <c r="BI3" i="4"/>
  <c r="BG3" i="4"/>
  <c r="BH3" i="4"/>
  <c r="E46" i="7"/>
  <c r="W27" i="15"/>
  <c r="E8" i="6"/>
  <c r="E9" i="6"/>
  <c r="D9" i="6"/>
  <c r="Y21" i="6" s="1"/>
  <c r="D8" i="6"/>
  <c r="E10" i="6"/>
  <c r="D10" i="6"/>
  <c r="E13" i="12"/>
  <c r="E12" i="12"/>
  <c r="E2" i="12"/>
  <c r="E3" i="12" s="1"/>
  <c r="D12" i="12"/>
  <c r="D2" i="12"/>
  <c r="D3" i="12" s="1"/>
  <c r="BA1" i="15"/>
  <c r="BK7" i="15"/>
  <c r="I26" i="16"/>
  <c r="C13" i="12"/>
  <c r="AC4" i="4"/>
  <c r="X4" i="15"/>
  <c r="K12" i="8"/>
  <c r="K19" i="8" s="1"/>
  <c r="K24" i="8" s="1"/>
  <c r="AD12" i="8"/>
  <c r="BL44" i="15"/>
  <c r="D40" i="7"/>
  <c r="BK44" i="15"/>
  <c r="C40" i="7"/>
  <c r="BM44" i="15"/>
  <c r="E40" i="7" s="1"/>
  <c r="BM43" i="15"/>
  <c r="E39" i="7" s="1"/>
  <c r="AB21" i="1"/>
  <c r="AB21" i="8" s="1"/>
  <c r="AB24" i="1"/>
  <c r="AB24" i="8"/>
  <c r="AB25" i="1"/>
  <c r="AB25" i="8" s="1"/>
  <c r="I13" i="1"/>
  <c r="I13" i="8" s="1"/>
  <c r="I20" i="1"/>
  <c r="I20" i="8" s="1"/>
  <c r="I21" i="1"/>
  <c r="I21" i="8" s="1"/>
  <c r="I22" i="1"/>
  <c r="I22" i="8" s="1"/>
  <c r="I23" i="1"/>
  <c r="I23" i="8" s="1"/>
  <c r="I24" i="1"/>
  <c r="I24" i="8" s="1"/>
  <c r="I25" i="1"/>
  <c r="I25" i="8" s="1"/>
  <c r="BD44" i="15"/>
  <c r="C34" i="7" s="1"/>
  <c r="BE44" i="15"/>
  <c r="D34" i="7" s="1"/>
  <c r="BF44" i="15"/>
  <c r="E34" i="7" s="1"/>
  <c r="BD45" i="15"/>
  <c r="C35" i="7" s="1"/>
  <c r="BE45" i="15"/>
  <c r="D35" i="7" s="1"/>
  <c r="BF45" i="15"/>
  <c r="E35" i="7" s="1"/>
  <c r="BF46" i="15"/>
  <c r="E36" i="7" s="1"/>
  <c r="BE46" i="15"/>
  <c r="D36" i="7" s="1"/>
  <c r="BD46" i="15"/>
  <c r="C36" i="7" s="1"/>
  <c r="BD47" i="15"/>
  <c r="C37" i="7" s="1"/>
  <c r="BE47" i="15"/>
  <c r="D37" i="7"/>
  <c r="BF47" i="15"/>
  <c r="E37" i="7" s="1"/>
  <c r="BF48" i="15"/>
  <c r="E38" i="7" s="1"/>
  <c r="BE48" i="15"/>
  <c r="D38" i="7" s="1"/>
  <c r="BD48" i="15"/>
  <c r="C38" i="7" s="1"/>
  <c r="BE43" i="15"/>
  <c r="D33" i="7" s="1"/>
  <c r="BF43" i="15"/>
  <c r="E33" i="7" s="1"/>
  <c r="BD43" i="15"/>
  <c r="C33" i="7" s="1"/>
  <c r="K12" i="1"/>
  <c r="K20" i="1"/>
  <c r="C46" i="7"/>
  <c r="D46" i="7"/>
  <c r="AD12" i="1"/>
  <c r="D28" i="7"/>
  <c r="C28" i="7"/>
  <c r="E28" i="7"/>
  <c r="C32" i="7"/>
  <c r="D32" i="7"/>
  <c r="E32" i="7"/>
  <c r="E27" i="7"/>
  <c r="AB20" i="1"/>
  <c r="AB20" i="8" s="1"/>
  <c r="AB22" i="1"/>
  <c r="AB22" i="8" s="1"/>
  <c r="AB23" i="1"/>
  <c r="AB23" i="8" s="1"/>
  <c r="D22" i="7"/>
  <c r="E22" i="7"/>
  <c r="C22" i="7"/>
  <c r="C23" i="7"/>
  <c r="E23" i="7"/>
  <c r="D23" i="7"/>
  <c r="C24" i="7"/>
  <c r="E24" i="7"/>
  <c r="D24" i="7"/>
  <c r="C25" i="7"/>
  <c r="E25" i="7"/>
  <c r="D25" i="7"/>
  <c r="C26" i="7"/>
  <c r="E26" i="7"/>
  <c r="D26" i="7"/>
  <c r="D21" i="7"/>
  <c r="C21" i="7"/>
  <c r="E21" i="7"/>
  <c r="D45" i="7"/>
  <c r="E45" i="7"/>
  <c r="C45" i="7"/>
  <c r="E31" i="7"/>
  <c r="D31" i="7"/>
  <c r="C31" i="7"/>
  <c r="BI14" i="15"/>
  <c r="BJ14" i="15"/>
  <c r="BK43" i="15"/>
  <c r="C39" i="7"/>
  <c r="BL43" i="15"/>
  <c r="D39" i="7" s="1"/>
  <c r="BM47" i="15"/>
  <c r="E43" i="7" s="1"/>
  <c r="BL47" i="15"/>
  <c r="D43" i="7" s="1"/>
  <c r="BK47" i="15"/>
  <c r="C43" i="7" s="1"/>
  <c r="BK48" i="15"/>
  <c r="C44" i="7" s="1"/>
  <c r="BL48" i="15"/>
  <c r="D44" i="7" s="1"/>
  <c r="BM48" i="15"/>
  <c r="E44" i="7" s="1"/>
  <c r="N4" i="16"/>
  <c r="BI4" i="4"/>
  <c r="BG4" i="4"/>
  <c r="BH4" i="4"/>
  <c r="BC19" i="4"/>
  <c r="BE19" i="4"/>
  <c r="BN3" i="4"/>
  <c r="BO3" i="4"/>
  <c r="BL19" i="4"/>
  <c r="E17" i="6"/>
  <c r="BL18" i="4"/>
  <c r="E16" i="6"/>
  <c r="BL17" i="4"/>
  <c r="E15" i="6" s="1"/>
  <c r="BI17" i="4"/>
  <c r="D15" i="6" s="1"/>
  <c r="BI18" i="4"/>
  <c r="D16" i="6"/>
  <c r="BI19" i="4"/>
  <c r="D17" i="6"/>
  <c r="BL45" i="15"/>
  <c r="D41" i="7" s="1"/>
  <c r="BK45" i="15"/>
  <c r="C41" i="7" s="1"/>
  <c r="BM45" i="15"/>
  <c r="E41" i="7"/>
  <c r="BL46" i="15"/>
  <c r="D42" i="7" s="1"/>
  <c r="BK46" i="15"/>
  <c r="C42" i="7" s="1"/>
  <c r="BM46" i="15"/>
  <c r="E42" i="7" s="1"/>
  <c r="D27" i="7"/>
  <c r="C27" i="7"/>
  <c r="D29" i="7"/>
  <c r="C29" i="7"/>
  <c r="E29" i="7"/>
  <c r="D30" i="7"/>
  <c r="C30" i="7"/>
  <c r="E30" i="7"/>
  <c r="C7" i="12"/>
  <c r="BC17" i="4"/>
  <c r="BH14" i="15"/>
  <c r="BE17" i="4"/>
  <c r="BE18" i="4"/>
  <c r="BM3" i="4"/>
  <c r="BC18" i="4"/>
  <c r="BE14" i="4"/>
  <c r="BF14" i="4"/>
  <c r="H3" i="15"/>
  <c r="M10" i="4"/>
  <c r="F10" i="4"/>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B347" i="12"/>
  <c r="B348" i="12"/>
  <c r="B349" i="12"/>
  <c r="B350" i="12"/>
  <c r="B351" i="12"/>
  <c r="B352" i="12"/>
  <c r="B353" i="12"/>
  <c r="B354" i="12"/>
  <c r="B355" i="12"/>
  <c r="B356" i="12"/>
  <c r="B357" i="12"/>
  <c r="B358" i="12"/>
  <c r="B359" i="12"/>
  <c r="B360" i="12"/>
  <c r="B361" i="12"/>
  <c r="B362" i="12"/>
  <c r="B363" i="12"/>
  <c r="B364" i="12"/>
  <c r="B365" i="12"/>
  <c r="B366" i="12"/>
  <c r="B367" i="12"/>
  <c r="B368" i="12"/>
  <c r="B369" i="12"/>
  <c r="B370" i="12"/>
  <c r="B371" i="12"/>
  <c r="B372" i="12"/>
  <c r="B373" i="12"/>
  <c r="B374" i="12"/>
  <c r="B375" i="12"/>
  <c r="B376" i="12"/>
  <c r="B377" i="12"/>
  <c r="B378" i="12"/>
  <c r="B379" i="12"/>
  <c r="B380" i="12"/>
  <c r="B381" i="12"/>
  <c r="B382" i="12"/>
  <c r="B383" i="12"/>
  <c r="B384" i="12"/>
  <c r="B385" i="12"/>
  <c r="B386" i="12"/>
  <c r="B387" i="12"/>
  <c r="B388" i="12"/>
  <c r="B389" i="12"/>
  <c r="B390" i="12"/>
  <c r="B391" i="12"/>
  <c r="B392" i="12"/>
  <c r="B393" i="12"/>
  <c r="B394" i="12"/>
  <c r="B395" i="12"/>
  <c r="B396" i="12"/>
  <c r="B397" i="12"/>
  <c r="B398" i="12"/>
  <c r="B399" i="12"/>
  <c r="B400" i="12"/>
  <c r="B401" i="12"/>
  <c r="B402" i="12"/>
  <c r="B403" i="12"/>
  <c r="B404" i="12"/>
  <c r="B405" i="12"/>
  <c r="B406" i="12"/>
  <c r="B407" i="12"/>
  <c r="B408" i="12"/>
  <c r="B409" i="12"/>
  <c r="B410" i="12"/>
  <c r="B411" i="12"/>
  <c r="B412" i="12"/>
  <c r="B413" i="12"/>
  <c r="B414" i="12"/>
  <c r="B415" i="12"/>
  <c r="B416" i="12"/>
  <c r="B417" i="12"/>
  <c r="B418" i="12"/>
  <c r="B419" i="12"/>
  <c r="B420" i="12"/>
  <c r="B421" i="12"/>
  <c r="B422" i="12"/>
  <c r="B423" i="12"/>
  <c r="B424" i="12"/>
  <c r="B425" i="12"/>
  <c r="B426" i="12"/>
  <c r="Z34" i="7"/>
  <c r="AA34" i="7"/>
  <c r="AB34" i="7"/>
  <c r="AC34" i="7" s="1"/>
  <c r="AD34" i="7" s="1"/>
  <c r="AE34" i="7" s="1"/>
  <c r="AF34" i="7" s="1"/>
  <c r="AG34" i="7" s="1"/>
  <c r="AH34" i="7" s="1"/>
  <c r="AI34" i="7" s="1"/>
  <c r="AJ34" i="7" s="1"/>
  <c r="AK34" i="7" s="1"/>
  <c r="AL34" i="7" s="1"/>
  <c r="AM34" i="7" s="1"/>
  <c r="AN34" i="7" s="1"/>
  <c r="AO34" i="7" s="1"/>
  <c r="AP34" i="7" s="1"/>
  <c r="AQ34" i="7" s="1"/>
  <c r="AR34" i="7" s="1"/>
  <c r="AS34" i="7" s="1"/>
  <c r="AT34" i="7" s="1"/>
  <c r="AU34" i="7" s="1"/>
  <c r="AV34" i="7" s="1"/>
  <c r="AW34" i="7" s="1"/>
  <c r="AX34" i="7" s="1"/>
  <c r="AY34" i="7" s="1"/>
  <c r="C12" i="12"/>
  <c r="C2" i="12"/>
  <c r="C3" i="12" s="1"/>
  <c r="B12" i="12"/>
  <c r="B2" i="12"/>
  <c r="B3" i="12" s="1"/>
  <c r="W139" i="7"/>
  <c r="W130" i="7"/>
  <c r="W121" i="7"/>
  <c r="W112" i="7"/>
  <c r="W103" i="7"/>
  <c r="W94" i="7"/>
  <c r="W85" i="7"/>
  <c r="W76" i="7"/>
  <c r="W67" i="7"/>
  <c r="W58" i="7"/>
  <c r="W49" i="7"/>
  <c r="W40" i="7"/>
  <c r="L13" i="1"/>
  <c r="S19" i="6"/>
  <c r="Z10" i="6"/>
  <c r="Q19" i="6"/>
  <c r="L20" i="8"/>
  <c r="O21" i="6"/>
  <c r="AA12" i="6"/>
  <c r="AD17" i="6"/>
  <c r="V13" i="6"/>
  <c r="Q13" i="6"/>
  <c r="T9" i="6"/>
  <c r="L13" i="8"/>
  <c r="L19" i="6"/>
  <c r="AD15" i="12"/>
  <c r="Q22" i="6"/>
  <c r="S17" i="6"/>
  <c r="N15" i="6"/>
  <c r="M22" i="16"/>
  <c r="M11" i="16"/>
  <c r="U31" i="6"/>
  <c r="O31" i="6"/>
  <c r="Y36" i="6"/>
  <c r="Q31" i="6"/>
  <c r="R35" i="6"/>
  <c r="P50" i="6"/>
  <c r="AE47" i="6"/>
  <c r="L34" i="6"/>
  <c r="X39" i="6"/>
  <c r="AE45" i="6"/>
  <c r="Y50" i="6"/>
  <c r="Y31" i="6"/>
  <c r="X42" i="6"/>
  <c r="AF31" i="6"/>
  <c r="Y37" i="6"/>
  <c r="AF50" i="6"/>
  <c r="Z48" i="6"/>
  <c r="T32" i="6"/>
  <c r="AC37" i="6"/>
  <c r="V50" i="6"/>
  <c r="T51" i="6"/>
  <c r="Q33" i="6"/>
  <c r="AD34" i="6"/>
  <c r="T35" i="6"/>
  <c r="T50" i="6"/>
  <c r="AE31" i="6"/>
  <c r="N46" i="6"/>
  <c r="R49" i="6"/>
  <c r="P32" i="6"/>
  <c r="Q46" i="6"/>
  <c r="AB33" i="6"/>
  <c r="AC51" i="6"/>
  <c r="X38" i="6"/>
  <c r="X35" i="6"/>
  <c r="W46" i="6"/>
  <c r="Z42" i="6"/>
  <c r="AB31" i="6"/>
  <c r="R44" i="6"/>
  <c r="AC42" i="6"/>
  <c r="AA42" i="6"/>
  <c r="T33" i="6"/>
  <c r="Z50" i="6"/>
  <c r="M46" i="6"/>
  <c r="S41" i="6"/>
  <c r="T45" i="6"/>
  <c r="AF46" i="6"/>
  <c r="AD40" i="6"/>
  <c r="N47" i="6"/>
  <c r="W49" i="6"/>
  <c r="U39" i="6"/>
  <c r="O51" i="6"/>
  <c r="R33" i="6"/>
  <c r="AE37" i="6"/>
  <c r="AF41" i="6"/>
  <c r="L38" i="6"/>
  <c r="X11" i="15"/>
  <c r="R1" i="15"/>
  <c r="W1" i="4"/>
  <c r="Z2" i="12"/>
  <c r="R2" i="15" s="1"/>
  <c r="W2" i="4" s="1"/>
  <c r="L20" i="1"/>
  <c r="L17" i="1" s="1"/>
  <c r="K24" i="1"/>
  <c r="L26" i="1" s="1"/>
  <c r="L22" i="1" s="1"/>
  <c r="V46" i="6"/>
  <c r="AC35" i="6"/>
  <c r="AF42" i="6"/>
  <c r="AE35" i="6"/>
  <c r="Y48" i="6"/>
  <c r="V38" i="6"/>
  <c r="O40" i="6"/>
  <c r="P37" i="6"/>
  <c r="AE33" i="6"/>
  <c r="Y45" i="6"/>
  <c r="AB38" i="6"/>
  <c r="AB49" i="6"/>
  <c r="L41" i="6"/>
  <c r="R47" i="6"/>
  <c r="R41" i="6"/>
  <c r="U41" i="6"/>
  <c r="V34" i="6"/>
  <c r="Q32" i="6"/>
  <c r="O43" i="6"/>
  <c r="Q34" i="6"/>
  <c r="AC31" i="6"/>
  <c r="AD35" i="6"/>
  <c r="AB50" i="6"/>
  <c r="N43" i="6"/>
  <c r="AF43" i="6"/>
  <c r="Y34" i="6"/>
  <c r="S36" i="6"/>
  <c r="Y49" i="6"/>
  <c r="Q21" i="6"/>
  <c r="V7" i="6"/>
  <c r="X10" i="6"/>
  <c r="P12" i="6"/>
  <c r="AE16" i="6"/>
  <c r="X20" i="6"/>
  <c r="AA22" i="6"/>
  <c r="AA24" i="6"/>
  <c r="N9" i="6"/>
  <c r="U11" i="6"/>
  <c r="S15" i="6"/>
  <c r="AF16" i="6"/>
  <c r="N22" i="6"/>
  <c r="O24" i="6"/>
  <c r="AC6" i="6"/>
  <c r="T8" i="6"/>
  <c r="M13" i="6"/>
  <c r="P16" i="6"/>
  <c r="M20" i="6"/>
  <c r="AB20" i="6"/>
  <c r="AC24" i="6"/>
  <c r="M6" i="6"/>
  <c r="AF9" i="6"/>
  <c r="Y11" i="6"/>
  <c r="R16" i="6"/>
  <c r="T19" i="6"/>
  <c r="V21" i="6"/>
  <c r="AF22" i="6"/>
  <c r="Z26" i="6"/>
  <c r="W8" i="6"/>
  <c r="AE10" i="6"/>
  <c r="U12" i="6"/>
  <c r="N17" i="6"/>
  <c r="U19" i="6"/>
  <c r="R22" i="6"/>
  <c r="Y23" i="6"/>
  <c r="AA26" i="6"/>
  <c r="X8" i="6"/>
  <c r="AA11" i="6"/>
  <c r="V12" i="6"/>
  <c r="O17" i="6"/>
  <c r="V19" i="6"/>
  <c r="M23" i="6"/>
  <c r="Z23" i="6"/>
  <c r="AB26" i="6"/>
  <c r="Y8" i="6"/>
  <c r="L11" i="6"/>
  <c r="T13" i="6"/>
  <c r="Q17" i="6"/>
  <c r="Q20" i="6"/>
  <c r="T22" i="6"/>
  <c r="AA23" i="6"/>
  <c r="T6" i="6"/>
  <c r="V9" i="6"/>
  <c r="AC11" i="6"/>
  <c r="U13" i="6"/>
  <c r="R17" i="6"/>
  <c r="R20" i="6"/>
  <c r="O23" i="6"/>
  <c r="AB23" i="6"/>
  <c r="W6" i="6"/>
  <c r="AE8" i="6"/>
  <c r="AD12" i="6"/>
  <c r="Y13" i="6"/>
  <c r="R18" i="6"/>
  <c r="V20" i="6"/>
  <c r="Y22" i="6"/>
  <c r="Y24" i="6"/>
  <c r="M14" i="16"/>
  <c r="X9" i="15"/>
  <c r="M3" i="16"/>
  <c r="X14" i="15"/>
  <c r="M9" i="16"/>
  <c r="X19" i="15"/>
  <c r="X3" i="15"/>
  <c r="AC9" i="4"/>
  <c r="AC14" i="4"/>
  <c r="AC19" i="4"/>
  <c r="AC3" i="4"/>
  <c r="M19" i="16"/>
  <c r="N44" i="6"/>
  <c r="T42" i="6"/>
  <c r="T31" i="6"/>
  <c r="AA47" i="6"/>
  <c r="Z40" i="6"/>
  <c r="W33" i="6"/>
  <c r="AB46" i="6"/>
  <c r="M51" i="6"/>
  <c r="R32" i="6"/>
  <c r="T40" i="6"/>
  <c r="C219" i="12"/>
  <c r="B219" i="12" s="1"/>
  <c r="W20" i="6"/>
  <c r="P8" i="6"/>
  <c r="R23" i="6"/>
  <c r="T20" i="6"/>
  <c r="Y41" i="6"/>
  <c r="AB48" i="6"/>
  <c r="W35" i="6"/>
  <c r="S43" i="6"/>
  <c r="AD45" i="6"/>
  <c r="X32" i="6"/>
  <c r="U51" i="6"/>
  <c r="AA39" i="6"/>
  <c r="O49" i="6"/>
  <c r="V37" i="6"/>
  <c r="W44" i="6"/>
  <c r="AD32" i="6"/>
  <c r="Y51" i="6"/>
  <c r="L40" i="6"/>
  <c r="P36" i="6"/>
  <c r="X50" i="6"/>
  <c r="S45" i="6"/>
  <c r="O32" i="6"/>
  <c r="AC47" i="6"/>
  <c r="AF34" i="6"/>
  <c r="Z32" i="6"/>
  <c r="N42" i="6"/>
  <c r="AB39" i="6"/>
  <c r="P49" i="6"/>
  <c r="AE46" i="6"/>
  <c r="Z44" i="6"/>
  <c r="AF32" i="6"/>
  <c r="S42" i="6"/>
  <c r="M40" i="6"/>
  <c r="V49" i="6"/>
  <c r="V35" i="6"/>
  <c r="AE44" i="6"/>
  <c r="AF33" i="6"/>
  <c r="U43" i="6"/>
  <c r="AD41" i="6"/>
  <c r="S51" i="6"/>
  <c r="L44" i="6"/>
  <c r="P51" i="6"/>
  <c r="O38" i="6"/>
  <c r="L46" i="6"/>
  <c r="Y40" i="6"/>
  <c r="AB35" i="6"/>
  <c r="V33" i="6"/>
  <c r="AE42" i="6"/>
  <c r="P31" i="6"/>
  <c r="X40" i="6"/>
  <c r="Z47" i="6"/>
  <c r="AF35" i="6"/>
  <c r="AA33" i="6"/>
  <c r="U37" i="6"/>
  <c r="X44" i="6"/>
  <c r="AB51" i="6"/>
  <c r="U33" i="6"/>
  <c r="Q41" i="6"/>
  <c r="W36" i="6"/>
  <c r="AF45" i="6"/>
  <c r="R34" i="6"/>
  <c r="AC39" i="6"/>
  <c r="X33" i="6"/>
  <c r="T41" i="6"/>
  <c r="L36" i="6"/>
  <c r="AD43" i="6"/>
  <c r="Z51" i="6"/>
  <c r="Z39" i="6"/>
  <c r="T37" i="6"/>
  <c r="AC46" i="6"/>
  <c r="U44" i="6"/>
  <c r="AC32" i="6"/>
  <c r="Q42" i="6"/>
  <c r="X51" i="6"/>
  <c r="S49" i="6"/>
  <c r="Z37" i="6"/>
  <c r="S35" i="6"/>
  <c r="AC44" i="6"/>
  <c r="M33" i="6"/>
  <c r="U42" i="6"/>
  <c r="P40" i="6"/>
  <c r="X49" i="6"/>
  <c r="N48" i="6"/>
  <c r="O37" i="6"/>
  <c r="X46" i="6"/>
  <c r="AE34" i="6"/>
  <c r="P23" i="6"/>
  <c r="S20" i="6"/>
  <c r="Q14" i="6"/>
  <c r="N11" i="6"/>
  <c r="T47" i="6"/>
  <c r="AF44" i="6"/>
  <c r="P33" i="6"/>
  <c r="X31" i="6"/>
  <c r="AE40" i="6"/>
  <c r="L51" i="6"/>
  <c r="Q39" i="6"/>
  <c r="AE36" i="6"/>
  <c r="AC43" i="6"/>
  <c r="AA36" i="6"/>
  <c r="AA43" i="6"/>
  <c r="AA50" i="6"/>
  <c r="X36" i="6"/>
  <c r="O47" i="6"/>
  <c r="AA34" i="6"/>
  <c r="T49" i="6"/>
  <c r="R25" i="6"/>
  <c r="Z22" i="6"/>
  <c r="AC19" i="6"/>
  <c r="Z13" i="6"/>
  <c r="W10" i="6"/>
  <c r="F1" i="16"/>
  <c r="AE26" i="4"/>
  <c r="L26" i="8"/>
  <c r="L22" i="8" s="1"/>
  <c r="K28" i="8"/>
  <c r="G2" i="16"/>
  <c r="K28" i="1"/>
  <c r="G20" i="1" s="1"/>
  <c r="J21" i="7" s="1"/>
  <c r="H21" i="7" s="1"/>
  <c r="G20" i="8"/>
  <c r="J33" i="7" s="1"/>
  <c r="L30" i="8"/>
  <c r="H33" i="7"/>
  <c r="M55" i="7" a="1"/>
  <c r="S55" i="7" s="1"/>
  <c r="M56" i="7" a="1"/>
  <c r="S56" i="7" s="1"/>
  <c r="AD17" i="4" l="1"/>
  <c r="M56" i="7"/>
  <c r="O55" i="7"/>
  <c r="N56" i="7"/>
  <c r="R56" i="7"/>
  <c r="Q56" i="7"/>
  <c r="O56" i="7"/>
  <c r="M55" i="7"/>
  <c r="R57" i="7"/>
  <c r="P57" i="7"/>
  <c r="U55" i="7"/>
  <c r="P56" i="7"/>
  <c r="BV10" i="4"/>
  <c r="AD12" i="4"/>
  <c r="L17" i="8"/>
  <c r="D8" i="12"/>
  <c r="D14" i="12" s="1"/>
  <c r="D15" i="12" s="1"/>
  <c r="D220" i="12" s="1"/>
  <c r="BV11" i="4"/>
  <c r="P45" i="6"/>
  <c r="AD42" i="6"/>
  <c r="O46" i="6"/>
  <c r="Z41" i="6"/>
  <c r="M48" i="6"/>
  <c r="AF48" i="6"/>
  <c r="AC45" i="6"/>
  <c r="Y43" i="6"/>
  <c r="V48" i="6"/>
  <c r="W45" i="6"/>
  <c r="AD48" i="6"/>
  <c r="AD36" i="6"/>
  <c r="AF38" i="6"/>
  <c r="AA40" i="6"/>
  <c r="U35" i="6"/>
  <c r="W39" i="6"/>
  <c r="M38" i="6"/>
  <c r="V39" i="6"/>
  <c r="T44" i="6"/>
  <c r="W41" i="6"/>
  <c r="R36" i="6"/>
  <c r="Q40" i="6"/>
  <c r="AD38" i="6"/>
  <c r="N40" i="6"/>
  <c r="Q45" i="6"/>
  <c r="P46" i="6"/>
  <c r="L37" i="6"/>
  <c r="M41" i="6"/>
  <c r="O41" i="6"/>
  <c r="W50" i="6"/>
  <c r="AA32" i="6"/>
  <c r="W34" i="6"/>
  <c r="AD44" i="6"/>
  <c r="AE48" i="6"/>
  <c r="M45" i="6"/>
  <c r="AB40" i="6"/>
  <c r="N50" i="6"/>
  <c r="AB41" i="6"/>
  <c r="S47" i="6"/>
  <c r="Z38" i="6"/>
  <c r="W48" i="6"/>
  <c r="R39" i="6"/>
  <c r="O50" i="6"/>
  <c r="AD37" i="6"/>
  <c r="M44" i="6"/>
  <c r="W47" i="6"/>
  <c r="AD50" i="6"/>
  <c r="S39" i="6"/>
  <c r="Y42" i="6"/>
  <c r="AB42" i="6"/>
  <c r="X48" i="6"/>
  <c r="S48" i="6"/>
  <c r="S31" i="6"/>
  <c r="AA41" i="6"/>
  <c r="AA45" i="6"/>
  <c r="W43" i="6"/>
  <c r="P34" i="6"/>
  <c r="AB44" i="6"/>
  <c r="Z31" i="6"/>
  <c r="L32" i="6"/>
  <c r="Q38" i="6"/>
  <c r="AF36" i="6"/>
  <c r="AC34" i="6"/>
  <c r="P39" i="6"/>
  <c r="AC49" i="6"/>
  <c r="T38" i="6"/>
  <c r="Q43" i="6"/>
  <c r="AA31" i="6"/>
  <c r="AC33" i="6"/>
  <c r="AE38" i="6"/>
  <c r="R31" i="6"/>
  <c r="W31" i="6"/>
  <c r="AC41" i="6"/>
  <c r="L49" i="6"/>
  <c r="AD51" i="6"/>
  <c r="M39" i="6"/>
  <c r="R50" i="6"/>
  <c r="S33" i="6"/>
  <c r="AA49" i="6"/>
  <c r="U38" i="6"/>
  <c r="R43" i="6"/>
  <c r="Z46" i="6"/>
  <c r="P43" i="6"/>
  <c r="Y33" i="6"/>
  <c r="AA37" i="6"/>
  <c r="S50" i="6"/>
  <c r="AA35" i="6"/>
  <c r="Z36" i="6"/>
  <c r="W51" i="6"/>
  <c r="X34" i="6"/>
  <c r="U46" i="6"/>
  <c r="W32" i="6"/>
  <c r="P48" i="6"/>
  <c r="M43" i="6"/>
  <c r="P44" i="6"/>
  <c r="S40" i="6"/>
  <c r="S34" i="6"/>
  <c r="P42" i="6"/>
  <c r="L43" i="6"/>
  <c r="Q47" i="6"/>
  <c r="Z33" i="6"/>
  <c r="AA44" i="6"/>
  <c r="AF37" i="6"/>
  <c r="AD46" i="6"/>
  <c r="T43" i="6"/>
  <c r="S44" i="6"/>
  <c r="Q35" i="6"/>
  <c r="P47" i="6"/>
  <c r="Y39" i="6"/>
  <c r="U48" i="6"/>
  <c r="R38" i="6"/>
  <c r="AC38" i="6"/>
  <c r="Y32" i="6"/>
  <c r="O45" i="6"/>
  <c r="N36" i="6"/>
  <c r="Q44" i="6"/>
  <c r="AD31" i="6"/>
  <c r="L48" i="6"/>
  <c r="N34" i="6"/>
  <c r="N38" i="6"/>
  <c r="O39" i="6"/>
  <c r="O44" i="6"/>
  <c r="Q48" i="6"/>
  <c r="P38" i="6"/>
  <c r="AD47" i="6"/>
  <c r="N37" i="6"/>
  <c r="Y35" i="6"/>
  <c r="M36" i="6"/>
  <c r="U47" i="6"/>
  <c r="AE32" i="6"/>
  <c r="X41" i="6"/>
  <c r="Z43" i="6"/>
  <c r="X45" i="6"/>
  <c r="AC40" i="6"/>
  <c r="S37" i="6"/>
  <c r="U34" i="6"/>
  <c r="L42" i="6"/>
  <c r="R42" i="6"/>
  <c r="AF39" i="6"/>
  <c r="X37" i="6"/>
  <c r="AB37" i="6"/>
  <c r="AC36" i="6"/>
  <c r="N45" i="6"/>
  <c r="U45" i="6"/>
  <c r="N49" i="6"/>
  <c r="Q49" i="6"/>
  <c r="N35" i="6"/>
  <c r="M47" i="6"/>
  <c r="AA38" i="6"/>
  <c r="V42" i="6"/>
  <c r="AC50" i="6"/>
  <c r="M42" i="6"/>
  <c r="O42" i="6"/>
  <c r="M37" i="6"/>
  <c r="Y38" i="6"/>
  <c r="AD39" i="6"/>
  <c r="AB34" i="6"/>
  <c r="T46" i="6"/>
  <c r="L39" i="6"/>
  <c r="R46" i="6"/>
  <c r="U36" i="6"/>
  <c r="O36" i="6"/>
  <c r="T34" i="6"/>
  <c r="W38" i="6"/>
  <c r="V43" i="6"/>
  <c r="V40" i="6"/>
  <c r="Q50" i="6"/>
  <c r="T36" i="6"/>
  <c r="V47" i="6"/>
  <c r="AD33" i="6"/>
  <c r="AB36" i="6"/>
  <c r="R40" i="6"/>
  <c r="Y47" i="6"/>
  <c r="L35" i="6"/>
  <c r="N32" i="6"/>
  <c r="U50" i="6"/>
  <c r="V31" i="6"/>
  <c r="V45" i="6"/>
  <c r="N41" i="6"/>
  <c r="AE49" i="6"/>
  <c r="AB43" i="6"/>
  <c r="AA48" i="6"/>
  <c r="AB45" i="6"/>
  <c r="V44" i="6"/>
  <c r="N39" i="6"/>
  <c r="Z34" i="6"/>
  <c r="V36" i="6"/>
  <c r="AF49" i="6"/>
  <c r="N51" i="6"/>
  <c r="Z49" i="6"/>
  <c r="T48" i="6"/>
  <c r="AF47" i="6"/>
  <c r="L33" i="6"/>
  <c r="S32" i="6"/>
  <c r="W40" i="6"/>
  <c r="Q51" i="6"/>
  <c r="O35" i="6"/>
  <c r="W37" i="6"/>
  <c r="V51" i="6"/>
  <c r="AA51" i="6"/>
  <c r="V32" i="6"/>
  <c r="AB32" i="6"/>
  <c r="M50" i="6"/>
  <c r="Y46" i="6"/>
  <c r="L47" i="6"/>
  <c r="M49" i="6"/>
  <c r="AE39" i="6"/>
  <c r="AE51" i="6"/>
  <c r="Z35" i="6"/>
  <c r="U49" i="6"/>
  <c r="P41" i="6"/>
  <c r="Q55" i="7"/>
  <c r="G21" i="8"/>
  <c r="P34" i="1"/>
  <c r="AB25" i="6"/>
  <c r="AE21" i="6"/>
  <c r="V10" i="6"/>
  <c r="AB21" i="6"/>
  <c r="S10" i="6"/>
  <c r="Z21" i="6"/>
  <c r="Q10" i="6"/>
  <c r="AE20" i="6"/>
  <c r="S9" i="6"/>
  <c r="AD20" i="6"/>
  <c r="M10" i="6"/>
  <c r="AC20" i="6"/>
  <c r="U8" i="6"/>
  <c r="L17" i="6"/>
  <c r="AB24" i="6"/>
  <c r="AB13" i="6"/>
  <c r="M22" i="6"/>
  <c r="L9" i="6"/>
  <c r="AF18" i="6"/>
  <c r="W13" i="6"/>
  <c r="Z15" i="6"/>
  <c r="P25" i="6"/>
  <c r="AD8" i="6"/>
  <c r="T55" i="7"/>
  <c r="G21" i="1"/>
  <c r="Y17" i="6"/>
  <c r="AB19" i="6"/>
  <c r="O8" i="6"/>
  <c r="AE18" i="6"/>
  <c r="O7" i="6"/>
  <c r="N18" i="6"/>
  <c r="AC7" i="6"/>
  <c r="AC18" i="6"/>
  <c r="L7" i="6"/>
  <c r="AE17" i="6"/>
  <c r="P6" i="6"/>
  <c r="Y18" i="6"/>
  <c r="Y26" i="6"/>
  <c r="Z14" i="6"/>
  <c r="AC22" i="6"/>
  <c r="AD9" i="6"/>
  <c r="O19" i="6"/>
  <c r="Y6" i="6"/>
  <c r="W9" i="6"/>
  <c r="AF23" i="6"/>
  <c r="AA18" i="6"/>
  <c r="Z20" i="8"/>
  <c r="AE13" i="8"/>
  <c r="AB12" i="6"/>
  <c r="S26" i="6"/>
  <c r="L16" i="6"/>
  <c r="R6" i="6"/>
  <c r="M8" i="6"/>
  <c r="N19" i="6"/>
  <c r="B26" i="6"/>
  <c r="Q15" i="6"/>
  <c r="AC10" i="6"/>
  <c r="V8" i="6"/>
  <c r="Y20" i="6"/>
  <c r="O25" i="6"/>
  <c r="AE11" i="6"/>
  <c r="U17" i="6"/>
  <c r="AA8" i="6"/>
  <c r="AE6" i="6"/>
  <c r="Y16" i="6"/>
  <c r="W11" i="6"/>
  <c r="R13" i="6"/>
  <c r="Z9" i="6"/>
  <c r="V11" i="6"/>
  <c r="AD15" i="6"/>
  <c r="Z18" i="6"/>
  <c r="L10" i="6"/>
  <c r="AD22" i="6"/>
  <c r="P17" i="6"/>
  <c r="T15" i="6"/>
  <c r="L22" i="6"/>
  <c r="AB8" i="6"/>
  <c r="Z12" i="6"/>
  <c r="X22" i="6"/>
  <c r="T26" i="6"/>
  <c r="AE12" i="6"/>
  <c r="P15" i="6"/>
  <c r="T11" i="6"/>
  <c r="Z17" i="6"/>
  <c r="U23" i="6"/>
  <c r="S8" i="6"/>
  <c r="X14" i="6"/>
  <c r="AA20" i="6"/>
  <c r="L26" i="6"/>
  <c r="X11" i="6"/>
  <c r="AB17" i="6"/>
  <c r="W23" i="6"/>
  <c r="Z7" i="6"/>
  <c r="AE13" i="6"/>
  <c r="N14" i="6"/>
  <c r="AE15" i="6"/>
  <c r="M12" i="6"/>
  <c r="AD23" i="6"/>
  <c r="X13" i="6"/>
  <c r="Q16" i="6"/>
  <c r="U7" i="6"/>
  <c r="U20" i="6"/>
  <c r="Y14" i="6"/>
  <c r="AC12" i="6"/>
  <c r="N21" i="6"/>
  <c r="V6" i="6"/>
  <c r="R10" i="6"/>
  <c r="L20" i="6"/>
  <c r="Z24" i="6"/>
  <c r="AD11" i="6"/>
  <c r="U24" i="6"/>
  <c r="AD16" i="6"/>
  <c r="P18" i="6"/>
  <c r="Z6" i="6"/>
  <c r="M18" i="6"/>
  <c r="Q23" i="6"/>
  <c r="Z16" i="6"/>
  <c r="M15" i="6"/>
  <c r="O12" i="6"/>
  <c r="Y9" i="6"/>
  <c r="AC8" i="6"/>
  <c r="R21" i="6"/>
  <c r="AD10" i="6"/>
  <c r="X7" i="6"/>
  <c r="AB9" i="6"/>
  <c r="AF13" i="6"/>
  <c r="AE23" i="6"/>
  <c r="L15" i="6"/>
  <c r="AA16" i="6"/>
  <c r="W24" i="6"/>
  <c r="M21" i="6"/>
  <c r="M16" i="6"/>
  <c r="AF11" i="6"/>
  <c r="AE26" i="6"/>
  <c r="O6" i="6"/>
  <c r="AA19" i="6"/>
  <c r="N12" i="6"/>
  <c r="AF12" i="6"/>
  <c r="AE19" i="6"/>
  <c r="AF25" i="6"/>
  <c r="Q12" i="6"/>
  <c r="P19" i="6"/>
  <c r="T25" i="6"/>
  <c r="S12" i="6"/>
  <c r="R19" i="6"/>
  <c r="U25" i="6"/>
  <c r="AB10" i="6"/>
  <c r="AC17" i="6"/>
  <c r="X23" i="6"/>
  <c r="AA7" i="6"/>
  <c r="L14" i="6"/>
  <c r="O20" i="6"/>
  <c r="W25" i="6"/>
  <c r="N10" i="6"/>
  <c r="T16" i="6"/>
  <c r="S22" i="6"/>
  <c r="S6" i="6"/>
  <c r="W12" i="6"/>
  <c r="AD18" i="6"/>
  <c r="T24" i="6"/>
  <c r="Z8" i="6"/>
  <c r="AF14" i="6"/>
  <c r="L21" i="6"/>
  <c r="R26" i="6"/>
  <c r="P11" i="6"/>
  <c r="X17" i="6"/>
  <c r="S23" i="6"/>
  <c r="U14" i="6"/>
  <c r="O11" i="6"/>
  <c r="Q18" i="6"/>
  <c r="V14" i="6"/>
  <c r="T10" i="6"/>
  <c r="Q8" i="6"/>
  <c r="AD19" i="6"/>
  <c r="AD21" i="6"/>
  <c r="S18" i="6"/>
  <c r="AA13" i="6"/>
  <c r="S21" i="6"/>
  <c r="W7" i="6"/>
  <c r="O16" i="6"/>
  <c r="V23" i="6"/>
  <c r="AE9" i="6"/>
  <c r="W18" i="6"/>
  <c r="M26" i="6"/>
  <c r="T12" i="6"/>
  <c r="N20" i="6"/>
  <c r="N26" i="6"/>
  <c r="Z11" i="6"/>
  <c r="AB18" i="6"/>
  <c r="AF24" i="6"/>
  <c r="AF10" i="6"/>
  <c r="AF17" i="6"/>
  <c r="S24" i="6"/>
  <c r="U9" i="6"/>
  <c r="U16" i="6"/>
  <c r="N23" i="6"/>
  <c r="AE7" i="6"/>
  <c r="AB15" i="6"/>
  <c r="U22" i="6"/>
  <c r="S7" i="6"/>
  <c r="S14" i="6"/>
  <c r="P21" i="6"/>
  <c r="R11" i="6"/>
  <c r="T17" i="6"/>
  <c r="T7" i="6"/>
  <c r="AF21" i="6"/>
  <c r="M9" i="6"/>
  <c r="N6" i="6"/>
  <c r="AC15" i="6"/>
  <c r="S11" i="6"/>
  <c r="Q7" i="6"/>
  <c r="R8" i="6"/>
  <c r="N16" i="6"/>
  <c r="N24" i="6"/>
  <c r="Y10" i="6"/>
  <c r="U18" i="6"/>
  <c r="X26" i="6"/>
  <c r="AC13" i="6"/>
  <c r="U21" i="6"/>
  <c r="AD6" i="6"/>
  <c r="W15" i="6"/>
  <c r="P22" i="6"/>
  <c r="AF6" i="6"/>
  <c r="AC14" i="6"/>
  <c r="W21" i="6"/>
  <c r="Q6" i="6"/>
  <c r="J10" i="6" s="1"/>
  <c r="P13" i="6"/>
  <c r="P20" i="6"/>
  <c r="P26" i="6"/>
  <c r="AB11" i="6"/>
  <c r="W19" i="6"/>
  <c r="Y25" i="6"/>
  <c r="M11" i="6"/>
  <c r="O18" i="6"/>
  <c r="V24" i="6"/>
  <c r="AA9" i="6"/>
  <c r="AB16" i="6"/>
  <c r="L24" i="6"/>
  <c r="V18" i="6"/>
  <c r="V22" i="6"/>
  <c r="Y12" i="6"/>
  <c r="AB6" i="6"/>
  <c r="AF8" i="6"/>
  <c r="AB14" i="6"/>
  <c r="V26" i="6"/>
  <c r="AC9" i="6"/>
  <c r="T18" i="6"/>
  <c r="S25" i="6"/>
  <c r="L13" i="6"/>
  <c r="T21" i="6"/>
  <c r="Y7" i="6"/>
  <c r="V15" i="6"/>
  <c r="AE22" i="6"/>
  <c r="Q9" i="6"/>
  <c r="M17" i="6"/>
  <c r="Q24" i="6"/>
  <c r="R9" i="6"/>
  <c r="S16" i="6"/>
  <c r="L23" i="6"/>
  <c r="AB7" i="6"/>
  <c r="AD14" i="6"/>
  <c r="X21" i="6"/>
  <c r="N7" i="6"/>
  <c r="O14" i="6"/>
  <c r="AF20" i="6"/>
  <c r="AC26" i="6"/>
  <c r="X12" i="6"/>
  <c r="X19" i="6"/>
  <c r="Z25" i="6"/>
  <c r="L12" i="6"/>
  <c r="M19" i="6"/>
  <c r="Q25" i="6"/>
  <c r="T23" i="6"/>
  <c r="V17" i="6"/>
  <c r="AA25" i="6"/>
  <c r="AC16" i="6"/>
  <c r="P55" i="7"/>
  <c r="L8" i="6"/>
  <c r="AD25" i="6"/>
  <c r="U26" i="6"/>
  <c r="AF15" i="6"/>
  <c r="AD26" i="6"/>
  <c r="W16" i="6"/>
  <c r="Q26" i="6"/>
  <c r="AA15" i="6"/>
  <c r="X25" i="6"/>
  <c r="Y15" i="6"/>
  <c r="O26" i="6"/>
  <c r="X15" i="6"/>
  <c r="V25" i="6"/>
  <c r="AA14" i="6"/>
  <c r="P24" i="6"/>
  <c r="AA10" i="6"/>
  <c r="AF19" i="6"/>
  <c r="AA6" i="6"/>
  <c r="R15" i="6"/>
  <c r="M24" i="6"/>
  <c r="L45" i="6"/>
  <c r="R45" i="6"/>
  <c r="AF40" i="6"/>
  <c r="AE41" i="6"/>
  <c r="X16" i="6"/>
  <c r="O10" i="6"/>
  <c r="AD13" i="6"/>
  <c r="R7" i="6"/>
  <c r="R55" i="7"/>
  <c r="U56" i="7"/>
  <c r="T56" i="7"/>
  <c r="N55" i="7"/>
  <c r="AF7" i="6"/>
  <c r="R14" i="6"/>
  <c r="AC25" i="6"/>
  <c r="O15" i="6"/>
  <c r="N25" i="6"/>
  <c r="P14" i="6"/>
  <c r="M25" i="6"/>
  <c r="AE14" i="6"/>
  <c r="L25" i="6"/>
  <c r="M14" i="6"/>
  <c r="R24" i="6"/>
  <c r="O13" i="6"/>
  <c r="AE24" i="6"/>
  <c r="N13" i="6"/>
  <c r="O22" i="6"/>
  <c r="P9" i="6"/>
  <c r="AA17" i="6"/>
  <c r="W26" i="6"/>
  <c r="W14" i="6"/>
  <c r="M31" i="6"/>
  <c r="R48" i="6"/>
  <c r="N31" i="6"/>
  <c r="U32" i="6"/>
  <c r="M34" i="6"/>
  <c r="O48" i="6"/>
  <c r="AE43" i="6"/>
  <c r="X47" i="6"/>
  <c r="O33" i="6"/>
  <c r="M35" i="6"/>
  <c r="R51" i="6"/>
  <c r="Q37" i="6"/>
  <c r="S46" i="6"/>
  <c r="L50" i="6"/>
  <c r="AD7" i="6"/>
  <c r="L18" i="6"/>
  <c r="X6" i="6"/>
  <c r="AE13" i="1"/>
  <c r="Z20" i="1"/>
  <c r="P7" i="6"/>
  <c r="Z19" i="6"/>
  <c r="U6" i="6"/>
  <c r="X24" i="6"/>
  <c r="U10" i="6"/>
  <c r="T57" i="7"/>
  <c r="W22" i="6"/>
  <c r="X9" i="6"/>
  <c r="N58" i="7"/>
  <c r="AC21" i="6"/>
  <c r="S58" i="7"/>
  <c r="P58" i="7"/>
  <c r="M58" i="7"/>
  <c r="N57" i="7"/>
  <c r="C8" i="12"/>
  <c r="C14" i="12" s="1"/>
  <c r="B14" i="12"/>
  <c r="AD23" i="4"/>
  <c r="N23" i="16"/>
  <c r="Y12" i="15"/>
  <c r="Y23" i="15"/>
  <c r="Y17" i="15"/>
  <c r="N12" i="16"/>
  <c r="N17" i="16"/>
  <c r="Q57" i="7"/>
  <c r="M57" i="7"/>
  <c r="T58" i="7"/>
  <c r="O58" i="7"/>
  <c r="U58" i="7"/>
  <c r="S57" i="7"/>
  <c r="O57" i="7"/>
  <c r="Q58" i="7"/>
  <c r="E8" i="12" l="1"/>
  <c r="E14" i="12" s="1"/>
  <c r="E15" i="12" s="1"/>
  <c r="D219" i="12"/>
  <c r="D16" i="12"/>
  <c r="D17" i="12" s="1"/>
  <c r="D222" i="12" s="1"/>
  <c r="P33" i="1"/>
  <c r="J11" i="6"/>
  <c r="J35" i="6"/>
  <c r="K34" i="1"/>
  <c r="Q34" i="1"/>
  <c r="P31" i="1" s="1"/>
  <c r="P24" i="1" s="1"/>
  <c r="P34" i="8"/>
  <c r="Q34" i="8" s="1"/>
  <c r="P31" i="8" s="1"/>
  <c r="P24" i="8" s="1"/>
  <c r="J39" i="7"/>
  <c r="H39" i="7" s="1"/>
  <c r="Z21" i="8"/>
  <c r="J34" i="7"/>
  <c r="H34" i="7" s="1"/>
  <c r="G22" i="8"/>
  <c r="G22" i="1"/>
  <c r="J22" i="7"/>
  <c r="H22" i="7" s="1"/>
  <c r="I50" i="7"/>
  <c r="J27" i="7"/>
  <c r="H27" i="7" s="1"/>
  <c r="Z21" i="1"/>
  <c r="I49" i="7"/>
  <c r="B15" i="12"/>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C15" i="12"/>
  <c r="C220" i="12"/>
  <c r="B220" i="12" s="1"/>
  <c r="E219" i="12" l="1"/>
  <c r="D221" i="12"/>
  <c r="D18" i="12"/>
  <c r="D19" i="12" s="1"/>
  <c r="D224" i="12" s="1"/>
  <c r="J40" i="7"/>
  <c r="H40" i="7" s="1"/>
  <c r="Z22" i="8"/>
  <c r="Z22" i="1"/>
  <c r="J28" i="7"/>
  <c r="H28" i="7" s="1"/>
  <c r="M34" i="1"/>
  <c r="N34" i="1" s="1"/>
  <c r="N33" i="1" s="1"/>
  <c r="L34" i="1"/>
  <c r="L33" i="1" s="1"/>
  <c r="K34" i="8"/>
  <c r="G23" i="1"/>
  <c r="J23" i="7"/>
  <c r="H23" i="7" s="1"/>
  <c r="P33" i="8"/>
  <c r="J36" i="6"/>
  <c r="J35" i="7"/>
  <c r="H35" i="7" s="1"/>
  <c r="G23" i="8"/>
  <c r="C221" i="12"/>
  <c r="B221" i="12" s="1"/>
  <c r="C16" i="12"/>
  <c r="B116" i="12" a="1"/>
  <c r="E220" i="12"/>
  <c r="E16" i="12"/>
  <c r="D20" i="12" l="1"/>
  <c r="D21" i="12" s="1"/>
  <c r="D223" i="12"/>
  <c r="L25" i="1"/>
  <c r="N24" i="1" s="1"/>
  <c r="L19" i="1" s="1"/>
  <c r="N18" i="1" s="1"/>
  <c r="M12" i="1" s="1" a="1"/>
  <c r="M12" i="1" s="1"/>
  <c r="L12" i="1" s="1"/>
  <c r="F25" i="7" s="1"/>
  <c r="J36" i="7"/>
  <c r="H36" i="7" s="1"/>
  <c r="G24" i="8"/>
  <c r="J24" i="7"/>
  <c r="H24" i="7" s="1"/>
  <c r="G24" i="1"/>
  <c r="L34" i="8"/>
  <c r="L33" i="8" s="1"/>
  <c r="M34" i="8"/>
  <c r="N34" i="8" s="1"/>
  <c r="N33" i="8" s="1"/>
  <c r="Z23" i="1"/>
  <c r="J29" i="7"/>
  <c r="H29" i="7" s="1"/>
  <c r="Z23" i="8"/>
  <c r="J41" i="7"/>
  <c r="H41" i="7" s="1"/>
  <c r="B137" i="12"/>
  <c r="B139" i="12"/>
  <c r="B120" i="12"/>
  <c r="B170" i="12"/>
  <c r="B149" i="12"/>
  <c r="B188" i="12"/>
  <c r="B158" i="12"/>
  <c r="B117" i="12"/>
  <c r="B162" i="12"/>
  <c r="B192" i="12"/>
  <c r="B196" i="12"/>
  <c r="B146" i="12"/>
  <c r="B160" i="12"/>
  <c r="B186" i="12"/>
  <c r="B208" i="12"/>
  <c r="B193" i="12"/>
  <c r="B184" i="12"/>
  <c r="B138" i="12"/>
  <c r="B214" i="12"/>
  <c r="B153" i="12"/>
  <c r="B179" i="12"/>
  <c r="B135" i="12"/>
  <c r="B198" i="12"/>
  <c r="B123" i="12"/>
  <c r="B152" i="12"/>
  <c r="B121" i="12"/>
  <c r="B145" i="12"/>
  <c r="B194" i="12"/>
  <c r="B171" i="12"/>
  <c r="B168" i="12"/>
  <c r="B119" i="12"/>
  <c r="B164" i="12"/>
  <c r="B190" i="12"/>
  <c r="B134" i="12"/>
  <c r="B125" i="12"/>
  <c r="B173" i="12"/>
  <c r="B148" i="12"/>
  <c r="B202" i="12"/>
  <c r="B130" i="12"/>
  <c r="B165" i="12"/>
  <c r="B124" i="12"/>
  <c r="B169" i="12"/>
  <c r="B163" i="12"/>
  <c r="B175" i="12"/>
  <c r="B122" i="12"/>
  <c r="B143" i="12"/>
  <c r="B182" i="12"/>
  <c r="B156" i="12"/>
  <c r="B204" i="12"/>
  <c r="B131" i="12"/>
  <c r="B189" i="12"/>
  <c r="B151" i="12"/>
  <c r="B183" i="12"/>
  <c r="B133" i="12"/>
  <c r="B116" i="12"/>
  <c r="B206" i="12"/>
  <c r="B140" i="12"/>
  <c r="B161" i="12"/>
  <c r="B217" i="12"/>
  <c r="B195" i="12"/>
  <c r="B141" i="12"/>
  <c r="B159" i="12"/>
  <c r="B178" i="12"/>
  <c r="B128" i="12"/>
  <c r="B157" i="12"/>
  <c r="B144" i="12"/>
  <c r="B174" i="12"/>
  <c r="B205" i="12"/>
  <c r="B150" i="12"/>
  <c r="B136" i="12"/>
  <c r="B142" i="12"/>
  <c r="B129" i="12"/>
  <c r="B210" i="12"/>
  <c r="B147" i="12"/>
  <c r="B132" i="12"/>
  <c r="B118" i="12"/>
  <c r="B212" i="12"/>
  <c r="B191" i="12"/>
  <c r="B209" i="12"/>
  <c r="B155" i="12"/>
  <c r="B211" i="12"/>
  <c r="B213" i="12"/>
  <c r="B201" i="12"/>
  <c r="B185" i="12"/>
  <c r="B203" i="12"/>
  <c r="B180" i="12"/>
  <c r="B215" i="12"/>
  <c r="B172" i="12"/>
  <c r="B126" i="12"/>
  <c r="B166" i="12"/>
  <c r="B176" i="12"/>
  <c r="B216" i="12"/>
  <c r="B200" i="12"/>
  <c r="B154" i="12"/>
  <c r="B181" i="12"/>
  <c r="B187" i="12"/>
  <c r="B177" i="12"/>
  <c r="B207" i="12"/>
  <c r="B127" i="12"/>
  <c r="B197" i="12"/>
  <c r="B199" i="12"/>
  <c r="B167" i="12"/>
  <c r="C222" i="12"/>
  <c r="B222" i="12" s="1"/>
  <c r="C17" i="12"/>
  <c r="E221" i="12"/>
  <c r="E17" i="12"/>
  <c r="D225" i="12" l="1"/>
  <c r="F21" i="7"/>
  <c r="M29" i="7" s="1" a="1"/>
  <c r="E3" i="11"/>
  <c r="F45" i="7"/>
  <c r="M53" i="7" s="1" a="1"/>
  <c r="N53" i="7" s="1"/>
  <c r="F26" i="7"/>
  <c r="M34" i="7" s="1" a="1"/>
  <c r="AV7" i="15"/>
  <c r="BA7" i="4"/>
  <c r="AX8" i="16"/>
  <c r="F22" i="7"/>
  <c r="M30" i="7" s="1" a="1"/>
  <c r="U30" i="7" s="1"/>
  <c r="H24" i="1"/>
  <c r="F24" i="7"/>
  <c r="AE16" i="1"/>
  <c r="F23" i="7"/>
  <c r="Z24" i="1"/>
  <c r="J30" i="7"/>
  <c r="H30" i="7" s="1"/>
  <c r="J25" i="7"/>
  <c r="H25" i="7" s="1"/>
  <c r="I25" i="7" s="1"/>
  <c r="G25" i="1"/>
  <c r="L25" i="8"/>
  <c r="N24" i="8" s="1"/>
  <c r="L19" i="8" s="1"/>
  <c r="N18" i="8" s="1"/>
  <c r="M12" i="8" s="1" a="1"/>
  <c r="M12" i="8" s="1"/>
  <c r="L12" i="8" s="1"/>
  <c r="G25" i="8"/>
  <c r="J37" i="7"/>
  <c r="H37" i="7" s="1"/>
  <c r="J42" i="7"/>
  <c r="H42" i="7" s="1"/>
  <c r="Z24" i="8"/>
  <c r="M33" i="7" a="1"/>
  <c r="C223" i="12"/>
  <c r="B223" i="12" s="1"/>
  <c r="C18" i="12"/>
  <c r="E18" i="12"/>
  <c r="E222" i="12"/>
  <c r="D226" i="12"/>
  <c r="D22" i="12"/>
  <c r="M32" i="7" l="1" a="1"/>
  <c r="O32" i="7" s="1"/>
  <c r="H19" i="7"/>
  <c r="M31" i="7" a="1"/>
  <c r="T31" i="7" s="1"/>
  <c r="S53" i="7"/>
  <c r="R53" i="7"/>
  <c r="Q30" i="7"/>
  <c r="S30" i="7"/>
  <c r="O53" i="7"/>
  <c r="O30" i="7"/>
  <c r="T53" i="7"/>
  <c r="P30" i="7"/>
  <c r="M53" i="7"/>
  <c r="R30" i="7"/>
  <c r="Q53" i="7"/>
  <c r="T30" i="7"/>
  <c r="U53" i="7"/>
  <c r="N30" i="7"/>
  <c r="M30" i="7"/>
  <c r="P53" i="7"/>
  <c r="F34" i="7"/>
  <c r="F35" i="7"/>
  <c r="F46" i="7"/>
  <c r="F37" i="7"/>
  <c r="F3" i="11"/>
  <c r="H24" i="8"/>
  <c r="AE16" i="8"/>
  <c r="F38" i="7"/>
  <c r="AY8" i="16"/>
  <c r="F33" i="7"/>
  <c r="F36" i="7"/>
  <c r="J26" i="7"/>
  <c r="H26" i="7" s="1"/>
  <c r="G13" i="1"/>
  <c r="J45" i="7" s="1"/>
  <c r="U29" i="7"/>
  <c r="N29" i="7"/>
  <c r="T29" i="7"/>
  <c r="O29" i="7"/>
  <c r="Q29" i="7"/>
  <c r="R29" i="7"/>
  <c r="P29" i="7"/>
  <c r="M29" i="7"/>
  <c r="S29" i="7"/>
  <c r="J43" i="7"/>
  <c r="H43" i="7" s="1"/>
  <c r="Z25" i="8"/>
  <c r="R33" i="7"/>
  <c r="U33" i="7"/>
  <c r="S33" i="7"/>
  <c r="N33" i="7"/>
  <c r="T33" i="7"/>
  <c r="O33" i="7"/>
  <c r="Q33" i="7"/>
  <c r="P33" i="7"/>
  <c r="M33" i="7"/>
  <c r="G13" i="8"/>
  <c r="J38" i="7"/>
  <c r="H38" i="7" s="1"/>
  <c r="M34" i="7"/>
  <c r="O34" i="7"/>
  <c r="S34" i="7"/>
  <c r="R34" i="7"/>
  <c r="N34" i="7"/>
  <c r="P34" i="7"/>
  <c r="Q34" i="7"/>
  <c r="T34" i="7"/>
  <c r="U34" i="7"/>
  <c r="Z25" i="1"/>
  <c r="J31" i="7"/>
  <c r="H31" i="7" s="1"/>
  <c r="C224" i="12"/>
  <c r="B224" i="12" s="1"/>
  <c r="C19" i="12"/>
  <c r="D227" i="12"/>
  <c r="D23" i="12"/>
  <c r="E19" i="12"/>
  <c r="E223" i="12"/>
  <c r="I26" i="7" l="1"/>
  <c r="H25" i="1" s="1"/>
  <c r="N32" i="7"/>
  <c r="P32" i="7"/>
  <c r="M32" i="7"/>
  <c r="Q32" i="7"/>
  <c r="T32" i="7"/>
  <c r="U32" i="7"/>
  <c r="R32" i="7"/>
  <c r="S32" i="7"/>
  <c r="I21" i="7"/>
  <c r="H20" i="1" s="1"/>
  <c r="P31" i="7"/>
  <c r="Q31" i="7"/>
  <c r="S31" i="7"/>
  <c r="M31" i="7"/>
  <c r="R31" i="7"/>
  <c r="U31" i="7"/>
  <c r="O31" i="7"/>
  <c r="N31" i="7"/>
  <c r="I22" i="7"/>
  <c r="H21" i="1" s="1"/>
  <c r="J46" i="7"/>
  <c r="H46" i="7" s="1"/>
  <c r="H45" i="7"/>
  <c r="I45" i="7" s="1"/>
  <c r="H13" i="1" s="1"/>
  <c r="M44" i="7" a="1"/>
  <c r="M43" i="7" a="1"/>
  <c r="M41" i="7" a="1"/>
  <c r="M45" i="7" a="1"/>
  <c r="I37" i="7"/>
  <c r="AF29" i="8"/>
  <c r="AG29" i="8" s="1"/>
  <c r="AG32" i="8" s="1"/>
  <c r="AF12" i="8" s="1"/>
  <c r="AE12" i="8" s="1"/>
  <c r="J44" i="7"/>
  <c r="H44" i="7" s="1"/>
  <c r="M54" i="7" a="1"/>
  <c r="AF29" i="1"/>
  <c r="J32" i="7"/>
  <c r="H32" i="7" s="1"/>
  <c r="M46" i="7" a="1"/>
  <c r="M42" i="7" a="1"/>
  <c r="C20" i="12"/>
  <c r="C225" i="12"/>
  <c r="B225" i="12" s="1"/>
  <c r="E20" i="12"/>
  <c r="E224" i="12"/>
  <c r="D228" i="12"/>
  <c r="D24" i="12"/>
  <c r="I24" i="7" l="1"/>
  <c r="H23" i="1" s="1"/>
  <c r="I23" i="7"/>
  <c r="H22" i="1" s="1"/>
  <c r="J47" i="7"/>
  <c r="AG29" i="1"/>
  <c r="AG32" i="1" s="1"/>
  <c r="AF12" i="1" s="1"/>
  <c r="AE12" i="1" s="1"/>
  <c r="F44" i="7"/>
  <c r="AA21" i="8"/>
  <c r="AA20" i="8"/>
  <c r="F43" i="7"/>
  <c r="F41" i="7"/>
  <c r="F40" i="7"/>
  <c r="F42" i="7"/>
  <c r="F39" i="7"/>
  <c r="M43" i="7"/>
  <c r="O43" i="7"/>
  <c r="Q43" i="7"/>
  <c r="T43" i="7"/>
  <c r="U43" i="7"/>
  <c r="S43" i="7"/>
  <c r="N43" i="7"/>
  <c r="P43" i="7"/>
  <c r="R43" i="7"/>
  <c r="T41" i="7"/>
  <c r="O41" i="7"/>
  <c r="S41" i="7"/>
  <c r="R41" i="7"/>
  <c r="U41" i="7"/>
  <c r="P41" i="7"/>
  <c r="Q41" i="7"/>
  <c r="N41" i="7"/>
  <c r="M41" i="7"/>
  <c r="U42" i="7"/>
  <c r="S42" i="7"/>
  <c r="Q42" i="7"/>
  <c r="O42" i="7"/>
  <c r="M42" i="7"/>
  <c r="T42" i="7"/>
  <c r="N42" i="7"/>
  <c r="R42" i="7"/>
  <c r="P42" i="7"/>
  <c r="S44" i="7"/>
  <c r="O44" i="7"/>
  <c r="N44" i="7"/>
  <c r="U44" i="7"/>
  <c r="P44" i="7"/>
  <c r="R44" i="7"/>
  <c r="M44" i="7"/>
  <c r="Q44" i="7"/>
  <c r="T44" i="7"/>
  <c r="R46" i="7"/>
  <c r="T46" i="7"/>
  <c r="N46" i="7"/>
  <c r="U46" i="7"/>
  <c r="O46" i="7"/>
  <c r="S46" i="7"/>
  <c r="P46" i="7"/>
  <c r="M46" i="7"/>
  <c r="Q46" i="7"/>
  <c r="T54" i="7"/>
  <c r="M54" i="7"/>
  <c r="Q54" i="7"/>
  <c r="U54" i="7"/>
  <c r="S54" i="7"/>
  <c r="N54" i="7"/>
  <c r="O54" i="7"/>
  <c r="R54" i="7"/>
  <c r="P54" i="7"/>
  <c r="R45" i="7"/>
  <c r="M45" i="7"/>
  <c r="N45" i="7"/>
  <c r="U45" i="7"/>
  <c r="S45" i="7"/>
  <c r="O45" i="7"/>
  <c r="Q45" i="7"/>
  <c r="P45" i="7"/>
  <c r="T45" i="7"/>
  <c r="C226" i="12"/>
  <c r="B226" i="12" s="1"/>
  <c r="C21" i="12"/>
  <c r="D229" i="12"/>
  <c r="D25" i="12"/>
  <c r="E225" i="12"/>
  <c r="E21" i="12"/>
  <c r="I38" i="7" l="1"/>
  <c r="H25" i="8" s="1"/>
  <c r="I36" i="7"/>
  <c r="H23" i="8" s="1"/>
  <c r="E8" i="1"/>
  <c r="I35" i="7"/>
  <c r="H22" i="8" s="1"/>
  <c r="M49" i="7" a="1"/>
  <c r="M51" i="7" a="1"/>
  <c r="I46" i="7"/>
  <c r="H13" i="8" s="1"/>
  <c r="I33" i="7"/>
  <c r="H20" i="8" s="1"/>
  <c r="M52" i="7" a="1"/>
  <c r="I39" i="7"/>
  <c r="M47" i="7" a="1"/>
  <c r="I34" i="7"/>
  <c r="H21" i="8" s="1"/>
  <c r="M50" i="7" a="1"/>
  <c r="AA21" i="1"/>
  <c r="F28" i="7"/>
  <c r="AA20" i="1"/>
  <c r="F29" i="7"/>
  <c r="F32" i="7"/>
  <c r="F30" i="7"/>
  <c r="F31" i="7"/>
  <c r="F27" i="7"/>
  <c r="M48" i="7" a="1"/>
  <c r="I40" i="7"/>
  <c r="J48" i="7"/>
  <c r="H48" i="7" s="1"/>
  <c r="I48" i="7" s="1"/>
  <c r="H47" i="7"/>
  <c r="I47" i="7" s="1"/>
  <c r="C227" i="12"/>
  <c r="B227" i="12" s="1"/>
  <c r="C22" i="12"/>
  <c r="D230" i="12"/>
  <c r="D26" i="12"/>
  <c r="E22" i="12"/>
  <c r="E226" i="12"/>
  <c r="E8" i="8" l="1"/>
  <c r="M39" i="7" a="1"/>
  <c r="O50" i="7"/>
  <c r="Q50" i="7"/>
  <c r="N50" i="7"/>
  <c r="S50" i="7"/>
  <c r="P50" i="7"/>
  <c r="M50" i="7"/>
  <c r="R50" i="7"/>
  <c r="U50" i="7"/>
  <c r="T50" i="7"/>
  <c r="I28" i="7"/>
  <c r="M36" i="7" a="1"/>
  <c r="I27" i="7"/>
  <c r="M35" i="7" a="1"/>
  <c r="M38" i="7" a="1"/>
  <c r="M40" i="7" a="1"/>
  <c r="S47" i="7"/>
  <c r="O47" i="7"/>
  <c r="T47" i="7"/>
  <c r="Q47" i="7"/>
  <c r="R47" i="7"/>
  <c r="N47" i="7"/>
  <c r="M47" i="7"/>
  <c r="P47" i="7"/>
  <c r="U47" i="7"/>
  <c r="T51" i="7"/>
  <c r="P51" i="7"/>
  <c r="Q51" i="7"/>
  <c r="R51" i="7"/>
  <c r="M51" i="7"/>
  <c r="N51" i="7"/>
  <c r="S51" i="7"/>
  <c r="O51" i="7"/>
  <c r="U51" i="7"/>
  <c r="R52" i="7"/>
  <c r="Q52" i="7"/>
  <c r="P52" i="7"/>
  <c r="N52" i="7"/>
  <c r="M52" i="7"/>
  <c r="S52" i="7"/>
  <c r="U52" i="7"/>
  <c r="O52" i="7"/>
  <c r="T52" i="7"/>
  <c r="M37" i="7" a="1"/>
  <c r="P48" i="7"/>
  <c r="S48" i="7"/>
  <c r="T48" i="7"/>
  <c r="U48" i="7"/>
  <c r="M48" i="7"/>
  <c r="O48" i="7"/>
  <c r="R48" i="7"/>
  <c r="N48" i="7"/>
  <c r="Q48" i="7"/>
  <c r="P49" i="7"/>
  <c r="R49" i="7"/>
  <c r="M49" i="7"/>
  <c r="O49" i="7"/>
  <c r="U49" i="7"/>
  <c r="S49" i="7"/>
  <c r="N49" i="7"/>
  <c r="T49" i="7"/>
  <c r="Q49" i="7"/>
  <c r="C23" i="12"/>
  <c r="C228" i="12"/>
  <c r="B228" i="12" s="1"/>
  <c r="D27" i="12"/>
  <c r="D231" i="12"/>
  <c r="E227" i="12"/>
  <c r="E23" i="12"/>
  <c r="I44" i="7" l="1"/>
  <c r="AA25" i="8" s="1"/>
  <c r="I41" i="7"/>
  <c r="AA22" i="8" s="1"/>
  <c r="I43" i="7"/>
  <c r="AA24" i="8" s="1"/>
  <c r="N38" i="7"/>
  <c r="O38" i="7"/>
  <c r="R38" i="7"/>
  <c r="P38" i="7"/>
  <c r="S38" i="7"/>
  <c r="Q38" i="7"/>
  <c r="U38" i="7"/>
  <c r="T38" i="7"/>
  <c r="M38" i="7"/>
  <c r="I42" i="7"/>
  <c r="AA23" i="8" s="1"/>
  <c r="N35" i="7"/>
  <c r="M35" i="7"/>
  <c r="U35" i="7"/>
  <c r="T35" i="7"/>
  <c r="R35" i="7"/>
  <c r="P35" i="7"/>
  <c r="S35" i="7"/>
  <c r="Q35" i="7"/>
  <c r="O35" i="7"/>
  <c r="O36" i="7"/>
  <c r="S36" i="7"/>
  <c r="N36" i="7"/>
  <c r="R36" i="7"/>
  <c r="Q36" i="7"/>
  <c r="U36" i="7"/>
  <c r="T36" i="7"/>
  <c r="M36" i="7"/>
  <c r="P36" i="7"/>
  <c r="R37" i="7"/>
  <c r="N37" i="7"/>
  <c r="Q37" i="7"/>
  <c r="O37" i="7"/>
  <c r="M37" i="7"/>
  <c r="U37" i="7"/>
  <c r="T37" i="7"/>
  <c r="P37" i="7"/>
  <c r="S37" i="7"/>
  <c r="Q40" i="7"/>
  <c r="R40" i="7"/>
  <c r="S40" i="7"/>
  <c r="M40" i="7"/>
  <c r="P40" i="7"/>
  <c r="T40" i="7"/>
  <c r="U40" i="7"/>
  <c r="O40" i="7"/>
  <c r="N40" i="7"/>
  <c r="S39" i="7"/>
  <c r="R39" i="7"/>
  <c r="P39" i="7"/>
  <c r="N39" i="7"/>
  <c r="M39" i="7"/>
  <c r="U39" i="7"/>
  <c r="Q39" i="7"/>
  <c r="T39" i="7"/>
  <c r="O39" i="7"/>
  <c r="C24" i="12"/>
  <c r="C229" i="12"/>
  <c r="B229" i="12" s="1"/>
  <c r="E228" i="12"/>
  <c r="E24" i="12"/>
  <c r="D28" i="12"/>
  <c r="D232" i="12"/>
  <c r="I32" i="7" l="1"/>
  <c r="AA25" i="1" s="1"/>
  <c r="X8" i="8"/>
  <c r="E5" i="8" s="1"/>
  <c r="D3" i="11" s="1"/>
  <c r="I30" i="7"/>
  <c r="AA23" i="1" s="1"/>
  <c r="I31" i="7"/>
  <c r="AA24" i="1" s="1"/>
  <c r="I29" i="7"/>
  <c r="AA22" i="1" s="1"/>
  <c r="C25" i="12"/>
  <c r="C230" i="12"/>
  <c r="B230" i="12" s="1"/>
  <c r="D29" i="12"/>
  <c r="D233" i="12"/>
  <c r="E229" i="12"/>
  <c r="E25" i="12"/>
  <c r="AY7" i="16" l="1"/>
  <c r="N6" i="16" s="1"/>
  <c r="BB6" i="4"/>
  <c r="AD6" i="4" s="1"/>
  <c r="AW6" i="15"/>
  <c r="Y6" i="15" s="1"/>
  <c r="X8" i="1"/>
  <c r="E5" i="1" s="1"/>
  <c r="AV6" i="15" s="1"/>
  <c r="X6" i="15" s="1"/>
  <c r="C26" i="12"/>
  <c r="C231" i="12"/>
  <c r="B231" i="12" s="1"/>
  <c r="D234" i="12"/>
  <c r="D30" i="12"/>
  <c r="E26" i="12"/>
  <c r="E230" i="12"/>
  <c r="C3" i="11" l="1"/>
  <c r="BA6" i="4"/>
  <c r="AC6" i="4" s="1"/>
  <c r="AD7" i="4" s="1"/>
  <c r="Y7" i="15"/>
  <c r="AX7" i="16"/>
  <c r="M6" i="16" s="1"/>
  <c r="N7" i="16" s="1"/>
  <c r="C232" i="12"/>
  <c r="B232" i="12" s="1"/>
  <c r="C27" i="12"/>
  <c r="E231" i="12"/>
  <c r="E27" i="12"/>
  <c r="D31" i="12"/>
  <c r="D235" i="12"/>
  <c r="C233" i="12" l="1"/>
  <c r="B233" i="12" s="1"/>
  <c r="C28" i="12"/>
  <c r="D236" i="12"/>
  <c r="D32" i="12"/>
  <c r="E28" i="12"/>
  <c r="E232" i="12"/>
  <c r="C234" i="12" l="1"/>
  <c r="B234" i="12" s="1"/>
  <c r="C29" i="12"/>
  <c r="E233" i="12"/>
  <c r="E29" i="12"/>
  <c r="D237" i="12"/>
  <c r="D33" i="12"/>
  <c r="C30" i="12" l="1"/>
  <c r="C235" i="12"/>
  <c r="B235" i="12" s="1"/>
  <c r="D238" i="12"/>
  <c r="D34" i="12"/>
  <c r="E234" i="12"/>
  <c r="E30" i="12"/>
  <c r="C31" i="12" l="1"/>
  <c r="C236" i="12"/>
  <c r="B236" i="12" s="1"/>
  <c r="E235" i="12"/>
  <c r="E31" i="12"/>
  <c r="D239" i="12"/>
  <c r="D35" i="12"/>
  <c r="C32" i="12" l="1"/>
  <c r="C237" i="12"/>
  <c r="B237" i="12" s="1"/>
  <c r="D240" i="12"/>
  <c r="D36" i="12"/>
  <c r="E236" i="12"/>
  <c r="E32" i="12"/>
  <c r="C238" i="12" l="1"/>
  <c r="B238" i="12" s="1"/>
  <c r="C33" i="12"/>
  <c r="E237" i="12"/>
  <c r="E33" i="12"/>
  <c r="D37" i="12"/>
  <c r="D241" i="12"/>
  <c r="C239" i="12" l="1"/>
  <c r="B239" i="12" s="1"/>
  <c r="C34" i="12"/>
  <c r="D38" i="12"/>
  <c r="D242" i="12"/>
  <c r="E238" i="12"/>
  <c r="E34" i="12"/>
  <c r="C35" i="12" l="1"/>
  <c r="C240" i="12"/>
  <c r="B240" i="12" s="1"/>
  <c r="D39" i="12"/>
  <c r="D243" i="12"/>
  <c r="E35" i="12"/>
  <c r="E239" i="12"/>
  <c r="C36" i="12" l="1"/>
  <c r="C241" i="12"/>
  <c r="B241" i="12" s="1"/>
  <c r="D244" i="12"/>
  <c r="D40" i="12"/>
  <c r="E240" i="12"/>
  <c r="E36" i="12"/>
  <c r="C37" i="12" l="1"/>
  <c r="C242" i="12"/>
  <c r="B242" i="12" s="1"/>
  <c r="E241" i="12"/>
  <c r="E37" i="12"/>
  <c r="D245" i="12"/>
  <c r="D41" i="12"/>
  <c r="C38" i="12" l="1"/>
  <c r="C243" i="12"/>
  <c r="B243" i="12" s="1"/>
  <c r="D246" i="12"/>
  <c r="D42" i="12"/>
  <c r="E38" i="12"/>
  <c r="E242" i="12"/>
  <c r="C39" i="12" l="1"/>
  <c r="C244" i="12"/>
  <c r="B244" i="12" s="1"/>
  <c r="E39" i="12"/>
  <c r="E243" i="12"/>
  <c r="D43" i="12"/>
  <c r="D247" i="12"/>
  <c r="C245" i="12" l="1"/>
  <c r="B245" i="12" s="1"/>
  <c r="C40" i="12"/>
  <c r="E244" i="12"/>
  <c r="E40" i="12"/>
  <c r="D44" i="12"/>
  <c r="D248" i="12"/>
  <c r="C41" i="12" l="1"/>
  <c r="C246" i="12"/>
  <c r="B246" i="12" s="1"/>
  <c r="D249" i="12"/>
  <c r="D45" i="12"/>
  <c r="E245" i="12"/>
  <c r="E41" i="12"/>
  <c r="C42" i="12" l="1"/>
  <c r="C247" i="12"/>
  <c r="B247" i="12" s="1"/>
  <c r="E246" i="12"/>
  <c r="E42" i="12"/>
  <c r="D250" i="12"/>
  <c r="D46" i="12"/>
  <c r="C43" i="12" l="1"/>
  <c r="C248" i="12"/>
  <c r="B248" i="12" s="1"/>
  <c r="D251" i="12"/>
  <c r="D47" i="12"/>
  <c r="E43" i="12"/>
  <c r="E247" i="12"/>
  <c r="C249" i="12" l="1"/>
  <c r="B249" i="12" s="1"/>
  <c r="C44" i="12"/>
  <c r="D48" i="12"/>
  <c r="D252" i="12"/>
  <c r="E248" i="12"/>
  <c r="E44" i="12"/>
  <c r="C45" i="12" l="1"/>
  <c r="C250" i="12"/>
  <c r="B250" i="12" s="1"/>
  <c r="D49" i="12"/>
  <c r="D253" i="12"/>
  <c r="E45" i="12"/>
  <c r="E249" i="12"/>
  <c r="C46" i="12" l="1"/>
  <c r="C251" i="12"/>
  <c r="B251" i="12" s="1"/>
  <c r="D50" i="12"/>
  <c r="D254" i="12"/>
  <c r="E250" i="12"/>
  <c r="E46" i="12"/>
  <c r="C47" i="12" l="1"/>
  <c r="C252" i="12"/>
  <c r="B252" i="12" s="1"/>
  <c r="D51" i="12"/>
  <c r="D255" i="12"/>
  <c r="E251" i="12"/>
  <c r="E47" i="12"/>
  <c r="C253" i="12" l="1"/>
  <c r="B253" i="12" s="1"/>
  <c r="C48" i="12"/>
  <c r="D256" i="12"/>
  <c r="D52" i="12"/>
  <c r="E48" i="12"/>
  <c r="E252" i="12"/>
  <c r="C254" i="12" l="1"/>
  <c r="B254" i="12" s="1"/>
  <c r="C49" i="12"/>
  <c r="E253" i="12"/>
  <c r="E49" i="12"/>
  <c r="D53" i="12"/>
  <c r="D257" i="12"/>
  <c r="C255" i="12" l="1"/>
  <c r="B255" i="12" s="1"/>
  <c r="C50" i="12"/>
  <c r="D54" i="12"/>
  <c r="D258" i="12"/>
  <c r="E254" i="12"/>
  <c r="E50" i="12"/>
  <c r="C51" i="12" l="1"/>
  <c r="C256" i="12"/>
  <c r="B256" i="12" s="1"/>
  <c r="D55" i="12"/>
  <c r="D259" i="12"/>
  <c r="E255" i="12"/>
  <c r="E51" i="12"/>
  <c r="C257" i="12" l="1"/>
  <c r="B257" i="12" s="1"/>
  <c r="C52" i="12"/>
  <c r="D56" i="12"/>
  <c r="D260" i="12"/>
  <c r="E256" i="12"/>
  <c r="E52" i="12"/>
  <c r="C258" i="12" l="1"/>
  <c r="B258" i="12" s="1"/>
  <c r="C53" i="12"/>
  <c r="D57" i="12"/>
  <c r="D261" i="12"/>
  <c r="E53" i="12"/>
  <c r="E257" i="12"/>
  <c r="C54" i="12" l="1"/>
  <c r="C259" i="12"/>
  <c r="B259" i="12" s="1"/>
  <c r="D262" i="12"/>
  <c r="D58" i="12"/>
  <c r="E258" i="12"/>
  <c r="E54" i="12"/>
  <c r="C55" i="12" l="1"/>
  <c r="C260" i="12"/>
  <c r="B260" i="12" s="1"/>
  <c r="E55" i="12"/>
  <c r="E259" i="12"/>
  <c r="D59" i="12"/>
  <c r="D263" i="12"/>
  <c r="C261" i="12" l="1"/>
  <c r="B261" i="12" s="1"/>
  <c r="C56" i="12"/>
  <c r="E56" i="12"/>
  <c r="E260" i="12"/>
  <c r="D60" i="12"/>
  <c r="D264" i="12"/>
  <c r="C57" i="12" l="1"/>
  <c r="C262" i="12"/>
  <c r="B262" i="12" s="1"/>
  <c r="E261" i="12"/>
  <c r="E57" i="12"/>
  <c r="D61" i="12"/>
  <c r="D265" i="12"/>
  <c r="C58" i="12" l="1"/>
  <c r="C263" i="12"/>
  <c r="B263" i="12" s="1"/>
  <c r="D62" i="12"/>
  <c r="D266" i="12"/>
  <c r="E58" i="12"/>
  <c r="E262" i="12"/>
  <c r="C59" i="12" l="1"/>
  <c r="C264" i="12"/>
  <c r="B264" i="12" s="1"/>
  <c r="D63" i="12"/>
  <c r="D267" i="12"/>
  <c r="E263" i="12"/>
  <c r="E59" i="12"/>
  <c r="C265" i="12" l="1"/>
  <c r="B265" i="12" s="1"/>
  <c r="C60" i="12"/>
  <c r="D64" i="12"/>
  <c r="D268" i="12"/>
  <c r="E60" i="12"/>
  <c r="E264" i="12"/>
  <c r="C61" i="12" l="1"/>
  <c r="C266" i="12"/>
  <c r="B266" i="12" s="1"/>
  <c r="D65" i="12"/>
  <c r="D269" i="12"/>
  <c r="E265" i="12"/>
  <c r="E61" i="12"/>
  <c r="C62" i="12" l="1"/>
  <c r="C267" i="12"/>
  <c r="B267" i="12" s="1"/>
  <c r="D66" i="12"/>
  <c r="D270" i="12"/>
  <c r="E62" i="12"/>
  <c r="E266" i="12"/>
  <c r="C63" i="12" l="1"/>
  <c r="C268" i="12"/>
  <c r="B268" i="12" s="1"/>
  <c r="D271" i="12"/>
  <c r="D67" i="12"/>
  <c r="E63" i="12"/>
  <c r="E267" i="12"/>
  <c r="C269" i="12" l="1"/>
  <c r="B269" i="12" s="1"/>
  <c r="C64" i="12"/>
  <c r="E268" i="12"/>
  <c r="E64" i="12"/>
  <c r="D68" i="12"/>
  <c r="D272" i="12"/>
  <c r="C270" i="12" l="1"/>
  <c r="B270" i="12" s="1"/>
  <c r="C65" i="12"/>
  <c r="D69" i="12"/>
  <c r="D273" i="12"/>
  <c r="E269" i="12"/>
  <c r="E65" i="12"/>
  <c r="C66" i="12" l="1"/>
  <c r="C271" i="12"/>
  <c r="B271" i="12" s="1"/>
  <c r="D274" i="12"/>
  <c r="D70" i="12"/>
  <c r="E66" i="12"/>
  <c r="E270" i="12"/>
  <c r="C272" i="12" l="1"/>
  <c r="B272" i="12" s="1"/>
  <c r="C67" i="12"/>
  <c r="E67" i="12"/>
  <c r="E271" i="12"/>
  <c r="D275" i="12"/>
  <c r="D71" i="12"/>
  <c r="C273" i="12" l="1"/>
  <c r="B273" i="12" s="1"/>
  <c r="C68" i="12"/>
  <c r="E272" i="12"/>
  <c r="E68" i="12"/>
  <c r="D276" i="12"/>
  <c r="D72" i="12"/>
  <c r="C69" i="12" l="1"/>
  <c r="C274" i="12"/>
  <c r="B274" i="12" s="1"/>
  <c r="D277" i="12"/>
  <c r="D73" i="12"/>
  <c r="E273" i="12"/>
  <c r="E69" i="12"/>
  <c r="C70" i="12" l="1"/>
  <c r="C275" i="12"/>
  <c r="B275" i="12" s="1"/>
  <c r="E274" i="12"/>
  <c r="E70" i="12"/>
  <c r="D278" i="12"/>
  <c r="D74" i="12"/>
  <c r="C276" i="12" l="1"/>
  <c r="B276" i="12" s="1"/>
  <c r="C71" i="12"/>
  <c r="D75" i="12"/>
  <c r="D279" i="12"/>
  <c r="E71" i="12"/>
  <c r="E275" i="12"/>
  <c r="C277" i="12" l="1"/>
  <c r="B277" i="12" s="1"/>
  <c r="C72" i="12"/>
  <c r="D76" i="12"/>
  <c r="D280" i="12"/>
  <c r="E276" i="12"/>
  <c r="E72" i="12"/>
  <c r="C73" i="12" l="1"/>
  <c r="C278" i="12"/>
  <c r="B278" i="12" s="1"/>
  <c r="D281" i="12"/>
  <c r="D77" i="12"/>
  <c r="E73" i="12"/>
  <c r="E277" i="12"/>
  <c r="C279" i="12" l="1"/>
  <c r="B279" i="12" s="1"/>
  <c r="C74" i="12"/>
  <c r="E74" i="12"/>
  <c r="E278" i="12"/>
  <c r="D78" i="12"/>
  <c r="D282" i="12"/>
  <c r="C280" i="12" l="1"/>
  <c r="B280" i="12" s="1"/>
  <c r="C75" i="12"/>
  <c r="E279" i="12"/>
  <c r="E75" i="12"/>
  <c r="D283" i="12"/>
  <c r="D79" i="12"/>
  <c r="C281" i="12" l="1"/>
  <c r="B281" i="12" s="1"/>
  <c r="C76" i="12"/>
  <c r="D284" i="12"/>
  <c r="D80" i="12"/>
  <c r="E76" i="12"/>
  <c r="E280" i="12"/>
  <c r="C77" i="12" l="1"/>
  <c r="C282" i="12"/>
  <c r="B282" i="12" s="1"/>
  <c r="E281" i="12"/>
  <c r="E77" i="12"/>
  <c r="D81" i="12"/>
  <c r="D285" i="12"/>
  <c r="C78" i="12" l="1"/>
  <c r="C283" i="12"/>
  <c r="B283" i="12" s="1"/>
  <c r="D82" i="12"/>
  <c r="D286" i="12"/>
  <c r="E282" i="12"/>
  <c r="E78" i="12"/>
  <c r="C79" i="12" l="1"/>
  <c r="C284" i="12"/>
  <c r="B284" i="12" s="1"/>
  <c r="D287" i="12"/>
  <c r="D83" i="12"/>
  <c r="E283" i="12"/>
  <c r="E79" i="12"/>
  <c r="C285" i="12" l="1"/>
  <c r="B285" i="12" s="1"/>
  <c r="C80" i="12"/>
  <c r="E80" i="12"/>
  <c r="E284" i="12"/>
  <c r="D288" i="12"/>
  <c r="D84" i="12"/>
  <c r="C81" i="12" l="1"/>
  <c r="C286" i="12"/>
  <c r="B286" i="12" s="1"/>
  <c r="E81" i="12"/>
  <c r="E285" i="12"/>
  <c r="D85" i="12"/>
  <c r="D289" i="12"/>
  <c r="C82" i="12" l="1"/>
  <c r="C287" i="12"/>
  <c r="B287" i="12" s="1"/>
  <c r="E286" i="12"/>
  <c r="E82" i="12"/>
  <c r="D86" i="12"/>
  <c r="D290" i="12"/>
  <c r="C83" i="12" l="1"/>
  <c r="C288" i="12"/>
  <c r="B288" i="12" s="1"/>
  <c r="D87" i="12"/>
  <c r="D291" i="12"/>
  <c r="E287" i="12"/>
  <c r="E83" i="12"/>
  <c r="C289" i="12" l="1"/>
  <c r="B289" i="12" s="1"/>
  <c r="C84" i="12"/>
  <c r="D292" i="12"/>
  <c r="D88" i="12"/>
  <c r="E288" i="12"/>
  <c r="E84" i="12"/>
  <c r="C290" i="12" l="1"/>
  <c r="B290" i="12" s="1"/>
  <c r="C85" i="12"/>
  <c r="E85" i="12"/>
  <c r="E289" i="12"/>
  <c r="D293" i="12"/>
  <c r="D89" i="12"/>
  <c r="C86" i="12" l="1"/>
  <c r="C291" i="12"/>
  <c r="B291" i="12" s="1"/>
  <c r="E86" i="12"/>
  <c r="E290" i="12"/>
  <c r="D294" i="12"/>
  <c r="D90" i="12"/>
  <c r="C87" i="12" l="1"/>
  <c r="C292" i="12"/>
  <c r="B292" i="12" s="1"/>
  <c r="E87" i="12"/>
  <c r="E291" i="12"/>
  <c r="D295" i="12"/>
  <c r="D91" i="12"/>
  <c r="C293" i="12" l="1"/>
  <c r="B293" i="12" s="1"/>
  <c r="C88" i="12"/>
  <c r="E292" i="12"/>
  <c r="E88" i="12"/>
  <c r="D92" i="12"/>
  <c r="D296" i="12"/>
  <c r="C294" i="12" l="1"/>
  <c r="B294" i="12" s="1"/>
  <c r="C89" i="12"/>
  <c r="D297" i="12"/>
  <c r="D93" i="12"/>
  <c r="E89" i="12"/>
  <c r="E293" i="12"/>
  <c r="C295" i="12" l="1"/>
  <c r="B295" i="12" s="1"/>
  <c r="C90" i="12"/>
  <c r="E90" i="12"/>
  <c r="E294" i="12"/>
  <c r="D94" i="12"/>
  <c r="D298" i="12"/>
  <c r="C296" i="12" l="1"/>
  <c r="B296" i="12" s="1"/>
  <c r="C91" i="12"/>
  <c r="E91" i="12"/>
  <c r="E295" i="12"/>
  <c r="D95" i="12"/>
  <c r="D299" i="12"/>
  <c r="C92" i="12" l="1"/>
  <c r="C297" i="12"/>
  <c r="B297" i="12" s="1"/>
  <c r="E92" i="12"/>
  <c r="E296" i="12"/>
  <c r="D96" i="12"/>
  <c r="D300" i="12"/>
  <c r="C298" i="12" l="1"/>
  <c r="B298" i="12" s="1"/>
  <c r="C93" i="12"/>
  <c r="E297" i="12"/>
  <c r="E93" i="12"/>
  <c r="D301" i="12"/>
  <c r="D97" i="12"/>
  <c r="C299" i="12" l="1"/>
  <c r="B299" i="12" s="1"/>
  <c r="C94" i="12"/>
  <c r="D98" i="12"/>
  <c r="D302" i="12"/>
  <c r="E94" i="12"/>
  <c r="E298" i="12"/>
  <c r="C300" i="12" l="1"/>
  <c r="B300" i="12" s="1"/>
  <c r="C95" i="12"/>
  <c r="D303" i="12"/>
  <c r="D99" i="12"/>
  <c r="E95" i="12"/>
  <c r="E299" i="12"/>
  <c r="C96" i="12" l="1"/>
  <c r="C301" i="12"/>
  <c r="B301" i="12" s="1"/>
  <c r="E300" i="12"/>
  <c r="E96" i="12"/>
  <c r="D304" i="12"/>
  <c r="D100" i="12"/>
  <c r="C97" i="12" l="1"/>
  <c r="C302" i="12"/>
  <c r="B302" i="12" s="1"/>
  <c r="D101" i="12"/>
  <c r="D305" i="12"/>
  <c r="E97" i="12"/>
  <c r="E301" i="12"/>
  <c r="C98" i="12" l="1"/>
  <c r="C303" i="12"/>
  <c r="B303" i="12" s="1"/>
  <c r="D306" i="12"/>
  <c r="D102" i="12"/>
  <c r="E98" i="12"/>
  <c r="E302" i="12"/>
  <c r="C304" i="12" l="1"/>
  <c r="B304" i="12" s="1"/>
  <c r="C99" i="12"/>
  <c r="E99" i="12"/>
  <c r="E303" i="12"/>
  <c r="D103" i="12"/>
  <c r="D307" i="12"/>
  <c r="C100" i="12" l="1"/>
  <c r="C305" i="12"/>
  <c r="B305" i="12" s="1"/>
  <c r="E304" i="12"/>
  <c r="E100" i="12"/>
  <c r="D308" i="12"/>
  <c r="D104" i="12"/>
  <c r="C306" i="12" l="1"/>
  <c r="B306" i="12" s="1"/>
  <c r="C101" i="12"/>
  <c r="D309" i="12"/>
  <c r="D105" i="12"/>
  <c r="E101" i="12"/>
  <c r="E305" i="12"/>
  <c r="C102" i="12" l="1"/>
  <c r="C307" i="12"/>
  <c r="B307" i="12" s="1"/>
  <c r="E102" i="12"/>
  <c r="E306" i="12"/>
  <c r="D106" i="12"/>
  <c r="D310" i="12"/>
  <c r="C308" i="12" l="1"/>
  <c r="B308" i="12" s="1"/>
  <c r="C103" i="12"/>
  <c r="E103" i="12"/>
  <c r="E307" i="12"/>
  <c r="D311" i="12"/>
  <c r="D107" i="12"/>
  <c r="C104" i="12" l="1"/>
  <c r="C309" i="12"/>
  <c r="B309" i="12" s="1"/>
  <c r="E104" i="12"/>
  <c r="E308" i="12"/>
  <c r="D312" i="12"/>
  <c r="D108" i="12"/>
  <c r="C310" i="12" l="1"/>
  <c r="B310" i="12" s="1"/>
  <c r="C105" i="12"/>
  <c r="E309" i="12"/>
  <c r="E105" i="12"/>
  <c r="D109" i="12"/>
  <c r="D313" i="12"/>
  <c r="C106" i="12" l="1"/>
  <c r="C311" i="12"/>
  <c r="B311" i="12" s="1"/>
  <c r="D314" i="12"/>
  <c r="D110" i="12"/>
  <c r="E106" i="12"/>
  <c r="E310" i="12"/>
  <c r="C107" i="12" l="1"/>
  <c r="C312" i="12"/>
  <c r="B312" i="12" s="1"/>
  <c r="E107" i="12"/>
  <c r="E311" i="12"/>
  <c r="D111" i="12"/>
  <c r="D315" i="12"/>
  <c r="C108" i="12" l="1"/>
  <c r="C313" i="12"/>
  <c r="B313" i="12" s="1"/>
  <c r="E108" i="12"/>
  <c r="E312" i="12"/>
  <c r="D112" i="12"/>
  <c r="D316" i="12"/>
  <c r="C109" i="12" l="1"/>
  <c r="C314" i="12"/>
  <c r="B314" i="12" s="1"/>
  <c r="E109" i="12"/>
  <c r="E313" i="12"/>
  <c r="D113" i="12"/>
  <c r="D317" i="12"/>
  <c r="C315" i="12" l="1"/>
  <c r="B315" i="12" s="1"/>
  <c r="C110" i="12"/>
  <c r="E314" i="12"/>
  <c r="E110" i="12"/>
  <c r="D114" i="12"/>
  <c r="D318" i="12"/>
  <c r="C111" i="12" l="1"/>
  <c r="C316" i="12"/>
  <c r="B316" i="12" s="1"/>
  <c r="D319" i="12"/>
  <c r="D115" i="12"/>
  <c r="D320" i="12" s="1"/>
  <c r="D116" i="12" a="1"/>
  <c r="E315" i="12"/>
  <c r="E111" i="12"/>
  <c r="C112" i="12" l="1"/>
  <c r="C317" i="12"/>
  <c r="B317" i="12" s="1"/>
  <c r="D125" i="12"/>
  <c r="D211" i="12"/>
  <c r="D214" i="12"/>
  <c r="D142" i="12"/>
  <c r="D180" i="12"/>
  <c r="D169" i="12"/>
  <c r="D160" i="12"/>
  <c r="D162" i="12"/>
  <c r="D212" i="12"/>
  <c r="D183" i="12"/>
  <c r="D148" i="12"/>
  <c r="D124" i="12"/>
  <c r="D208" i="12"/>
  <c r="D196" i="12"/>
  <c r="D199" i="12"/>
  <c r="D158" i="12"/>
  <c r="D192" i="12"/>
  <c r="D217" i="12"/>
  <c r="D134" i="12"/>
  <c r="D144" i="12"/>
  <c r="D181" i="12"/>
  <c r="D197" i="12"/>
  <c r="D129" i="12"/>
  <c r="D168" i="12"/>
  <c r="D122" i="12"/>
  <c r="D195" i="12"/>
  <c r="D210" i="12"/>
  <c r="D166" i="12"/>
  <c r="D172" i="12"/>
  <c r="D146" i="12"/>
  <c r="D138" i="12"/>
  <c r="D119" i="12"/>
  <c r="D193" i="12"/>
  <c r="D157" i="12"/>
  <c r="D215" i="12"/>
  <c r="D149" i="12"/>
  <c r="D187" i="12"/>
  <c r="D198" i="12"/>
  <c r="D128" i="12"/>
  <c r="D200" i="12"/>
  <c r="D159" i="12"/>
  <c r="D121" i="12"/>
  <c r="D116" i="12"/>
  <c r="D179" i="12"/>
  <c r="D127" i="12"/>
  <c r="D154" i="12"/>
  <c r="D118" i="12"/>
  <c r="D191" i="12"/>
  <c r="D150" i="12"/>
  <c r="D141" i="12"/>
  <c r="D170" i="12"/>
  <c r="D184" i="12"/>
  <c r="D213" i="12"/>
  <c r="D206" i="12"/>
  <c r="D140" i="12"/>
  <c r="D173" i="12"/>
  <c r="D126" i="12"/>
  <c r="D151" i="12"/>
  <c r="D135" i="12"/>
  <c r="D130" i="12"/>
  <c r="D132" i="12"/>
  <c r="D186" i="12"/>
  <c r="D203" i="12"/>
  <c r="D137" i="12"/>
  <c r="D164" i="12"/>
  <c r="D131" i="12"/>
  <c r="D165" i="12"/>
  <c r="D156" i="12"/>
  <c r="D185" i="12"/>
  <c r="D147" i="12"/>
  <c r="D190" i="12"/>
  <c r="D152" i="12"/>
  <c r="D177" i="12"/>
  <c r="D204" i="12"/>
  <c r="D175" i="12"/>
  <c r="D202" i="12"/>
  <c r="D207" i="12"/>
  <c r="D209" i="12"/>
  <c r="D155" i="12"/>
  <c r="D176" i="12"/>
  <c r="D143" i="12"/>
  <c r="D153" i="12"/>
  <c r="D182" i="12"/>
  <c r="D145" i="12"/>
  <c r="D163" i="12"/>
  <c r="D117" i="12"/>
  <c r="D136" i="12"/>
  <c r="D189" i="12"/>
  <c r="D216" i="12"/>
  <c r="D205" i="12"/>
  <c r="D139" i="12"/>
  <c r="D123" i="12"/>
  <c r="D133" i="12"/>
  <c r="D188" i="12"/>
  <c r="D201" i="12"/>
  <c r="D178" i="12"/>
  <c r="D174" i="12"/>
  <c r="D194" i="12"/>
  <c r="D161" i="12"/>
  <c r="D171" i="12"/>
  <c r="D167" i="12"/>
  <c r="D120" i="12"/>
  <c r="E112" i="12"/>
  <c r="E316" i="12"/>
  <c r="C318" i="12" l="1"/>
  <c r="B318" i="12" s="1"/>
  <c r="C113" i="12"/>
  <c r="E317" i="12"/>
  <c r="E113" i="12"/>
  <c r="C319" i="12" l="1"/>
  <c r="B319" i="12" s="1"/>
  <c r="C114" i="12"/>
  <c r="E318" i="12"/>
  <c r="E114" i="12"/>
  <c r="C115" i="12" l="1"/>
  <c r="C320" i="12"/>
  <c r="B320" i="12" s="1"/>
  <c r="C116" i="12" a="1"/>
  <c r="E319" i="12"/>
  <c r="E115" i="12"/>
  <c r="E320" i="12" s="1"/>
  <c r="E116" i="12" a="1"/>
  <c r="C126" i="12" l="1"/>
  <c r="C198" i="12"/>
  <c r="C186" i="12"/>
  <c r="C185" i="12"/>
  <c r="C191" i="12"/>
  <c r="C152" i="12"/>
  <c r="C214" i="12"/>
  <c r="C145" i="12"/>
  <c r="C134" i="12"/>
  <c r="C133" i="12"/>
  <c r="C135" i="12"/>
  <c r="C177" i="12"/>
  <c r="C131" i="12"/>
  <c r="C141" i="12"/>
  <c r="C138" i="12"/>
  <c r="C202" i="12"/>
  <c r="C165" i="12"/>
  <c r="C155" i="12"/>
  <c r="C132" i="12"/>
  <c r="C161" i="12"/>
  <c r="C143" i="12"/>
  <c r="C211" i="12"/>
  <c r="C205" i="12"/>
  <c r="C216" i="12"/>
  <c r="C196" i="12"/>
  <c r="C149" i="12"/>
  <c r="C195" i="12"/>
  <c r="C172" i="12"/>
  <c r="C139" i="12"/>
  <c r="C201" i="12"/>
  <c r="C166" i="12"/>
  <c r="C200" i="12"/>
  <c r="C140" i="12"/>
  <c r="C129" i="12"/>
  <c r="C130" i="12"/>
  <c r="C122" i="12"/>
  <c r="C125" i="12"/>
  <c r="C160" i="12"/>
  <c r="C124" i="12"/>
  <c r="C156" i="12"/>
  <c r="C162" i="12"/>
  <c r="C142" i="12"/>
  <c r="C210" i="12"/>
  <c r="C159" i="12"/>
  <c r="C179" i="12"/>
  <c r="C150" i="12"/>
  <c r="C170" i="12"/>
  <c r="C180" i="12"/>
  <c r="C215" i="12"/>
  <c r="C182" i="12"/>
  <c r="C151" i="12"/>
  <c r="C192" i="12"/>
  <c r="C154" i="12"/>
  <c r="C194" i="12"/>
  <c r="C178" i="12"/>
  <c r="C120" i="12"/>
  <c r="C187" i="12"/>
  <c r="C193" i="12"/>
  <c r="C148" i="12"/>
  <c r="C188" i="12"/>
  <c r="C217" i="12"/>
  <c r="C189" i="12"/>
  <c r="C146" i="12"/>
  <c r="C137" i="12"/>
  <c r="C190" i="12"/>
  <c r="C206" i="12"/>
  <c r="C213" i="12"/>
  <c r="C163" i="12"/>
  <c r="C199" i="12"/>
  <c r="C167" i="12"/>
  <c r="C197" i="12"/>
  <c r="C118" i="12"/>
  <c r="C153" i="12"/>
  <c r="C212" i="12"/>
  <c r="C175" i="12"/>
  <c r="C203" i="12"/>
  <c r="C174" i="12"/>
  <c r="C128" i="12"/>
  <c r="C176" i="12"/>
  <c r="C121" i="12"/>
  <c r="C127" i="12"/>
  <c r="C117" i="12"/>
  <c r="C157" i="12"/>
  <c r="C208" i="12"/>
  <c r="C184" i="12"/>
  <c r="C173" i="12"/>
  <c r="C207" i="12"/>
  <c r="C181" i="12"/>
  <c r="C204" i="12"/>
  <c r="C158" i="12"/>
  <c r="C136" i="12"/>
  <c r="C169" i="12"/>
  <c r="C119" i="12"/>
  <c r="C116" i="12"/>
  <c r="Q74" i="12" s="1" a="1"/>
  <c r="Q74" i="12" s="1"/>
  <c r="C168" i="12"/>
  <c r="C123" i="12"/>
  <c r="C209" i="12"/>
  <c r="C147" i="12"/>
  <c r="C164" i="12"/>
  <c r="C183" i="12"/>
  <c r="C144" i="12"/>
  <c r="C171" i="12"/>
  <c r="E141" i="12"/>
  <c r="E196" i="12"/>
  <c r="E140" i="12"/>
  <c r="E126" i="12"/>
  <c r="E144" i="12"/>
  <c r="E180" i="12"/>
  <c r="E163" i="12"/>
  <c r="E124" i="12"/>
  <c r="E152" i="12"/>
  <c r="E119" i="12"/>
  <c r="E179" i="12"/>
  <c r="E184" i="12"/>
  <c r="E155" i="12"/>
  <c r="E148" i="12"/>
  <c r="E203" i="12"/>
  <c r="E145" i="12"/>
  <c r="E151" i="12"/>
  <c r="E182" i="12"/>
  <c r="E123" i="12"/>
  <c r="E125" i="12"/>
  <c r="E171" i="12"/>
  <c r="E209" i="12"/>
  <c r="E139" i="12"/>
  <c r="E214" i="12"/>
  <c r="E149" i="12"/>
  <c r="E194" i="12"/>
  <c r="E177" i="12"/>
  <c r="E217" i="12"/>
  <c r="E193" i="12"/>
  <c r="E191" i="12"/>
  <c r="E167" i="12"/>
  <c r="E117" i="12"/>
  <c r="E132" i="12"/>
  <c r="E157" i="12"/>
  <c r="E168" i="12"/>
  <c r="E137" i="12"/>
  <c r="E118" i="12"/>
  <c r="E172" i="12"/>
  <c r="E206" i="12"/>
  <c r="E178" i="12"/>
  <c r="E198" i="12"/>
  <c r="E116" i="12"/>
  <c r="E201" i="12"/>
  <c r="E174" i="12"/>
  <c r="E134" i="12"/>
  <c r="E189" i="12"/>
  <c r="E121" i="12"/>
  <c r="E130" i="12"/>
  <c r="E127" i="12"/>
  <c r="E158" i="12"/>
  <c r="E162" i="12"/>
  <c r="E195" i="12"/>
  <c r="E175" i="12"/>
  <c r="E135" i="12"/>
  <c r="E146" i="12"/>
  <c r="E136" i="12"/>
  <c r="E181" i="12"/>
  <c r="E183" i="12"/>
  <c r="E133" i="12"/>
  <c r="E204" i="12"/>
  <c r="E147" i="12"/>
  <c r="E208" i="12"/>
  <c r="E205" i="12"/>
  <c r="E188" i="12"/>
  <c r="E216" i="12"/>
  <c r="E156" i="12"/>
  <c r="E138" i="12"/>
  <c r="E131" i="12"/>
  <c r="E213" i="12"/>
  <c r="E122" i="12"/>
  <c r="E153" i="12"/>
  <c r="E200" i="12"/>
  <c r="E211" i="12"/>
  <c r="E166" i="12"/>
  <c r="E199" i="12"/>
  <c r="E215" i="12"/>
  <c r="E186" i="12"/>
  <c r="E169" i="12"/>
  <c r="E210" i="12"/>
  <c r="E197" i="12"/>
  <c r="E143" i="12"/>
  <c r="E161" i="12"/>
  <c r="E207" i="12"/>
  <c r="E192" i="12"/>
  <c r="E120" i="12"/>
  <c r="E154" i="12"/>
  <c r="E159" i="12"/>
  <c r="E164" i="12"/>
  <c r="E173" i="12"/>
  <c r="E212" i="12"/>
  <c r="E165" i="12"/>
  <c r="E129" i="12"/>
  <c r="E160" i="12"/>
  <c r="E187" i="12"/>
  <c r="E170" i="12"/>
  <c r="E190" i="12"/>
  <c r="E176" i="12"/>
  <c r="E142" i="12"/>
  <c r="E150" i="12"/>
  <c r="E185" i="12"/>
  <c r="E202" i="12"/>
  <c r="E128"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 Savage</author>
  </authors>
  <commentList>
    <comment ref="I25" authorId="0" shapeId="0" xr:uid="{00000000-0006-0000-0100-000001000000}">
      <text>
        <r>
          <rPr>
            <b/>
            <sz val="9"/>
            <color indexed="81"/>
            <rFont val="Tahoma"/>
            <family val="2"/>
          </rPr>
          <t>Number of Magnitude 
Histogram Bins</t>
        </r>
        <r>
          <rPr>
            <sz val="9"/>
            <color indexed="81"/>
            <rFont val="Tahoma"/>
            <family val="2"/>
          </rPr>
          <t xml:space="preserve">
</t>
        </r>
      </text>
    </comment>
    <comment ref="K25" authorId="0" shapeId="0" xr:uid="{00000000-0006-0000-0100-000002000000}">
      <text>
        <r>
          <rPr>
            <b/>
            <sz val="9"/>
            <color indexed="81"/>
            <rFont val="Tahoma"/>
            <family val="2"/>
          </rPr>
          <t>Width of Magnitude Histogram Bins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Sam Savage</author>
  </authors>
  <commentList>
    <comment ref="X25" authorId="0" shapeId="0" xr:uid="{00000000-0006-0000-0200-000001000000}">
      <text>
        <r>
          <rPr>
            <b/>
            <sz val="9"/>
            <color indexed="81"/>
            <rFont val="Tahoma"/>
            <family val="2"/>
          </rPr>
          <t>Number of Magnitude 
Histogram Bins</t>
        </r>
        <r>
          <rPr>
            <sz val="9"/>
            <color indexed="81"/>
            <rFont val="Tahoma"/>
            <family val="2"/>
          </rPr>
          <t xml:space="preserve">
</t>
        </r>
      </text>
    </comment>
    <comment ref="Z25" authorId="0" shapeId="0" xr:uid="{00000000-0006-0000-0200-000002000000}">
      <text>
        <r>
          <rPr>
            <b/>
            <sz val="9"/>
            <color indexed="81"/>
            <rFont val="Tahoma"/>
            <family val="2"/>
          </rPr>
          <t>Width of Magnitude Histogram Bins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Sam Savage</author>
  </authors>
  <commentList>
    <comment ref="S25" authorId="0" shapeId="0" xr:uid="{00000000-0006-0000-0300-000001000000}">
      <text>
        <r>
          <rPr>
            <b/>
            <sz val="9"/>
            <color indexed="81"/>
            <rFont val="Tahoma"/>
            <family val="2"/>
          </rPr>
          <t>Number of Magnitude 
Histogram Bins</t>
        </r>
        <r>
          <rPr>
            <sz val="9"/>
            <color indexed="81"/>
            <rFont val="Tahoma"/>
            <family val="2"/>
          </rPr>
          <t xml:space="preserve">
</t>
        </r>
      </text>
    </comment>
    <comment ref="U25" authorId="0" shapeId="0" xr:uid="{00000000-0006-0000-0300-000002000000}">
      <text>
        <r>
          <rPr>
            <b/>
            <sz val="9"/>
            <color indexed="81"/>
            <rFont val="Tahoma"/>
            <family val="2"/>
          </rPr>
          <t>Width of Magnitude Histogram Bins</t>
        </r>
      </text>
    </comment>
  </commentList>
</comments>
</file>

<file path=xl/sharedStrings.xml><?xml version="1.0" encoding="utf-8"?>
<sst xmlns="http://schemas.openxmlformats.org/spreadsheetml/2006/main" count="537" uniqueCount="215">
  <si>
    <t>Generated with the SIPmath™ Modeler Tools from ProbabilityManagement.org</t>
  </si>
  <si>
    <t>Index</t>
  </si>
  <si>
    <t>Values</t>
  </si>
  <si>
    <t>Expected Value</t>
  </si>
  <si>
    <t>Series Name</t>
  </si>
  <si>
    <t>Integer chart?</t>
  </si>
  <si>
    <t>Loss Exceedance</t>
  </si>
  <si>
    <t>Number of Bins</t>
  </si>
  <si>
    <t>Label position</t>
  </si>
  <si>
    <t>Bin Width</t>
  </si>
  <si>
    <t>Decimals</t>
  </si>
  <si>
    <t>Scale</t>
  </si>
  <si>
    <t>Use Axis Title?</t>
  </si>
  <si>
    <t>Axis Title</t>
  </si>
  <si>
    <t>Min</t>
  </si>
  <si>
    <t>Bin Range</t>
  </si>
  <si>
    <t>Frequency</t>
  </si>
  <si>
    <t>Labels</t>
  </si>
  <si>
    <t>Cumulative</t>
  </si>
  <si>
    <t>Risk</t>
  </si>
  <si>
    <t># Binomial Distribution</t>
  </si>
  <si>
    <t>Magnitude</t>
  </si>
  <si>
    <t># Poisson</t>
  </si>
  <si>
    <t>Secondary Risk:</t>
  </si>
  <si>
    <t>SLEF (%)</t>
  </si>
  <si>
    <t>Frequency (Primary)</t>
  </si>
  <si>
    <t>Contact Frequency</t>
  </si>
  <si>
    <t>PoA (%)</t>
  </si>
  <si>
    <t>Vunerability</t>
  </si>
  <si>
    <t>Threat Event Frequency</t>
  </si>
  <si>
    <t>Expected number of occurrences</t>
  </si>
  <si>
    <t># Primary + Secondary</t>
  </si>
  <si>
    <t>Secondary</t>
  </si>
  <si>
    <t>Primary</t>
  </si>
  <si>
    <t>Loss</t>
  </si>
  <si>
    <t>Contact</t>
  </si>
  <si>
    <t>Vulnerability</t>
  </si>
  <si>
    <t>Bins</t>
  </si>
  <si>
    <t>Width</t>
  </si>
  <si>
    <t>Resistance</t>
  </si>
  <si>
    <t>Threat</t>
  </si>
  <si>
    <t>ML</t>
  </si>
  <si>
    <t>MAX</t>
  </si>
  <si>
    <t>MIN</t>
  </si>
  <si>
    <t>stored data</t>
  </si>
  <si>
    <t>formulas may be copied down</t>
  </si>
  <si>
    <t xml:space="preserve">scaling </t>
  </si>
  <si>
    <t>constants</t>
  </si>
  <si>
    <t>a</t>
  </si>
  <si>
    <t>shape list (mode)</t>
  </si>
  <si>
    <r>
      <t>Y</t>
    </r>
    <r>
      <rPr>
        <vertAlign val="superscript"/>
        <sz val="11"/>
        <color theme="1"/>
        <rFont val="Calibri"/>
        <family val="2"/>
        <scheme val="minor"/>
      </rPr>
      <t>-1</t>
    </r>
  </si>
  <si>
    <t>user inputs for sum of triangulars</t>
  </si>
  <si>
    <t>lo bound</t>
  </si>
  <si>
    <t>mode</t>
  </si>
  <si>
    <t>hi bound</t>
  </si>
  <si>
    <t>n</t>
  </si>
  <si>
    <t>Prob (y)</t>
  </si>
  <si>
    <t>CDF (x)</t>
  </si>
  <si>
    <t>(2-1000)</t>
  </si>
  <si>
    <t>=TRANSPOSE( MMULT(N5:V13,((LN(INDEX(M22:AM129,9*LOOKUP(('user model'!C21-'user model'!B21)/('user model'!D21-'user model'!B21),L5:L16,K5:K16)-8,LOOKUP('user model'!E21,M21:AM21,M20:AM20)):INDEX(M22:AM129,9*LOOKUP(('user model'!C21-'user model'!B21)/('user model'!D21-'user model'!B21),L5:L16,K5:K16),LOOKUP('user model'!E21,M21:AM21,M20:AM20))/(1-INDEX(M22:AM129,9*LOOKUP(('user model'!C21-'user model'!B21)/('user model'!D21-'user model'!B21),L5:L16,K5:K16)-8,LOOKUP('user model'!E21,M21:AM21,M20:AM20)):INDEX(M22:AM129,9*LOOKUP(('user model'!C21-'user model'!B21)/('user model'!D21-'user model'!B21),L5:L16,K5:K16),LOOKUP('user model'!E21,M21:AM21,M20:AM20)))))*((INDEX(M21:AM21,1,LOOKUP('user model'!E21,M21:AM21,M20:AM20)+1)-'user model'!E21)/(INDEX(M21:AM21,1,LOOKUP('user model'!E21,M21:AM21,M20:AM20)+1)-INDEX(M21:AM21,1,LOOKUP('user model'!E21,M21:AM21,M20:AM20))))+(LN(INDEX(M22:AM129,9*LOOKUP(('user model'!C21-'user model'!B21)/('user model'!D21-'user model'!B21),L5:L16,K5:K16)-8,LOOKUP('user model'!E21,M21:AM21,M20:AM20)+1):INDEX(M22:AM129,9*LOOKUP(('user model'!C21-'user model'!B21)/('user model'!D21-'user model'!B21),L5:L16,K5:K16),LOOKUP('user model'!E21,M21:AM21,M20:AM20)+1)/(1-INDEX(M22:AM129,9*LOOKUP(('user model'!C21-'user model'!B21)/('user model'!D21-'user model'!B21),L5:L16,K5:K16)-8,LOOKUP('user model'!E21,M21:AM21,M20:AM20)+1):INDEX(M22:AM129,9*LOOKUP(('user model'!C21-'user model'!B21)/('user model'!D21-'user model'!B21),L5:L16,K5:K16),LOOKUP('user model'!E21,M21:AM21,M20:AM20)+1))))*(1-((INDEX(M21:AM21,1,LOOKUP('user model'!E21,M21:AM21,M20:AM20)+1)-'user model'!E21)/(INDEX(M21:AM21,1,LOOKUP('user model'!E21,M21:AM21,M20:AM20)+1)-INDEX(M21:AM21,1,LOOKUP('user model'!E21,M21:AM21,M20:AM20))))))*((INDEX(L5:L16,LOOKUP(('user model'!C21-'user model'!B21)/('user model'!D21-'user model'!B21),L5:L16,K5:K16)+1,1)-('user model'!C21-'user model'!B21)/('user model'!D21-'user model'!B21))/(INDEX(L5:L16,LOOKUP(('user model'!C21-'user model'!B21)/('user model'!D21-'user model'!B21),L5:L16,K5:K16)+1,1)-INDEX(L5:L16,LOOKUP(('user model'!C21-'user model'!B21)/('user model'!D21-'user model'!B21),L5:L16,K5:K16),1)))+((LN(INDEX(M22:AM129,9*LOOKUP(('user model'!C21-'user model'!B21)/('user model'!D21-'user model'!B21),L5:L16,K5:K16)+1,LOOKUP('user model'!E21,M21:AM21,M20:AM20)):INDEX(M22:AM129,9*LOOKUP(('user model'!C21-'user model'!B21)/('user model'!D21-'user model'!B21),L5:L16,K5:K16)+9,LOOKUP('user model'!E21,M21:AM21,M20:AM20))/(1-INDEX(M22:AM129,9*LOOKUP(('user model'!C21-'user model'!B21)/('user model'!D21-'user model'!B21),L5:L16,K5:K16)+1,LOOKUP('user model'!E21,M21:AM21,M20:AM20)):INDEX(M22:AM129,9*LOOKUP(('user model'!C21-'user model'!B21)/('user model'!D21-'user model'!B21),L5:L16,K5:K16)+9,LOOKUP('user model'!E21,M21:AM21,M20:AM20)))))*((INDEX(M21:AM21,1,LOOKUP('user model'!E21,M21:AM21,M20:AM20)+1)-'user model'!E21)/(INDEX(M21:AM21,1,LOOKUP('user model'!E21,M21:AM21,M20:AM20)+1)-INDEX(M21:AM21,1,LOOKUP('user model'!E21,M21:AM21,M20:AM20))))+(LN(INDEX(M22:AM129,9*LOOKUP(('user model'!C21-'user model'!B21)/('user model'!D21-'user model'!B21),L5:L16,K5:K16)+1,LOOKUP('user model'!E21,M21:AM21,M20:AM20)+1):INDEX(M22:AM129,9*LOOKUP(('user model'!C21-'user model'!B21)/('user model'!D21-'user model'!B21),L5:L16,K5:K16)+9,LOOKUP('user model'!E21,M21:AM21,M20:AM20)+1)/(1-INDEX(M22:AM129,9*LOOKUP(('user model'!C21-'user model'!B21)/('user model'!D21-'user model'!B21),L5:L16,K5:K16)+1,LOOKUP('user model'!E21,M21:AM21,M20:AM20)+1):INDEX(M22:AM129,9*LOOKUP(('user model'!C21-'user model'!B21)/('user model'!D21-'user model'!B21),L5:L16,K5:K16)+9,LOOKUP('user model'!E21,M21:AM21,M20:AM20)+1))))*(1-((INDEX(M21:AM21,1,LOOKUP('user model'!E21,M21:AM21,M20:AM20)+1)-'user model'!E21)/(INDEX(M21:AM21,1,LOOKUP('user model'!E21,M21:AM21,M20:AM20)+1)-INDEX(M21:AM21,1,LOOKUP('user model'!E21,M21:AM21,M20:AM20))))))*(1-(INDEX(L5:L16,LOOKUP(('user model'!C21-'user model'!B21)/('user model'!D21-'user model'!B21),L5:L16,K5:K16)+1,1)-('user model'!C21-'user model'!B21)/('user model'!D21-'user model'!B21))/(INDEX(L5:L16,LOOKUP(('user model'!C21-'user model'!B21)/('user model'!D21-'user model'!B21),L5:L16,K5:K16)+1,1)-INDEX(L5:L16,LOOKUP(('user model'!C21-'user model'!B21)/('user model'!D21-'user model'!B21),L5:L16,K5:K16),1)))) )</t>
  </si>
  <si>
    <t>Table of Quantiles (Q) -- average of n IID samples over 1 million trials</t>
  </si>
  <si>
    <t>Mathematica: convolution 2.1 all in one 1 mm lognormal triangular</t>
  </si>
  <si>
    <t>shape</t>
  </si>
  <si>
    <t>cum</t>
  </si>
  <si>
    <t>prob</t>
  </si>
  <si>
    <t>Sums of IID Triangular Distributions</t>
  </si>
  <si>
    <t>Based on Metalog Approximations</t>
  </si>
  <si>
    <t>Designed by Tom Keelin</t>
  </si>
  <si>
    <t>Replacement</t>
  </si>
  <si>
    <t>Response</t>
  </si>
  <si>
    <t>Fines &amp; Judgements</t>
  </si>
  <si>
    <t>Reputation</t>
  </si>
  <si>
    <t>Competitive Adv.</t>
  </si>
  <si>
    <t>Productivity Loss</t>
  </si>
  <si>
    <t>Most Likely</t>
  </si>
  <si>
    <t>Max</t>
  </si>
  <si>
    <t>Var_ID</t>
  </si>
  <si>
    <t>VAR_ID</t>
  </si>
  <si>
    <t>Pr_Un_Mag1</t>
  </si>
  <si>
    <t>Pr_Un_Mag2</t>
  </si>
  <si>
    <t>Pr_Un_Mag3</t>
  </si>
  <si>
    <t>Pr_Un_Mag4</t>
  </si>
  <si>
    <t>Pr_Un_Mag5</t>
  </si>
  <si>
    <t>Pr_Un_Mag6</t>
  </si>
  <si>
    <t>Se_Un_Mag1</t>
  </si>
  <si>
    <t>Se_Un_Mag2</t>
  </si>
  <si>
    <t>Se_Un_Mag3</t>
  </si>
  <si>
    <t>Se_Un_Mag4</t>
  </si>
  <si>
    <t>Se_Un_Mag5</t>
  </si>
  <si>
    <t>Se_Un_Mag6</t>
  </si>
  <si>
    <t>Primary VAR_ID</t>
  </si>
  <si>
    <t>Secondary VAR_ID</t>
  </si>
  <si>
    <t># Triangular per Event</t>
  </si>
  <si>
    <t>Pr_Mi_Mag1</t>
  </si>
  <si>
    <t>Pr_Mi_Mag2</t>
  </si>
  <si>
    <t>Pr_Mi_Mag3</t>
  </si>
  <si>
    <t>Pr_Mi_Mag4</t>
  </si>
  <si>
    <t>Pr_Mi_Mag5</t>
  </si>
  <si>
    <t>Pr_Mi_Mag6</t>
  </si>
  <si>
    <t>Se_Mi_Mag1</t>
  </si>
  <si>
    <t>Se_Mi_Mag2</t>
  </si>
  <si>
    <t>Se_Mi_Mag3</t>
  </si>
  <si>
    <t>Se_Mi_Mag4</t>
  </si>
  <si>
    <t>Se_Mi_Mag5</t>
  </si>
  <si>
    <t>Se_Mi_Mag6</t>
  </si>
  <si>
    <t>Secondary Events</t>
  </si>
  <si>
    <t>P(Loss_Event|Threat_Event)</t>
  </si>
  <si>
    <t>Primary_Un</t>
  </si>
  <si>
    <t>Total_Un</t>
  </si>
  <si>
    <t>Secondary_Un</t>
  </si>
  <si>
    <t>Total_Mi</t>
  </si>
  <si>
    <t>Secondary_Mi</t>
  </si>
  <si>
    <t>What_If</t>
  </si>
  <si>
    <t>Capability</t>
  </si>
  <si>
    <t>Strength</t>
  </si>
  <si>
    <t>Current</t>
  </si>
  <si>
    <t>Proposed</t>
  </si>
  <si>
    <t>Loss Event Frequency</t>
  </si>
  <si>
    <t>Min     ML     Max</t>
  </si>
  <si>
    <t>LEF to TEF</t>
  </si>
  <si>
    <t>LEF to Vul</t>
  </si>
  <si>
    <t>Proposed LEF</t>
  </si>
  <si>
    <t>LEF</t>
  </si>
  <si>
    <t>TEF to CF</t>
  </si>
  <si>
    <t>TEF to PoA</t>
  </si>
  <si>
    <t># Triang Input From Sheet</t>
  </si>
  <si>
    <t>TEF</t>
  </si>
  <si>
    <t>VULN</t>
  </si>
  <si>
    <t>Vul_TC</t>
  </si>
  <si>
    <t>Vul_RS</t>
  </si>
  <si>
    <t>Drill Down</t>
  </si>
  <si>
    <t>Cur.</t>
  </si>
  <si>
    <t>Pro.</t>
  </si>
  <si>
    <t>LowerLeft</t>
  </si>
  <si>
    <t>LowerRight</t>
  </si>
  <si>
    <t>Primary Loss:</t>
  </si>
  <si>
    <t>Secondary Loss:</t>
  </si>
  <si>
    <t>Loss Magnitude</t>
  </si>
  <si>
    <t>Min     ML    Max</t>
  </si>
  <si>
    <t>Primary Proposed</t>
  </si>
  <si>
    <t>Sec_Proposed</t>
  </si>
  <si>
    <t>Top</t>
  </si>
  <si>
    <t>Current_Top</t>
  </si>
  <si>
    <t>Proposed_Top</t>
  </si>
  <si>
    <t>Min          ML          Max</t>
  </si>
  <si>
    <t xml:space="preserve">      Primary Loss Magnitude</t>
  </si>
  <si>
    <t># Triangular</t>
  </si>
  <si>
    <t>Proposed TEF</t>
  </si>
  <si>
    <t>CF Pro</t>
  </si>
  <si>
    <t>PoA</t>
  </si>
  <si>
    <t>Proposed Vuln</t>
  </si>
  <si>
    <t>Proposed SEF</t>
  </si>
  <si>
    <t xml:space="preserve">  Threat Event Frequency/yr.</t>
  </si>
  <si>
    <t xml:space="preserve">   Contact</t>
  </si>
  <si>
    <t xml:space="preserve">   Frequency/yr.</t>
  </si>
  <si>
    <t>Calculated Below</t>
  </si>
  <si>
    <t>Current Vulnerability</t>
  </si>
  <si>
    <t>Diff.</t>
  </si>
  <si>
    <t>Prop.</t>
  </si>
  <si>
    <t>Exceeds</t>
  </si>
  <si>
    <t xml:space="preserve">       Probability</t>
  </si>
  <si>
    <t xml:space="preserve">      of Action</t>
  </si>
  <si>
    <t xml:space="preserve">  Loss Event Frequency/yr.</t>
  </si>
  <si>
    <t>SLEF</t>
  </si>
  <si>
    <t>↑</t>
  </si>
  <si>
    <t>←</t>
  </si>
  <si>
    <t>Zero Check</t>
  </si>
  <si>
    <t xml:space="preserve">     Secondary Loss Magnitude</t>
  </si>
  <si>
    <t>Productivity</t>
  </si>
  <si>
    <t>Judgments</t>
  </si>
  <si>
    <t>Loss Units</t>
  </si>
  <si>
    <t>$</t>
  </si>
  <si>
    <t>000s</t>
  </si>
  <si>
    <t>Bin</t>
  </si>
  <si>
    <t>Current Loss Events</t>
  </si>
  <si>
    <t>Proposed Loss Events</t>
  </si>
  <si>
    <t>Current_Loss_Events</t>
  </si>
  <si>
    <t>Proposed_Loss_Events</t>
  </si>
  <si>
    <t>Total Risk</t>
  </si>
  <si>
    <t>Single Primary Loss</t>
  </si>
  <si>
    <t>Single Secondary Loss</t>
  </si>
  <si>
    <t>Single Total Loss</t>
  </si>
  <si>
    <t>Magnitude Display Mode</t>
  </si>
  <si>
    <t>M</t>
  </si>
  <si>
    <t>SIPmath™ Modeler Tools from ProbabilityManagement.org</t>
  </si>
  <si>
    <t xml:space="preserve">Model created by Sam Savage, Danny O'Neil and Mike Jerbic with the </t>
  </si>
  <si>
    <t>&lt;Link&gt;</t>
  </si>
  <si>
    <t>Sums Primary and Secondary Risk across all potential events</t>
  </si>
  <si>
    <t>Conditional distribution of loss given a single Primary Loss</t>
  </si>
  <si>
    <t>Conditional distribution of loss given a single Secondary Loss</t>
  </si>
  <si>
    <t>Conditional distribution of a single Secondary and Primary Loss</t>
  </si>
  <si>
    <t xml:space="preserve">The Department of Economics at San Jose State University </t>
  </si>
  <si>
    <t>Toggle:</t>
  </si>
  <si>
    <t>TRUE title</t>
  </si>
  <si>
    <t>FALSE title</t>
  </si>
  <si>
    <t>Loss Events/yr.</t>
  </si>
  <si>
    <t>Selected Title</t>
  </si>
  <si>
    <t>FALSE Title</t>
  </si>
  <si>
    <t>Chance of Exceeding Events/yr.</t>
  </si>
  <si>
    <t>Lambda</t>
  </si>
  <si>
    <t>VUL</t>
  </si>
  <si>
    <t>TEF*VUL</t>
  </si>
  <si>
    <t># Triang Input From Sheet Row 11</t>
  </si>
  <si>
    <t># Triang Input From Sheet Row 4</t>
  </si>
  <si>
    <t>Contact*PoA</t>
  </si>
  <si>
    <t>Row 11</t>
  </si>
  <si>
    <t>Triangular Row 19</t>
  </si>
  <si>
    <t>Events</t>
  </si>
  <si>
    <t>Loss Measure</t>
  </si>
  <si>
    <t>HDR random number generator by Hubbard Decision Research</t>
  </si>
  <si>
    <t>Sums of IID triangular distributions from MetalogDistributions.com</t>
  </si>
  <si>
    <t>=OFFSET( 'SIPmath Chart Data'!$B$219:$B$320, 0, IF( PM_Toggle, 2, 0 ), IF( PM_Toggle, 'SIPmath Chart Data'!$D$6, 'SIPmath Chart Data'!$B$6 ))</t>
  </si>
  <si>
    <t xml:space="preserve"> </t>
  </si>
  <si>
    <t xml:space="preserve">         </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</si>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</sst>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quot;$&quot;#,##0.00"/>
  </numFmts>
  <fonts count="54" x14ac:knownFonts="1">
    <font>
      <sz val="12"/>
      <color theme="1"/>
      <name val="Calibri"/>
      <family val="2"/>
      <scheme val="minor"/>
    </font>
    <font>
      <sz val="10"/>
      <color theme="1"/>
      <name val="Arial"/>
      <family val="2"/>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26"/>
      <color theme="1"/>
      <name val="Calibri"/>
      <family val="2"/>
      <scheme val="minor"/>
    </font>
    <font>
      <sz val="12"/>
      <color theme="0" tint="-0.14999847407452621"/>
      <name val="Calibri"/>
      <family val="2"/>
      <scheme val="minor"/>
    </font>
    <font>
      <b/>
      <sz val="18"/>
      <color theme="1"/>
      <name val="Calibri"/>
      <family val="2"/>
      <scheme val="minor"/>
    </font>
    <font>
      <b/>
      <i/>
      <sz val="16"/>
      <color theme="1"/>
      <name val="Calibri"/>
      <family val="2"/>
      <scheme val="minor"/>
    </font>
    <font>
      <b/>
      <sz val="16"/>
      <color theme="1"/>
      <name val="Calibri"/>
      <family val="2"/>
      <scheme val="minor"/>
    </font>
    <font>
      <b/>
      <sz val="11"/>
      <color theme="1"/>
      <name val="Calibri"/>
      <family val="2"/>
      <scheme val="minor"/>
    </font>
    <font>
      <sz val="9"/>
      <color theme="1"/>
      <name val="Calibri"/>
      <family val="2"/>
      <scheme val="minor"/>
    </font>
    <font>
      <i/>
      <sz val="9"/>
      <color theme="1"/>
      <name val="Calibri"/>
      <family val="2"/>
      <scheme val="minor"/>
    </font>
    <font>
      <vertAlign val="superscript"/>
      <sz val="11"/>
      <color theme="1"/>
      <name val="Calibri"/>
      <family val="2"/>
      <scheme val="minor"/>
    </font>
    <font>
      <i/>
      <sz val="8"/>
      <color theme="1"/>
      <name val="Calibri"/>
      <family val="2"/>
      <scheme val="minor"/>
    </font>
    <font>
      <sz val="11"/>
      <color rgb="FF00FF00"/>
      <name val="Calibri"/>
      <family val="2"/>
      <scheme val="minor"/>
    </font>
    <font>
      <i/>
      <sz val="10"/>
      <color theme="1"/>
      <name val="Calibri"/>
      <family val="2"/>
      <scheme val="minor"/>
    </font>
    <font>
      <sz val="9"/>
      <color rgb="FFFF0000"/>
      <name val="Calibri"/>
      <family val="2"/>
      <scheme val="minor"/>
    </font>
    <font>
      <i/>
      <sz val="11"/>
      <color theme="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b/>
      <sz val="12"/>
      <color theme="4" tint="0.39997558519241921"/>
      <name val="Calibri"/>
      <family val="2"/>
      <scheme val="minor"/>
    </font>
    <font>
      <b/>
      <sz val="12"/>
      <color theme="4"/>
      <name val="Calibri"/>
      <family val="2"/>
      <scheme val="minor"/>
    </font>
    <font>
      <sz val="12"/>
      <color theme="4"/>
      <name val="Calibri"/>
      <family val="2"/>
      <scheme val="minor"/>
    </font>
    <font>
      <sz val="12"/>
      <color theme="0"/>
      <name val="Calibri"/>
      <family val="2"/>
      <scheme val="minor"/>
    </font>
    <font>
      <sz val="12"/>
      <color theme="0" tint="-0.34998626667073579"/>
      <name val="Calibri"/>
      <family val="2"/>
      <scheme val="minor"/>
    </font>
    <font>
      <b/>
      <sz val="14"/>
      <color theme="0"/>
      <name val="Calibri"/>
      <family val="2"/>
      <scheme val="minor"/>
    </font>
    <font>
      <sz val="12"/>
      <color theme="0" tint="-0.249977111117893"/>
      <name val="Calibri"/>
      <family val="2"/>
      <scheme val="minor"/>
    </font>
    <font>
      <u/>
      <sz val="12"/>
      <color theme="1"/>
      <name val="Calibri"/>
      <family val="2"/>
      <scheme val="minor"/>
    </font>
    <font>
      <b/>
      <sz val="12"/>
      <color theme="0"/>
      <name val="Calibri"/>
      <family val="2"/>
      <scheme val="minor"/>
    </font>
    <font>
      <sz val="12"/>
      <color theme="0" tint="-4.9989318521683403E-2"/>
      <name val="Calibri"/>
      <family val="2"/>
    </font>
    <font>
      <sz val="12"/>
      <color rgb="FFC00000"/>
      <name val="Calibri"/>
      <family val="2"/>
      <scheme val="minor"/>
    </font>
    <font>
      <sz val="12"/>
      <color rgb="FFFF0000"/>
      <name val="Calibri"/>
      <family val="2"/>
      <scheme val="minor"/>
    </font>
    <font>
      <sz val="9"/>
      <color indexed="81"/>
      <name val="Tahoma"/>
      <family val="2"/>
    </font>
    <font>
      <b/>
      <sz val="9"/>
      <color indexed="81"/>
      <name val="Tahoma"/>
      <family val="2"/>
    </font>
    <font>
      <i/>
      <sz val="12"/>
      <color theme="1"/>
      <name val="Calibri"/>
      <family val="2"/>
      <scheme val="minor"/>
    </font>
    <font>
      <sz val="20"/>
      <color theme="1"/>
      <name val="Arial"/>
      <family val="2"/>
    </font>
    <font>
      <sz val="14"/>
      <color theme="1"/>
      <name val="Calibri"/>
      <family val="2"/>
      <scheme val="minor"/>
    </font>
    <font>
      <sz val="14"/>
      <color theme="0"/>
      <name val="Calibri"/>
      <family val="2"/>
      <scheme val="minor"/>
    </font>
    <font>
      <sz val="12"/>
      <color rgb="FF000000"/>
      <name val="Arial"/>
      <family val="2"/>
    </font>
    <font>
      <b/>
      <sz val="14"/>
      <color rgb="FF00A6DE"/>
      <name val="Arial"/>
      <family val="2"/>
    </font>
    <font>
      <b/>
      <sz val="16"/>
      <color rgb="FF00A6DE"/>
      <name val="Arial"/>
      <family val="2"/>
    </font>
    <font>
      <sz val="9"/>
      <color theme="1"/>
      <name val="Arial"/>
      <family val="2"/>
    </font>
    <font>
      <sz val="8"/>
      <color theme="1"/>
      <name val="Arial"/>
      <family val="2"/>
    </font>
    <font>
      <sz val="11"/>
      <color theme="1"/>
      <name val="Arial"/>
      <family val="2"/>
    </font>
    <font>
      <sz val="8"/>
      <color rgb="FF00A6DE"/>
      <name val="Arial"/>
      <family val="2"/>
    </font>
  </fonts>
  <fills count="23">
    <fill>
      <patternFill patternType="none"/>
    </fill>
    <fill>
      <patternFill patternType="gray125"/>
    </fill>
    <fill>
      <patternFill patternType="solid">
        <fgColor rgb="FFFFFF00"/>
        <bgColor indexed="64"/>
      </patternFill>
    </fill>
    <fill>
      <patternFill patternType="solid">
        <fgColor rgb="FFFF8080"/>
        <bgColor indexed="64"/>
      </patternFill>
    </fill>
    <fill>
      <patternFill patternType="solid">
        <fgColor rgb="FFFFFF80"/>
        <bgColor indexed="64"/>
      </patternFill>
    </fill>
    <fill>
      <patternFill patternType="solid">
        <fgColor rgb="FF80FFFF"/>
        <bgColor indexed="64"/>
      </patternFill>
    </fill>
    <fill>
      <patternFill patternType="solid">
        <fgColor rgb="FF80FF80"/>
        <bgColor indexed="64"/>
      </patternFill>
    </fill>
    <fill>
      <patternFill patternType="solid">
        <fgColor theme="2"/>
        <bgColor indexed="64"/>
      </patternFill>
    </fill>
    <fill>
      <patternFill patternType="solid">
        <fgColor rgb="FFC5D9F1"/>
        <bgColor indexed="64"/>
      </patternFill>
    </fill>
    <fill>
      <patternFill patternType="solid">
        <fgColor theme="0"/>
        <bgColor indexed="64"/>
      </patternFill>
    </fill>
    <fill>
      <patternFill patternType="solid">
        <fgColor rgb="FF92D050"/>
        <bgColor indexed="64"/>
      </patternFill>
    </fill>
    <fill>
      <patternFill patternType="solid">
        <fgColor rgb="FFCCFFCC"/>
        <bgColor indexed="64"/>
      </patternFill>
    </fill>
    <fill>
      <patternFill patternType="solid">
        <fgColor rgb="FFFFFFCC"/>
        <bgColor indexed="64"/>
      </patternFill>
    </fill>
    <fill>
      <patternFill patternType="solid">
        <fgColor rgb="FFFFC000"/>
        <bgColor indexed="64"/>
      </patternFill>
    </fill>
    <fill>
      <patternFill patternType="solid">
        <fgColor rgb="FFCC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bgColor indexed="64"/>
      </patternFill>
    </fill>
    <fill>
      <patternFill patternType="solid">
        <fgColor theme="0" tint="-0.14996795556505021"/>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
      <patternFill patternType="solid">
        <fgColor rgb="FF00B050"/>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808080"/>
      </left>
      <right style="thin">
        <color rgb="FF808080"/>
      </right>
      <top style="thin">
        <color rgb="FF808080"/>
      </top>
      <bottom style="thin">
        <color rgb="FF80808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808080"/>
      </left>
      <right style="thin">
        <color rgb="FF808080"/>
      </right>
      <top style="thin">
        <color rgb="FF808080"/>
      </top>
      <bottom/>
      <diagonal/>
    </border>
    <border>
      <left/>
      <right/>
      <top style="thin">
        <color rgb="FF000000"/>
      </top>
      <bottom/>
      <diagonal/>
    </border>
    <border>
      <left/>
      <right/>
      <top/>
      <bottom style="thin">
        <color rgb="FF000000"/>
      </bottom>
      <diagonal/>
    </border>
    <border>
      <left style="medium">
        <color auto="1"/>
      </left>
      <right style="medium">
        <color auto="1"/>
      </right>
      <top style="medium">
        <color auto="1"/>
      </top>
      <bottom style="medium">
        <color auto="1"/>
      </bottom>
      <diagonal/>
    </border>
  </borders>
  <cellStyleXfs count="189">
    <xf numFmtId="0" fontId="0" fillId="0" borderId="0"/>
    <xf numFmtId="9" fontId="8"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7" fillId="0" borderId="0"/>
    <xf numFmtId="9" fontId="7" fillId="0" borderId="0" applyFon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4" fillId="0" borderId="0"/>
    <xf numFmtId="9"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34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vertical="center"/>
    </xf>
    <xf numFmtId="0" fontId="0" fillId="0" borderId="0" xfId="0" applyAlignment="1">
      <alignment vertical="center"/>
    </xf>
    <xf numFmtId="0" fontId="9" fillId="0" borderId="0" xfId="0" applyFont="1" applyAlignment="1">
      <alignment vertical="center" wrapText="1"/>
    </xf>
    <xf numFmtId="0" fontId="0" fillId="0" borderId="0" xfId="0" applyFont="1" applyAlignment="1">
      <alignment vertical="center" wrapText="1"/>
    </xf>
    <xf numFmtId="0" fontId="0" fillId="0" borderId="0"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0" xfId="0" applyBorder="1" applyAlignment="1">
      <alignment horizontal="center" vertical="center"/>
    </xf>
    <xf numFmtId="0" fontId="0" fillId="0" borderId="14" xfId="0" applyBorder="1" applyAlignment="1">
      <alignment vertical="center"/>
    </xf>
    <xf numFmtId="0" fontId="0" fillId="0" borderId="4" xfId="0" applyBorder="1" applyAlignment="1">
      <alignment vertical="center"/>
    </xf>
    <xf numFmtId="0" fontId="9" fillId="0" borderId="5"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9" fillId="0" borderId="6" xfId="0" applyFont="1" applyBorder="1" applyAlignment="1">
      <alignment vertical="center"/>
    </xf>
    <xf numFmtId="0" fontId="9" fillId="0" borderId="14" xfId="0" applyFont="1" applyBorder="1" applyAlignment="1">
      <alignment vertical="center"/>
    </xf>
    <xf numFmtId="0" fontId="9" fillId="0" borderId="0" xfId="0" applyFont="1" applyAlignment="1">
      <alignment vertical="center"/>
    </xf>
    <xf numFmtId="0" fontId="9" fillId="0" borderId="13" xfId="0" applyFont="1" applyBorder="1" applyAlignment="1">
      <alignment vertical="center"/>
    </xf>
    <xf numFmtId="0" fontId="9" fillId="0" borderId="5" xfId="0" applyFont="1" applyBorder="1" applyAlignment="1">
      <alignment vertical="center" wrapText="1"/>
    </xf>
    <xf numFmtId="0" fontId="0" fillId="0" borderId="2" xfId="0" applyBorder="1" applyAlignment="1">
      <alignment vertical="center"/>
    </xf>
    <xf numFmtId="0" fontId="0" fillId="0" borderId="7" xfId="0" applyBorder="1" applyAlignment="1">
      <alignment vertical="center"/>
    </xf>
    <xf numFmtId="0" fontId="12" fillId="0" borderId="0" xfId="0" applyFont="1" applyBorder="1" applyAlignment="1">
      <alignment vertical="center"/>
    </xf>
    <xf numFmtId="0" fontId="13" fillId="0" borderId="0" xfId="0" applyFont="1" applyBorder="1" applyAlignment="1">
      <alignment vertical="center"/>
    </xf>
    <xf numFmtId="0" fontId="9" fillId="0" borderId="0" xfId="0" applyFont="1" applyBorder="1" applyAlignment="1">
      <alignment horizontal="center" vertical="center"/>
    </xf>
    <xf numFmtId="0" fontId="9" fillId="0" borderId="0" xfId="0" applyFont="1" applyBorder="1" applyAlignment="1">
      <alignment vertical="center"/>
    </xf>
    <xf numFmtId="9" fontId="0" fillId="0" borderId="0" xfId="1" applyFont="1" applyBorder="1" applyAlignment="1">
      <alignment vertical="center"/>
    </xf>
    <xf numFmtId="0" fontId="0" fillId="0" borderId="8" xfId="0" applyBorder="1" applyAlignment="1">
      <alignment vertical="center"/>
    </xf>
    <xf numFmtId="0" fontId="0" fillId="0" borderId="3" xfId="0" applyBorder="1" applyAlignment="1">
      <alignment vertical="center"/>
    </xf>
    <xf numFmtId="0" fontId="0" fillId="0" borderId="9"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0" xfId="0" applyBorder="1" applyAlignment="1">
      <alignment vertical="center" wrapText="1"/>
    </xf>
    <xf numFmtId="0" fontId="0" fillId="0" borderId="7" xfId="0" applyBorder="1" applyAlignment="1">
      <alignment vertical="center" wrapText="1"/>
    </xf>
    <xf numFmtId="0" fontId="0" fillId="0" borderId="14" xfId="0" applyBorder="1" applyAlignment="1">
      <alignment vertical="center" wrapText="1"/>
    </xf>
    <xf numFmtId="0" fontId="0" fillId="0" borderId="0" xfId="0" applyAlignment="1">
      <alignment vertical="center" wrapText="1"/>
    </xf>
    <xf numFmtId="9" fontId="0" fillId="0" borderId="7" xfId="1" applyFont="1" applyBorder="1" applyAlignment="1">
      <alignment vertical="center"/>
    </xf>
    <xf numFmtId="9" fontId="0" fillId="0" borderId="14" xfId="1" applyFont="1" applyBorder="1" applyAlignment="1">
      <alignment vertical="center"/>
    </xf>
    <xf numFmtId="0" fontId="15" fillId="0" borderId="0" xfId="0" applyFont="1" applyBorder="1" applyAlignment="1">
      <alignment vertical="center"/>
    </xf>
    <xf numFmtId="0" fontId="14" fillId="0" borderId="0" xfId="0" applyFont="1" applyAlignment="1">
      <alignment vertical="center"/>
    </xf>
    <xf numFmtId="0" fontId="0" fillId="0" borderId="13" xfId="0" applyBorder="1" applyAlignment="1">
      <alignment vertical="center" wrapText="1"/>
    </xf>
    <xf numFmtId="9" fontId="0" fillId="0" borderId="13" xfId="1" applyFont="1" applyBorder="1" applyAlignment="1">
      <alignment vertical="center"/>
    </xf>
    <xf numFmtId="2" fontId="9" fillId="7" borderId="18" xfId="0" applyNumberFormat="1" applyFont="1" applyFill="1" applyBorder="1" applyAlignment="1">
      <alignment horizontal="right" vertical="top"/>
    </xf>
    <xf numFmtId="2" fontId="0" fillId="0" borderId="0" xfId="0" applyNumberFormat="1" applyAlignment="1">
      <alignment vertical="center"/>
    </xf>
    <xf numFmtId="0" fontId="0" fillId="0" borderId="19" xfId="0" applyBorder="1"/>
    <xf numFmtId="0" fontId="0" fillId="2" borderId="21" xfId="0" applyFill="1" applyBorder="1"/>
    <xf numFmtId="0" fontId="0" fillId="2" borderId="23" xfId="0" applyFill="1" applyBorder="1"/>
    <xf numFmtId="0" fontId="0" fillId="8" borderId="22" xfId="0" applyFill="1" applyBorder="1"/>
    <xf numFmtId="0" fontId="0" fillId="8" borderId="24" xfId="0" applyFill="1" applyBorder="1"/>
    <xf numFmtId="0" fontId="0" fillId="0" borderId="25" xfId="0" applyBorder="1"/>
    <xf numFmtId="0" fontId="9" fillId="7" borderId="18" xfId="0" applyFont="1" applyFill="1" applyBorder="1" applyAlignment="1">
      <alignment horizontal="right" vertical="top"/>
    </xf>
    <xf numFmtId="9" fontId="0" fillId="10" borderId="1" xfId="0" applyNumberFormat="1" applyFill="1" applyBorder="1" applyAlignment="1">
      <alignment vertical="center"/>
    </xf>
    <xf numFmtId="0" fontId="7" fillId="0" borderId="0" xfId="24" applyAlignment="1">
      <alignment horizontal="center"/>
    </xf>
    <xf numFmtId="0" fontId="17" fillId="0" borderId="18" xfId="24" applyFont="1" applyBorder="1" applyAlignment="1">
      <alignment horizontal="right" vertical="top"/>
    </xf>
    <xf numFmtId="9" fontId="0" fillId="0" borderId="0" xfId="25" applyFont="1" applyAlignment="1">
      <alignment horizontal="center"/>
    </xf>
    <xf numFmtId="9" fontId="7" fillId="0" borderId="0" xfId="24" applyNumberFormat="1" applyAlignment="1">
      <alignment horizontal="center"/>
    </xf>
    <xf numFmtId="0" fontId="18" fillId="0" borderId="26" xfId="24" applyFont="1" applyBorder="1" applyAlignment="1">
      <alignment horizontal="center"/>
    </xf>
    <xf numFmtId="0" fontId="18" fillId="0" borderId="27" xfId="24" applyFont="1" applyBorder="1" applyAlignment="1">
      <alignment horizontal="center"/>
    </xf>
    <xf numFmtId="0" fontId="18" fillId="0" borderId="28" xfId="24" applyFont="1" applyBorder="1" applyAlignment="1">
      <alignment horizontal="center"/>
    </xf>
    <xf numFmtId="0" fontId="18" fillId="0" borderId="29" xfId="24" applyFont="1" applyBorder="1" applyAlignment="1">
      <alignment horizontal="center"/>
    </xf>
    <xf numFmtId="0" fontId="18" fillId="0" borderId="0" xfId="24" applyFont="1" applyAlignment="1">
      <alignment horizontal="center"/>
    </xf>
    <xf numFmtId="0" fontId="18" fillId="0" borderId="30" xfId="24" applyFont="1" applyBorder="1" applyAlignment="1">
      <alignment horizontal="center"/>
    </xf>
    <xf numFmtId="0" fontId="18" fillId="0" borderId="31" xfId="24" applyFont="1" applyBorder="1" applyAlignment="1">
      <alignment horizontal="center"/>
    </xf>
    <xf numFmtId="9" fontId="7" fillId="2" borderId="0" xfId="24" applyNumberFormat="1" applyFill="1" applyAlignment="1">
      <alignment horizontal="center"/>
    </xf>
    <xf numFmtId="0" fontId="7" fillId="0" borderId="0" xfId="24"/>
    <xf numFmtId="0" fontId="7" fillId="11" borderId="26" xfId="24" applyFill="1" applyBorder="1" applyAlignment="1">
      <alignment horizontal="centerContinuous"/>
    </xf>
    <xf numFmtId="0" fontId="7" fillId="11" borderId="27" xfId="24" applyFill="1" applyBorder="1" applyAlignment="1">
      <alignment horizontal="centerContinuous"/>
    </xf>
    <xf numFmtId="0" fontId="7" fillId="11" borderId="28" xfId="24" applyFill="1" applyBorder="1" applyAlignment="1">
      <alignment horizontal="centerContinuous"/>
    </xf>
    <xf numFmtId="0" fontId="19" fillId="0" borderId="0" xfId="24" applyFont="1" applyAlignment="1">
      <alignment horizontal="centerContinuous"/>
    </xf>
    <xf numFmtId="0" fontId="7" fillId="11" borderId="29" xfId="24" applyFill="1" applyBorder="1" applyAlignment="1">
      <alignment horizontal="center"/>
    </xf>
    <xf numFmtId="0" fontId="7" fillId="11" borderId="30" xfId="24" applyFill="1" applyBorder="1" applyAlignment="1">
      <alignment horizontal="center"/>
    </xf>
    <xf numFmtId="0" fontId="7" fillId="11" borderId="25" xfId="24" applyFill="1" applyBorder="1" applyAlignment="1">
      <alignment horizontal="center"/>
    </xf>
    <xf numFmtId="0" fontId="7" fillId="11" borderId="4" xfId="24" applyFill="1" applyBorder="1" applyAlignment="1">
      <alignment horizontal="centerContinuous"/>
    </xf>
    <xf numFmtId="0" fontId="7" fillId="11" borderId="6" xfId="24" applyFill="1" applyBorder="1" applyAlignment="1">
      <alignment horizontal="centerContinuous"/>
    </xf>
    <xf numFmtId="0" fontId="7" fillId="11" borderId="5" xfId="24" applyFill="1" applyBorder="1" applyAlignment="1">
      <alignment horizontal="centerContinuous"/>
    </xf>
    <xf numFmtId="0" fontId="21" fillId="11" borderId="4" xfId="24" applyFont="1" applyFill="1" applyBorder="1" applyAlignment="1">
      <alignment horizontal="center"/>
    </xf>
    <xf numFmtId="2" fontId="7" fillId="11" borderId="6" xfId="24" applyNumberFormat="1" applyFill="1" applyBorder="1" applyAlignment="1">
      <alignment horizontal="center"/>
    </xf>
    <xf numFmtId="164" fontId="7" fillId="11" borderId="2" xfId="24" applyNumberFormat="1" applyFill="1" applyBorder="1" applyAlignment="1">
      <alignment horizontal="center"/>
    </xf>
    <xf numFmtId="164" fontId="7" fillId="11" borderId="0" xfId="24" applyNumberFormat="1" applyFill="1" applyBorder="1" applyAlignment="1">
      <alignment horizontal="center"/>
    </xf>
    <xf numFmtId="164" fontId="7" fillId="11" borderId="7" xfId="24" applyNumberFormat="1" applyFill="1" applyBorder="1" applyAlignment="1">
      <alignment horizontal="center"/>
    </xf>
    <xf numFmtId="0" fontId="22" fillId="0" borderId="0" xfId="24" applyFont="1"/>
    <xf numFmtId="0" fontId="7" fillId="11" borderId="8" xfId="24" applyFill="1" applyBorder="1" applyAlignment="1">
      <alignment horizontal="center"/>
    </xf>
    <xf numFmtId="0" fontId="7" fillId="11" borderId="3" xfId="24" applyFill="1" applyBorder="1" applyAlignment="1">
      <alignment horizontal="center"/>
    </xf>
    <xf numFmtId="0" fontId="7" fillId="11" borderId="9" xfId="24" applyFill="1" applyBorder="1" applyAlignment="1">
      <alignment horizontal="center"/>
    </xf>
    <xf numFmtId="0" fontId="21" fillId="11" borderId="2" xfId="24" applyFont="1" applyFill="1" applyBorder="1" applyAlignment="1">
      <alignment horizontal="center"/>
    </xf>
    <xf numFmtId="2" fontId="7" fillId="11" borderId="7" xfId="24" applyNumberFormat="1" applyFill="1" applyBorder="1" applyAlignment="1">
      <alignment horizontal="center"/>
    </xf>
    <xf numFmtId="0" fontId="22" fillId="0" borderId="0" xfId="24" applyFont="1" applyFill="1" applyBorder="1" applyAlignment="1">
      <alignment horizontal="left"/>
    </xf>
    <xf numFmtId="164" fontId="7" fillId="12" borderId="8" xfId="24" applyNumberFormat="1" applyFill="1" applyBorder="1" applyAlignment="1">
      <alignment horizontal="center"/>
    </xf>
    <xf numFmtId="164" fontId="7" fillId="12" borderId="3" xfId="24" applyNumberFormat="1" applyFill="1" applyBorder="1" applyAlignment="1">
      <alignment horizontal="center"/>
    </xf>
    <xf numFmtId="0" fontId="7" fillId="12" borderId="9" xfId="24" applyFill="1" applyBorder="1" applyAlignment="1">
      <alignment horizontal="center"/>
    </xf>
    <xf numFmtId="0" fontId="23" fillId="0" borderId="0" xfId="24" applyFont="1" applyAlignment="1">
      <alignment horizontal="center"/>
    </xf>
    <xf numFmtId="0" fontId="7" fillId="12" borderId="8" xfId="24" applyFill="1" applyBorder="1" applyAlignment="1">
      <alignment horizontal="center"/>
    </xf>
    <xf numFmtId="164" fontId="7" fillId="13" borderId="3" xfId="24" applyNumberFormat="1" applyFill="1" applyBorder="1" applyAlignment="1">
      <alignment horizontal="center"/>
    </xf>
    <xf numFmtId="2" fontId="7" fillId="11" borderId="9" xfId="24" applyNumberFormat="1" applyFill="1" applyBorder="1" applyAlignment="1">
      <alignment horizontal="center"/>
    </xf>
    <xf numFmtId="0" fontId="24" fillId="0" borderId="0" xfId="24" quotePrefix="1" applyFont="1"/>
    <xf numFmtId="164" fontId="7" fillId="11" borderId="8" xfId="24" applyNumberFormat="1" applyFill="1" applyBorder="1" applyAlignment="1">
      <alignment horizontal="center"/>
    </xf>
    <xf numFmtId="1" fontId="7" fillId="11" borderId="3" xfId="24" applyNumberFormat="1" applyFill="1" applyBorder="1" applyAlignment="1">
      <alignment horizontal="center"/>
    </xf>
    <xf numFmtId="164" fontId="7" fillId="11" borderId="9" xfId="24" applyNumberFormat="1" applyFill="1" applyBorder="1" applyAlignment="1">
      <alignment horizontal="center"/>
    </xf>
    <xf numFmtId="2" fontId="7" fillId="11" borderId="30" xfId="24" applyNumberFormat="1" applyFill="1" applyBorder="1" applyAlignment="1">
      <alignment horizontal="center"/>
    </xf>
    <xf numFmtId="2" fontId="7" fillId="11" borderId="31" xfId="24" applyNumberFormat="1" applyFill="1" applyBorder="1" applyAlignment="1">
      <alignment horizontal="center"/>
    </xf>
    <xf numFmtId="0" fontId="21" fillId="11" borderId="8" xfId="24" applyFont="1" applyFill="1" applyBorder="1" applyAlignment="1">
      <alignment horizontal="center"/>
    </xf>
    <xf numFmtId="0" fontId="21" fillId="11" borderId="28" xfId="24" applyFont="1" applyFill="1" applyBorder="1" applyAlignment="1">
      <alignment horizontal="right"/>
    </xf>
    <xf numFmtId="0" fontId="7" fillId="11" borderId="4" xfId="24" applyFill="1" applyBorder="1" applyAlignment="1">
      <alignment horizontal="center"/>
    </xf>
    <xf numFmtId="0" fontId="7" fillId="11" borderId="6" xfId="24" applyFill="1" applyBorder="1" applyAlignment="1">
      <alignment horizontal="center"/>
    </xf>
    <xf numFmtId="0" fontId="7" fillId="11" borderId="2" xfId="24" applyFill="1" applyBorder="1" applyAlignment="1">
      <alignment horizontal="center"/>
    </xf>
    <xf numFmtId="0" fontId="7" fillId="11" borderId="7" xfId="24" applyFill="1" applyBorder="1" applyAlignment="1">
      <alignment horizontal="center"/>
    </xf>
    <xf numFmtId="0" fontId="21" fillId="11" borderId="2" xfId="24" applyFont="1" applyFill="1" applyBorder="1" applyAlignment="1">
      <alignment horizontal="centerContinuous"/>
    </xf>
    <xf numFmtId="0" fontId="21" fillId="11" borderId="0" xfId="24" applyFont="1" applyFill="1" applyBorder="1" applyAlignment="1">
      <alignment horizontal="centerContinuous"/>
    </xf>
    <xf numFmtId="0" fontId="21" fillId="11" borderId="7" xfId="24" applyFont="1" applyFill="1" applyBorder="1" applyAlignment="1">
      <alignment horizontal="centerContinuous"/>
    </xf>
    <xf numFmtId="0" fontId="21" fillId="11" borderId="30" xfId="24" applyFont="1" applyFill="1" applyBorder="1" applyAlignment="1">
      <alignment horizontal="centerContinuous"/>
    </xf>
    <xf numFmtId="0" fontId="21" fillId="11" borderId="31" xfId="24" applyFont="1" applyFill="1" applyBorder="1" applyAlignment="1">
      <alignment horizontal="center"/>
    </xf>
    <xf numFmtId="2" fontId="7" fillId="11" borderId="4" xfId="24" applyNumberFormat="1" applyFill="1" applyBorder="1" applyAlignment="1">
      <alignment horizontal="center"/>
    </xf>
    <xf numFmtId="165" fontId="7" fillId="11" borderId="6" xfId="24" applyNumberFormat="1" applyFill="1" applyBorder="1" applyAlignment="1">
      <alignment horizontal="center"/>
    </xf>
    <xf numFmtId="2" fontId="7" fillId="11" borderId="5" xfId="24" applyNumberFormat="1" applyFill="1" applyBorder="1" applyAlignment="1">
      <alignment horizontal="center"/>
    </xf>
    <xf numFmtId="2" fontId="21" fillId="11" borderId="6" xfId="24" applyNumberFormat="1" applyFont="1" applyFill="1" applyBorder="1" applyAlignment="1">
      <alignment horizontal="center"/>
    </xf>
    <xf numFmtId="2" fontId="7" fillId="11" borderId="2" xfId="24" applyNumberFormat="1" applyFill="1" applyBorder="1" applyAlignment="1">
      <alignment horizontal="center"/>
    </xf>
    <xf numFmtId="165" fontId="7" fillId="11" borderId="7" xfId="24" applyNumberFormat="1" applyFill="1" applyBorder="1" applyAlignment="1">
      <alignment horizontal="center"/>
    </xf>
    <xf numFmtId="2" fontId="7" fillId="11" borderId="0" xfId="24" applyNumberFormat="1" applyFill="1" applyBorder="1" applyAlignment="1">
      <alignment horizontal="center"/>
    </xf>
    <xf numFmtId="2" fontId="21" fillId="11" borderId="7" xfId="24" applyNumberFormat="1" applyFont="1" applyFill="1" applyBorder="1" applyAlignment="1">
      <alignment horizontal="center"/>
    </xf>
    <xf numFmtId="2" fontId="7" fillId="11" borderId="8" xfId="24" applyNumberFormat="1" applyFill="1" applyBorder="1" applyAlignment="1">
      <alignment horizontal="center"/>
    </xf>
    <xf numFmtId="165" fontId="7" fillId="11" borderId="9" xfId="24" applyNumberFormat="1" applyFill="1" applyBorder="1" applyAlignment="1">
      <alignment horizontal="center"/>
    </xf>
    <xf numFmtId="2" fontId="7" fillId="11" borderId="3" xfId="24" applyNumberFormat="1" applyFill="1" applyBorder="1" applyAlignment="1">
      <alignment horizontal="center"/>
    </xf>
    <xf numFmtId="2" fontId="21" fillId="11" borderId="9" xfId="24" applyNumberFormat="1" applyFont="1" applyFill="1" applyBorder="1" applyAlignment="1">
      <alignment horizontal="center"/>
    </xf>
    <xf numFmtId="0" fontId="21" fillId="14" borderId="2" xfId="24" applyFont="1" applyFill="1" applyBorder="1" applyAlignment="1">
      <alignment horizontal="centerContinuous"/>
    </xf>
    <xf numFmtId="0" fontId="25" fillId="14" borderId="0" xfId="24" applyFont="1" applyFill="1" applyBorder="1" applyAlignment="1">
      <alignment horizontal="centerContinuous"/>
    </xf>
    <xf numFmtId="0" fontId="25" fillId="14" borderId="7" xfId="24" applyFont="1" applyFill="1" applyBorder="1" applyAlignment="1">
      <alignment horizontal="centerContinuous"/>
    </xf>
    <xf numFmtId="0" fontId="7" fillId="14" borderId="0" xfId="24" applyFill="1"/>
    <xf numFmtId="0" fontId="26" fillId="11" borderId="4" xfId="24" applyFont="1" applyFill="1" applyBorder="1" applyAlignment="1">
      <alignment horizontal="centerContinuous"/>
    </xf>
    <xf numFmtId="0" fontId="7" fillId="14" borderId="7" xfId="24" applyFill="1" applyBorder="1"/>
    <xf numFmtId="0" fontId="7" fillId="11" borderId="0" xfId="24" applyFill="1" applyBorder="1" applyAlignment="1">
      <alignment horizontal="center"/>
    </xf>
    <xf numFmtId="165" fontId="7" fillId="11" borderId="4" xfId="24" applyNumberFormat="1" applyFill="1" applyBorder="1" applyAlignment="1">
      <alignment horizontal="center"/>
    </xf>
    <xf numFmtId="164" fontId="7" fillId="11" borderId="5" xfId="24" applyNumberFormat="1" applyFill="1" applyBorder="1" applyAlignment="1">
      <alignment horizontal="center"/>
    </xf>
    <xf numFmtId="165" fontId="7" fillId="11" borderId="4" xfId="24" applyNumberFormat="1" applyFill="1" applyBorder="1" applyAlignment="1">
      <alignment horizontal="centerContinuous"/>
    </xf>
    <xf numFmtId="164" fontId="7" fillId="11" borderId="6" xfId="24" applyNumberFormat="1" applyFill="1" applyBorder="1" applyAlignment="1">
      <alignment horizontal="centerContinuous"/>
    </xf>
    <xf numFmtId="2" fontId="7" fillId="14" borderId="7" xfId="24" applyNumberFormat="1" applyFill="1" applyBorder="1" applyAlignment="1">
      <alignment horizontal="center"/>
    </xf>
    <xf numFmtId="165" fontId="7" fillId="11" borderId="2" xfId="24" applyNumberFormat="1" applyFill="1" applyBorder="1" applyAlignment="1">
      <alignment horizontal="center"/>
    </xf>
    <xf numFmtId="165" fontId="7" fillId="11" borderId="8" xfId="24" applyNumberFormat="1" applyFill="1" applyBorder="1" applyAlignment="1">
      <alignment horizontal="centerContinuous"/>
    </xf>
    <xf numFmtId="164" fontId="7" fillId="11" borderId="9" xfId="24" applyNumberFormat="1" applyFill="1" applyBorder="1" applyAlignment="1">
      <alignment horizontal="centerContinuous"/>
    </xf>
    <xf numFmtId="0" fontId="18" fillId="14" borderId="0" xfId="24" applyFont="1" applyFill="1"/>
    <xf numFmtId="0" fontId="7" fillId="14" borderId="0" xfId="24" applyFill="1" applyAlignment="1">
      <alignment horizontal="center"/>
    </xf>
    <xf numFmtId="0" fontId="27" fillId="14" borderId="0" xfId="24" applyFont="1" applyFill="1"/>
    <xf numFmtId="2" fontId="19" fillId="11" borderId="4" xfId="24" applyNumberFormat="1" applyFont="1" applyFill="1" applyBorder="1" applyAlignment="1">
      <alignment horizontal="center"/>
    </xf>
    <xf numFmtId="165" fontId="19" fillId="11" borderId="6" xfId="24" applyNumberFormat="1" applyFont="1" applyFill="1" applyBorder="1" applyAlignment="1">
      <alignment horizontal="center"/>
    </xf>
    <xf numFmtId="2" fontId="19" fillId="11" borderId="5" xfId="24" applyNumberFormat="1" applyFont="1" applyFill="1" applyBorder="1" applyAlignment="1">
      <alignment horizontal="center"/>
    </xf>
    <xf numFmtId="2" fontId="19" fillId="11" borderId="6" xfId="24" applyNumberFormat="1" applyFont="1" applyFill="1" applyBorder="1" applyAlignment="1">
      <alignment horizontal="center"/>
    </xf>
    <xf numFmtId="2" fontId="19" fillId="11" borderId="2" xfId="24" applyNumberFormat="1" applyFont="1" applyFill="1" applyBorder="1" applyAlignment="1">
      <alignment horizontal="center"/>
    </xf>
    <xf numFmtId="165" fontId="19" fillId="11" borderId="7" xfId="24" applyNumberFormat="1" applyFont="1" applyFill="1" applyBorder="1" applyAlignment="1">
      <alignment horizontal="center"/>
    </xf>
    <xf numFmtId="2" fontId="19" fillId="11" borderId="0" xfId="24" applyNumberFormat="1" applyFont="1" applyFill="1" applyBorder="1" applyAlignment="1">
      <alignment horizontal="center"/>
    </xf>
    <xf numFmtId="2" fontId="19" fillId="11" borderId="7" xfId="24" applyNumberFormat="1" applyFont="1" applyFill="1" applyBorder="1" applyAlignment="1">
      <alignment horizontal="center"/>
    </xf>
    <xf numFmtId="2" fontId="19" fillId="11" borderId="8" xfId="24" applyNumberFormat="1" applyFont="1" applyFill="1" applyBorder="1" applyAlignment="1">
      <alignment horizontal="center"/>
    </xf>
    <xf numFmtId="165" fontId="19" fillId="11" borderId="9" xfId="24" applyNumberFormat="1" applyFont="1" applyFill="1" applyBorder="1" applyAlignment="1">
      <alignment horizontal="center"/>
    </xf>
    <xf numFmtId="2" fontId="19" fillId="11" borderId="3" xfId="24" applyNumberFormat="1" applyFont="1" applyFill="1" applyBorder="1" applyAlignment="1">
      <alignment horizontal="center"/>
    </xf>
    <xf numFmtId="2" fontId="19" fillId="11" borderId="9" xfId="24" applyNumberFormat="1" applyFont="1" applyFill="1" applyBorder="1" applyAlignment="1">
      <alignment horizontal="center"/>
    </xf>
    <xf numFmtId="165" fontId="7" fillId="11" borderId="8" xfId="24" applyNumberFormat="1" applyFill="1" applyBorder="1" applyAlignment="1">
      <alignment horizontal="center"/>
    </xf>
    <xf numFmtId="0" fontId="21" fillId="14" borderId="8" xfId="24" applyFont="1" applyFill="1" applyBorder="1" applyAlignment="1">
      <alignment horizontal="centerContinuous"/>
    </xf>
    <xf numFmtId="0" fontId="7" fillId="14" borderId="3" xfId="24" applyFill="1" applyBorder="1"/>
    <xf numFmtId="2" fontId="7" fillId="14" borderId="9" xfId="24" applyNumberFormat="1" applyFill="1" applyBorder="1" applyAlignment="1">
      <alignment horizontal="center"/>
    </xf>
    <xf numFmtId="0" fontId="15" fillId="0" borderId="0" xfId="0" applyFont="1" applyBorder="1" applyAlignment="1">
      <alignment horizontal="right" vertical="center"/>
    </xf>
    <xf numFmtId="0" fontId="13" fillId="0" borderId="0" xfId="0" applyFont="1" applyBorder="1" applyAlignment="1">
      <alignment horizontal="center" vertical="center"/>
    </xf>
    <xf numFmtId="0" fontId="9" fillId="0" borderId="32" xfId="0" applyFont="1" applyBorder="1" applyAlignment="1">
      <alignment horizontal="right" vertical="top"/>
    </xf>
    <xf numFmtId="0" fontId="7" fillId="0" borderId="0" xfId="24" applyAlignment="1">
      <alignment horizontal="right"/>
    </xf>
    <xf numFmtId="0" fontId="0" fillId="8" borderId="0" xfId="0" applyFill="1" applyBorder="1"/>
    <xf numFmtId="0" fontId="14" fillId="0" borderId="0" xfId="0" applyFont="1" applyAlignment="1">
      <alignment horizontal="right" vertical="center"/>
    </xf>
    <xf numFmtId="2" fontId="0" fillId="0" borderId="33" xfId="0" applyNumberFormat="1" applyBorder="1"/>
    <xf numFmtId="0" fontId="0" fillId="8" borderId="34" xfId="0" applyFill="1" applyBorder="1"/>
    <xf numFmtId="0" fontId="0" fillId="16" borderId="0" xfId="0" applyFont="1" applyFill="1" applyAlignment="1">
      <alignment horizontal="center"/>
    </xf>
    <xf numFmtId="0" fontId="0" fillId="16" borderId="0" xfId="0" applyFill="1" applyAlignment="1">
      <alignment horizontal="center"/>
    </xf>
    <xf numFmtId="0" fontId="0" fillId="16" borderId="0" xfId="0" applyFont="1" applyFill="1"/>
    <xf numFmtId="0" fontId="0" fillId="16" borderId="0" xfId="0" applyFill="1"/>
    <xf numFmtId="0" fontId="0" fillId="16" borderId="0" xfId="0" applyFont="1" applyFill="1" applyAlignment="1">
      <alignment horizontal="left"/>
    </xf>
    <xf numFmtId="0" fontId="31" fillId="16" borderId="0" xfId="0" applyFont="1" applyFill="1"/>
    <xf numFmtId="0" fontId="0" fillId="16" borderId="0" xfId="0" applyFill="1" applyAlignment="1">
      <alignment horizontal="right"/>
    </xf>
    <xf numFmtId="0" fontId="29" fillId="16" borderId="0" xfId="0" applyFont="1" applyFill="1" applyBorder="1" applyAlignment="1">
      <alignment horizontal="center"/>
    </xf>
    <xf numFmtId="9" fontId="0" fillId="16" borderId="25" xfId="1" applyFont="1" applyFill="1" applyBorder="1" applyAlignment="1">
      <alignment horizontal="center"/>
    </xf>
    <xf numFmtId="0" fontId="26" fillId="16" borderId="0" xfId="0" applyFont="1" applyFill="1"/>
    <xf numFmtId="0" fontId="0" fillId="16" borderId="0" xfId="0" applyFont="1" applyFill="1" applyAlignment="1">
      <alignment vertical="center"/>
    </xf>
    <xf numFmtId="0" fontId="0" fillId="16" borderId="0" xfId="0" applyFont="1" applyFill="1" applyAlignment="1">
      <alignment horizontal="center" vertical="center"/>
    </xf>
    <xf numFmtId="164" fontId="0" fillId="16" borderId="25" xfId="24" applyNumberFormat="1" applyFont="1" applyFill="1" applyBorder="1" applyAlignment="1">
      <alignment horizontal="center"/>
    </xf>
    <xf numFmtId="0" fontId="0" fillId="16" borderId="0" xfId="0" applyFont="1" applyFill="1" applyAlignment="1">
      <alignment horizontal="right" vertical="center"/>
    </xf>
    <xf numFmtId="0" fontId="0" fillId="16" borderId="25" xfId="0" applyFill="1" applyBorder="1" applyAlignment="1">
      <alignment horizontal="center"/>
    </xf>
    <xf numFmtId="0" fontId="32" fillId="17" borderId="0" xfId="0" applyFont="1" applyFill="1"/>
    <xf numFmtId="0" fontId="0" fillId="17" borderId="0" xfId="0" applyFont="1" applyFill="1"/>
    <xf numFmtId="0" fontId="0" fillId="17" borderId="0" xfId="0" applyFill="1" applyAlignment="1">
      <alignment horizontal="center"/>
    </xf>
    <xf numFmtId="0" fontId="32" fillId="17" borderId="0" xfId="0" applyFont="1" applyFill="1" applyAlignment="1">
      <alignment horizontal="right"/>
    </xf>
    <xf numFmtId="0" fontId="32" fillId="17" borderId="0" xfId="0" applyFont="1" applyFill="1" applyAlignment="1">
      <alignment horizontal="center"/>
    </xf>
    <xf numFmtId="0" fontId="32" fillId="17" borderId="0" xfId="0" applyFont="1" applyFill="1" applyAlignment="1">
      <alignment horizontal="left"/>
    </xf>
    <xf numFmtId="0" fontId="0" fillId="16" borderId="0" xfId="0" quotePrefix="1" applyFill="1" applyAlignment="1">
      <alignment horizontal="left"/>
    </xf>
    <xf numFmtId="9" fontId="0" fillId="16" borderId="0" xfId="0" applyNumberFormat="1" applyFont="1" applyFill="1" applyAlignment="1">
      <alignment horizontal="left"/>
    </xf>
    <xf numFmtId="0" fontId="33" fillId="0" borderId="0" xfId="0" applyFont="1" applyBorder="1" applyAlignment="1">
      <alignment vertical="center"/>
    </xf>
    <xf numFmtId="0" fontId="0" fillId="0" borderId="0" xfId="0" applyBorder="1" applyAlignment="1">
      <alignment horizontal="left" vertical="center"/>
    </xf>
    <xf numFmtId="0" fontId="33" fillId="0" borderId="3" xfId="0" applyFont="1" applyBorder="1" applyAlignment="1">
      <alignment vertical="center"/>
    </xf>
    <xf numFmtId="0" fontId="33" fillId="0" borderId="2" xfId="0" applyFont="1" applyBorder="1" applyAlignment="1">
      <alignment vertical="center"/>
    </xf>
    <xf numFmtId="0" fontId="0" fillId="7" borderId="25" xfId="0" applyFill="1" applyBorder="1" applyAlignment="1">
      <alignment vertical="center"/>
    </xf>
    <xf numFmtId="0" fontId="0" fillId="7" borderId="25" xfId="0" applyFill="1" applyBorder="1"/>
    <xf numFmtId="0" fontId="0" fillId="0" borderId="0" xfId="0" applyBorder="1"/>
    <xf numFmtId="9" fontId="32" fillId="17" borderId="0" xfId="1" applyFont="1" applyFill="1" applyAlignment="1">
      <alignment horizontal="center"/>
    </xf>
    <xf numFmtId="0" fontId="18" fillId="16" borderId="0" xfId="0" applyFont="1" applyFill="1" applyAlignment="1"/>
    <xf numFmtId="0" fontId="18" fillId="16" borderId="0" xfId="0" applyFont="1" applyFill="1" applyAlignment="1">
      <alignment vertical="top"/>
    </xf>
    <xf numFmtId="0" fontId="16" fillId="16" borderId="0" xfId="0" applyFont="1" applyFill="1" applyAlignment="1">
      <alignment horizontal="center"/>
    </xf>
    <xf numFmtId="0" fontId="0" fillId="16" borderId="0" xfId="0" applyFont="1" applyFill="1" applyBorder="1" applyAlignment="1">
      <alignment vertical="center"/>
    </xf>
    <xf numFmtId="0" fontId="0" fillId="16" borderId="0" xfId="0" applyFont="1" applyFill="1" applyAlignment="1">
      <alignment horizontal="right"/>
    </xf>
    <xf numFmtId="0" fontId="0" fillId="16" borderId="0" xfId="0" applyFill="1" applyAlignment="1">
      <alignment vertical="center"/>
    </xf>
    <xf numFmtId="0" fontId="0" fillId="16" borderId="0" xfId="0" applyFill="1" applyBorder="1" applyAlignment="1">
      <alignment vertical="center"/>
    </xf>
    <xf numFmtId="0" fontId="32" fillId="17" borderId="0" xfId="0" quotePrefix="1" applyFont="1" applyFill="1" applyAlignment="1">
      <alignment horizontal="left"/>
    </xf>
    <xf numFmtId="0" fontId="6" fillId="0" borderId="0" xfId="24" applyFont="1"/>
    <xf numFmtId="0" fontId="35" fillId="0" borderId="0" xfId="0" applyFont="1" applyBorder="1" applyAlignment="1">
      <alignment horizontal="center" vertical="center"/>
    </xf>
    <xf numFmtId="2" fontId="32" fillId="17" borderId="0" xfId="0" quotePrefix="1" applyNumberFormat="1" applyFont="1" applyFill="1" applyAlignment="1">
      <alignment horizontal="left"/>
    </xf>
    <xf numFmtId="0" fontId="36" fillId="17" borderId="0" xfId="0" applyFont="1" applyFill="1" applyBorder="1" applyAlignment="1">
      <alignment horizontal="center"/>
    </xf>
    <xf numFmtId="0" fontId="0" fillId="17" borderId="0" xfId="0" applyFill="1"/>
    <xf numFmtId="164" fontId="7" fillId="15" borderId="8" xfId="24" applyNumberFormat="1" applyFill="1" applyBorder="1" applyAlignment="1">
      <alignment horizontal="center"/>
    </xf>
    <xf numFmtId="0" fontId="34" fillId="17" borderId="0" xfId="0" applyFont="1" applyFill="1"/>
    <xf numFmtId="0" fontId="32" fillId="17" borderId="0" xfId="0" quotePrefix="1" applyFont="1" applyFill="1" applyAlignment="1">
      <alignment horizontal="center"/>
    </xf>
    <xf numFmtId="2" fontId="32" fillId="17" borderId="0" xfId="0" quotePrefix="1" applyNumberFormat="1" applyFont="1" applyFill="1" applyAlignment="1">
      <alignment horizontal="center"/>
    </xf>
    <xf numFmtId="0" fontId="0" fillId="17" borderId="0" xfId="0" applyFont="1" applyFill="1" applyAlignment="1">
      <alignment horizontal="center"/>
    </xf>
    <xf numFmtId="2" fontId="32" fillId="17" borderId="0" xfId="0" quotePrefix="1" applyNumberFormat="1" applyFont="1" applyFill="1" applyAlignment="1"/>
    <xf numFmtId="0" fontId="0" fillId="17" borderId="0" xfId="0" applyFont="1" applyFill="1" applyAlignment="1"/>
    <xf numFmtId="0" fontId="0" fillId="17" borderId="0" xfId="0" applyFill="1" applyAlignment="1"/>
    <xf numFmtId="0" fontId="35" fillId="0" borderId="0" xfId="0" applyFont="1" applyFill="1" applyBorder="1" applyAlignment="1">
      <alignment vertical="center"/>
    </xf>
    <xf numFmtId="0" fontId="35" fillId="0" borderId="0" xfId="0" applyFont="1" applyBorder="1" applyAlignment="1">
      <alignment vertical="center"/>
    </xf>
    <xf numFmtId="9" fontId="0" fillId="7" borderId="25" xfId="1" applyFont="1" applyFill="1" applyBorder="1" applyAlignment="1">
      <alignment vertical="center"/>
    </xf>
    <xf numFmtId="0" fontId="0" fillId="15" borderId="1" xfId="0" applyFill="1" applyBorder="1" applyAlignment="1">
      <alignment vertical="center"/>
    </xf>
    <xf numFmtId="9" fontId="0" fillId="15" borderId="1" xfId="0" applyNumberFormat="1" applyFill="1" applyBorder="1" applyAlignment="1">
      <alignment vertical="center"/>
    </xf>
    <xf numFmtId="0" fontId="5" fillId="0" borderId="0" xfId="24" applyFont="1" applyAlignment="1">
      <alignment horizontal="left"/>
    </xf>
    <xf numFmtId="0" fontId="28" fillId="17" borderId="0" xfId="0" applyFont="1" applyFill="1" applyAlignment="1">
      <alignment horizontal="left"/>
    </xf>
    <xf numFmtId="0" fontId="26" fillId="17" borderId="0" xfId="0" applyFont="1" applyFill="1"/>
    <xf numFmtId="0" fontId="9" fillId="17" borderId="0" xfId="0" applyFont="1" applyFill="1"/>
    <xf numFmtId="0" fontId="30" fillId="17" borderId="0" xfId="0" applyFont="1" applyFill="1"/>
    <xf numFmtId="0" fontId="28" fillId="17" borderId="0" xfId="0" applyFont="1" applyFill="1" applyAlignment="1">
      <alignment horizontal="right"/>
    </xf>
    <xf numFmtId="0" fontId="37" fillId="17" borderId="0" xfId="0" applyFont="1" applyFill="1" applyAlignment="1">
      <alignment horizontal="left"/>
    </xf>
    <xf numFmtId="0" fontId="37" fillId="17" borderId="0" xfId="0" applyFont="1" applyFill="1"/>
    <xf numFmtId="0" fontId="37" fillId="17" borderId="0" xfId="0" applyFont="1" applyFill="1" applyAlignment="1">
      <alignment horizontal="left" vertical="center"/>
    </xf>
    <xf numFmtId="0" fontId="38" fillId="16" borderId="0" xfId="0" applyFont="1" applyFill="1" applyAlignment="1">
      <alignment horizontal="center"/>
    </xf>
    <xf numFmtId="0" fontId="37" fillId="17" borderId="0" xfId="0" applyFont="1" applyFill="1" applyAlignment="1">
      <alignment vertical="top"/>
    </xf>
    <xf numFmtId="0" fontId="37" fillId="17" borderId="0" xfId="0" applyFont="1" applyFill="1" applyAlignment="1"/>
    <xf numFmtId="0" fontId="0" fillId="16" borderId="0" xfId="0" applyFont="1" applyFill="1" applyAlignment="1">
      <alignment horizontal="center" vertical="top"/>
    </xf>
    <xf numFmtId="0" fontId="37" fillId="17" borderId="0" xfId="0" applyFont="1" applyFill="1" applyAlignment="1">
      <alignment horizontal="left" vertical="top"/>
    </xf>
    <xf numFmtId="0" fontId="32" fillId="17" borderId="0" xfId="0" applyFont="1" applyFill="1" applyAlignment="1"/>
    <xf numFmtId="0" fontId="0" fillId="7" borderId="1" xfId="0" quotePrefix="1" applyFill="1" applyBorder="1" applyAlignment="1">
      <alignment vertical="center"/>
    </xf>
    <xf numFmtId="0" fontId="0" fillId="16" borderId="0" xfId="0" applyFill="1" applyAlignment="1">
      <alignment horizontal="left"/>
    </xf>
    <xf numFmtId="0" fontId="32" fillId="17" borderId="0" xfId="0" applyFont="1" applyFill="1" applyAlignment="1">
      <alignment horizontal="right"/>
    </xf>
    <xf numFmtId="0" fontId="32" fillId="17" borderId="0" xfId="0" applyFont="1" applyFill="1" applyBorder="1" applyAlignment="1">
      <alignment horizontal="right"/>
    </xf>
    <xf numFmtId="0" fontId="32" fillId="17" borderId="0" xfId="0" applyFont="1" applyFill="1" applyAlignment="1">
      <alignment horizontal="right"/>
    </xf>
    <xf numFmtId="0" fontId="32" fillId="17" borderId="0" xfId="0" applyFont="1" applyFill="1" applyBorder="1" applyAlignment="1">
      <alignment horizontal="right"/>
    </xf>
    <xf numFmtId="0" fontId="9" fillId="7" borderId="18" xfId="0" applyFont="1" applyFill="1" applyBorder="1" applyAlignment="1">
      <alignment horizontal="right" vertical="top"/>
    </xf>
    <xf numFmtId="0" fontId="0" fillId="16" borderId="0" xfId="0" applyFill="1" applyAlignment="1">
      <alignment horizontal="center"/>
    </xf>
    <xf numFmtId="0" fontId="0" fillId="16" borderId="0" xfId="0" applyFill="1"/>
    <xf numFmtId="0" fontId="34" fillId="17" borderId="0" xfId="0" applyFont="1" applyFill="1" applyAlignment="1">
      <alignment horizontal="left" vertical="top"/>
    </xf>
    <xf numFmtId="0" fontId="37" fillId="17" borderId="0" xfId="0" applyFont="1" applyFill="1" applyAlignment="1">
      <alignment horizontal="left" vertical="top"/>
    </xf>
    <xf numFmtId="164" fontId="32" fillId="17" borderId="0" xfId="0" applyNumberFormat="1" applyFont="1" applyFill="1" applyBorder="1" applyAlignment="1">
      <alignment horizontal="center"/>
    </xf>
    <xf numFmtId="164" fontId="32" fillId="17" borderId="0" xfId="0" applyNumberFormat="1" applyFont="1" applyFill="1" applyAlignment="1">
      <alignment horizontal="center"/>
    </xf>
    <xf numFmtId="164" fontId="32" fillId="19" borderId="0" xfId="0" applyNumberFormat="1" applyFont="1" applyFill="1" applyBorder="1" applyAlignment="1">
      <alignment horizontal="center"/>
    </xf>
    <xf numFmtId="0" fontId="0" fillId="0" borderId="20" xfId="0" applyBorder="1"/>
    <xf numFmtId="0" fontId="0" fillId="7" borderId="28" xfId="0" applyFill="1" applyBorder="1" applyAlignment="1">
      <alignment vertical="center"/>
    </xf>
    <xf numFmtId="0" fontId="13" fillId="0" borderId="2" xfId="0" applyFont="1" applyBorder="1" applyAlignment="1">
      <alignment vertical="center"/>
    </xf>
    <xf numFmtId="0" fontId="0" fillId="7" borderId="28" xfId="0" quotePrefix="1" applyFill="1" applyBorder="1" applyAlignment="1">
      <alignment vertical="center"/>
    </xf>
    <xf numFmtId="2" fontId="0" fillId="9" borderId="0" xfId="0" applyNumberFormat="1" applyFill="1" applyAlignment="1" applyProtection="1">
      <alignment horizontal="center"/>
      <protection locked="0"/>
    </xf>
    <xf numFmtId="1" fontId="0" fillId="9" borderId="0" xfId="0" applyNumberFormat="1" applyFill="1" applyAlignment="1" applyProtection="1">
      <alignment horizontal="center"/>
      <protection locked="0"/>
    </xf>
    <xf numFmtId="9" fontId="0" fillId="16" borderId="0" xfId="0" applyNumberFormat="1" applyFont="1" applyFill="1" applyBorder="1" applyAlignment="1" applyProtection="1">
      <alignment horizontal="center"/>
      <protection locked="0"/>
    </xf>
    <xf numFmtId="0" fontId="0" fillId="16" borderId="0" xfId="0" applyFill="1" applyAlignment="1" applyProtection="1">
      <alignment horizontal="center"/>
      <protection locked="0"/>
    </xf>
    <xf numFmtId="0" fontId="0" fillId="16" borderId="0" xfId="0" quotePrefix="1" applyFill="1" applyAlignment="1" applyProtection="1">
      <alignment horizontal="left"/>
      <protection locked="0"/>
    </xf>
    <xf numFmtId="0" fontId="0" fillId="16" borderId="0" xfId="0" applyFont="1" applyFill="1" applyAlignment="1" applyProtection="1">
      <alignment horizontal="left"/>
      <protection locked="0"/>
    </xf>
    <xf numFmtId="0" fontId="27" fillId="16" borderId="0" xfId="0" applyFont="1" applyFill="1" applyAlignment="1" applyProtection="1">
      <alignment horizontal="center"/>
      <protection locked="0"/>
    </xf>
    <xf numFmtId="0" fontId="0" fillId="9" borderId="25" xfId="0" applyFont="1" applyFill="1" applyBorder="1" applyAlignment="1" applyProtection="1">
      <alignment horizontal="center"/>
      <protection locked="0"/>
    </xf>
    <xf numFmtId="1" fontId="0" fillId="16" borderId="25" xfId="49" applyNumberFormat="1" applyFont="1" applyFill="1" applyBorder="1" applyAlignment="1" applyProtection="1">
      <alignment horizontal="center"/>
      <protection locked="0"/>
    </xf>
    <xf numFmtId="1" fontId="0" fillId="18" borderId="25" xfId="49" applyNumberFormat="1" applyFont="1" applyFill="1" applyBorder="1" applyAlignment="1" applyProtection="1">
      <alignment horizontal="center"/>
      <protection locked="0"/>
    </xf>
    <xf numFmtId="164" fontId="0" fillId="16" borderId="25" xfId="49" applyNumberFormat="1" applyFont="1" applyFill="1" applyBorder="1" applyAlignment="1" applyProtection="1">
      <alignment horizontal="center"/>
      <protection locked="0"/>
    </xf>
    <xf numFmtId="164" fontId="0" fillId="18" borderId="25" xfId="49" applyNumberFormat="1" applyFont="1" applyFill="1" applyBorder="1" applyAlignment="1" applyProtection="1">
      <alignment horizontal="center"/>
      <protection locked="0"/>
    </xf>
    <xf numFmtId="9" fontId="0" fillId="16" borderId="25" xfId="1" applyFont="1" applyFill="1" applyBorder="1" applyAlignment="1" applyProtection="1">
      <alignment horizontal="center"/>
      <protection locked="0"/>
    </xf>
    <xf numFmtId="0" fontId="0" fillId="16" borderId="0" xfId="0" applyFill="1" applyProtection="1">
      <protection locked="0"/>
    </xf>
    <xf numFmtId="0" fontId="4" fillId="0" borderId="0" xfId="24" applyFont="1" applyAlignment="1">
      <alignment horizontal="center"/>
    </xf>
    <xf numFmtId="164" fontId="32" fillId="19" borderId="0" xfId="0" applyNumberFormat="1" applyFont="1" applyFill="1" applyBorder="1" applyAlignment="1">
      <alignment horizontal="center" vertical="center"/>
    </xf>
    <xf numFmtId="164" fontId="32" fillId="17" borderId="0" xfId="0" applyNumberFormat="1" applyFont="1" applyFill="1" applyAlignment="1">
      <alignment horizontal="center" vertical="center"/>
    </xf>
    <xf numFmtId="164" fontId="32" fillId="17" borderId="0" xfId="0" applyNumberFormat="1" applyFont="1" applyFill="1" applyBorder="1" applyAlignment="1">
      <alignment horizontal="center" vertical="center"/>
    </xf>
    <xf numFmtId="0" fontId="32" fillId="17" borderId="0" xfId="0" applyFont="1" applyFill="1" applyAlignment="1">
      <alignment horizontal="center" vertical="center"/>
    </xf>
    <xf numFmtId="0" fontId="0" fillId="9" borderId="25" xfId="0" applyFont="1" applyFill="1" applyBorder="1" applyAlignment="1" applyProtection="1">
      <alignment horizontal="center" vertical="center"/>
      <protection locked="0"/>
    </xf>
    <xf numFmtId="0" fontId="0" fillId="17" borderId="0" xfId="0" applyFont="1" applyFill="1" applyAlignment="1">
      <alignment vertical="center"/>
    </xf>
    <xf numFmtId="0" fontId="32" fillId="17" borderId="0" xfId="0" applyFont="1" applyFill="1" applyAlignment="1">
      <alignment horizontal="right" vertical="center"/>
    </xf>
    <xf numFmtId="9" fontId="0" fillId="9" borderId="25" xfId="0" applyNumberFormat="1" applyFont="1" applyFill="1" applyBorder="1" applyAlignment="1" applyProtection="1">
      <alignment horizontal="center" vertical="center"/>
      <protection locked="0"/>
    </xf>
    <xf numFmtId="0" fontId="0" fillId="16" borderId="0" xfId="0" applyFill="1" applyAlignment="1">
      <alignment horizontal="center" vertical="center"/>
    </xf>
    <xf numFmtId="9" fontId="0" fillId="9" borderId="25" xfId="1" applyFont="1" applyFill="1" applyBorder="1" applyAlignment="1" applyProtection="1">
      <alignment horizontal="center" vertical="center"/>
      <protection locked="0"/>
    </xf>
    <xf numFmtId="0" fontId="0" fillId="17" borderId="0" xfId="0" applyFill="1" applyAlignment="1">
      <alignment horizontal="center" vertical="center"/>
    </xf>
    <xf numFmtId="0" fontId="38" fillId="16" borderId="0" xfId="0" applyFont="1" applyFill="1" applyAlignment="1">
      <alignment horizontal="center" vertical="center"/>
    </xf>
    <xf numFmtId="0" fontId="32" fillId="17" borderId="0" xfId="0" applyFont="1" applyFill="1" applyAlignment="1">
      <alignment horizontal="left" vertical="center"/>
    </xf>
    <xf numFmtId="9" fontId="0" fillId="16" borderId="0" xfId="0" applyNumberFormat="1" applyFont="1" applyFill="1" applyBorder="1" applyAlignment="1" applyProtection="1">
      <alignment horizontal="center" vertical="center"/>
      <protection locked="0"/>
    </xf>
    <xf numFmtId="0" fontId="0" fillId="17" borderId="0" xfId="0" applyFill="1" applyAlignment="1">
      <alignment vertical="center"/>
    </xf>
    <xf numFmtId="1" fontId="0" fillId="9" borderId="25" xfId="0" applyNumberFormat="1" applyFont="1" applyFill="1" applyBorder="1" applyAlignment="1" applyProtection="1">
      <alignment horizontal="center" vertical="center"/>
      <protection locked="0"/>
    </xf>
    <xf numFmtId="9" fontId="32" fillId="17" borderId="0" xfId="1" applyFont="1" applyFill="1" applyBorder="1" applyAlignment="1">
      <alignment horizontal="center" vertical="center"/>
    </xf>
    <xf numFmtId="9" fontId="32" fillId="19" borderId="0" xfId="1" applyFont="1" applyFill="1" applyBorder="1" applyAlignment="1">
      <alignment horizontal="center" vertical="center"/>
    </xf>
    <xf numFmtId="9" fontId="32" fillId="17" borderId="0" xfId="1" applyFont="1" applyFill="1" applyAlignment="1">
      <alignment horizontal="center" vertical="center"/>
    </xf>
    <xf numFmtId="1" fontId="0" fillId="16" borderId="0" xfId="0" applyNumberFormat="1" applyFont="1" applyFill="1" applyBorder="1" applyAlignment="1" applyProtection="1">
      <alignment horizontal="center"/>
      <protection locked="0"/>
    </xf>
    <xf numFmtId="1" fontId="0" fillId="16" borderId="0" xfId="0" applyNumberFormat="1" applyFont="1" applyFill="1" applyBorder="1" applyAlignment="1" applyProtection="1">
      <alignment horizontal="center" vertical="center"/>
      <protection locked="0"/>
    </xf>
    <xf numFmtId="0" fontId="37" fillId="17" borderId="0" xfId="0" applyFont="1" applyFill="1" applyBorder="1" applyAlignment="1">
      <alignment horizontal="left"/>
    </xf>
    <xf numFmtId="0" fontId="37" fillId="17" borderId="0" xfId="0" applyFont="1" applyFill="1" applyAlignment="1">
      <alignment vertical="center"/>
    </xf>
    <xf numFmtId="0" fontId="4" fillId="16" borderId="0" xfId="0" applyFont="1" applyFill="1"/>
    <xf numFmtId="166" fontId="0" fillId="9" borderId="0" xfId="0" applyNumberFormat="1" applyFill="1" applyAlignment="1" applyProtection="1">
      <alignment horizontal="center"/>
      <protection locked="0"/>
    </xf>
    <xf numFmtId="0" fontId="10" fillId="16" borderId="0" xfId="188" applyFill="1"/>
    <xf numFmtId="0" fontId="0" fillId="16" borderId="0" xfId="0" applyFill="1" applyAlignment="1" applyProtection="1">
      <alignment horizontal="left"/>
      <protection locked="0"/>
    </xf>
    <xf numFmtId="0" fontId="0" fillId="16" borderId="0" xfId="0" applyFill="1" applyAlignment="1" applyProtection="1">
      <alignment wrapText="1"/>
      <protection locked="0"/>
    </xf>
    <xf numFmtId="0" fontId="39" fillId="16" borderId="0" xfId="0" applyFont="1" applyFill="1"/>
    <xf numFmtId="0" fontId="0" fillId="0" borderId="33" xfId="0" applyBorder="1"/>
    <xf numFmtId="0" fontId="0" fillId="20" borderId="26" xfId="0" applyFill="1" applyBorder="1"/>
    <xf numFmtId="0" fontId="0" fillId="20" borderId="28" xfId="0" applyFill="1" applyBorder="1"/>
    <xf numFmtId="0" fontId="0" fillId="21" borderId="0" xfId="0" applyFill="1"/>
    <xf numFmtId="0" fontId="0" fillId="22" borderId="35" xfId="0" applyFill="1" applyBorder="1"/>
    <xf numFmtId="0" fontId="40" fillId="16" borderId="0" xfId="0" applyFont="1" applyFill="1" applyAlignment="1">
      <alignment horizontal="left"/>
    </xf>
    <xf numFmtId="0" fontId="40" fillId="16" borderId="0" xfId="0" applyFont="1" applyFill="1"/>
    <xf numFmtId="0" fontId="43" fillId="16" borderId="0" xfId="0" applyFont="1" applyFill="1"/>
    <xf numFmtId="0" fontId="37" fillId="17" borderId="0" xfId="0" applyFont="1" applyFill="1" applyAlignment="1">
      <alignment horizontal="right"/>
    </xf>
    <xf numFmtId="0" fontId="0" fillId="9" borderId="0" xfId="0" applyFill="1"/>
    <xf numFmtId="0" fontId="44" fillId="0" borderId="0" xfId="0" applyFont="1" applyAlignment="1">
      <alignment horizontal="center" vertical="center"/>
    </xf>
    <xf numFmtId="0" fontId="0" fillId="0" borderId="0" xfId="0" quotePrefix="1"/>
    <xf numFmtId="0" fontId="46" fillId="17" borderId="0" xfId="0" applyFont="1" applyFill="1" applyAlignment="1">
      <alignment horizontal="center"/>
    </xf>
    <xf numFmtId="164" fontId="46" fillId="17" borderId="0" xfId="0" applyNumberFormat="1" applyFont="1" applyFill="1" applyBorder="1" applyAlignment="1">
      <alignment horizontal="center"/>
    </xf>
    <xf numFmtId="164" fontId="46" fillId="19" borderId="0" xfId="0" applyNumberFormat="1" applyFont="1" applyFill="1" applyBorder="1" applyAlignment="1">
      <alignment horizontal="center"/>
    </xf>
    <xf numFmtId="164" fontId="46" fillId="17" borderId="0" xfId="0" applyNumberFormat="1" applyFont="1" applyFill="1" applyAlignment="1">
      <alignment horizontal="center"/>
    </xf>
    <xf numFmtId="9" fontId="45" fillId="16" borderId="0" xfId="0" applyNumberFormat="1" applyFont="1" applyFill="1" applyBorder="1" applyAlignment="1" applyProtection="1">
      <alignment horizontal="center"/>
      <protection locked="0"/>
    </xf>
    <xf numFmtId="1" fontId="45" fillId="16" borderId="0" xfId="0" applyNumberFormat="1" applyFont="1" applyFill="1" applyBorder="1" applyAlignment="1" applyProtection="1">
      <alignment horizontal="center"/>
      <protection locked="0"/>
    </xf>
    <xf numFmtId="9" fontId="46" fillId="17" borderId="0" xfId="1" applyFont="1" applyFill="1" applyBorder="1" applyAlignment="1">
      <alignment horizontal="center"/>
    </xf>
    <xf numFmtId="9" fontId="46" fillId="19" borderId="0" xfId="1" applyFont="1" applyFill="1" applyBorder="1" applyAlignment="1">
      <alignment horizontal="center"/>
    </xf>
    <xf numFmtId="9" fontId="46" fillId="17" borderId="0" xfId="1" applyFont="1" applyFill="1" applyAlignment="1">
      <alignment horizontal="center"/>
    </xf>
    <xf numFmtId="14" fontId="3" fillId="16" borderId="0" xfId="0" applyNumberFormat="1" applyFont="1" applyFill="1"/>
    <xf numFmtId="0" fontId="0" fillId="0" borderId="0" xfId="0" applyFill="1"/>
    <xf numFmtId="0" fontId="48" fillId="0" borderId="0" xfId="0" applyFont="1" applyFill="1" applyAlignment="1">
      <alignment vertical="center"/>
    </xf>
    <xf numFmtId="0" fontId="49" fillId="16" borderId="0" xfId="0" applyFont="1" applyFill="1" applyAlignment="1">
      <alignment horizontal="center"/>
    </xf>
    <xf numFmtId="0" fontId="49" fillId="16" borderId="0" xfId="0" applyFont="1" applyFill="1" applyAlignment="1">
      <alignment horizontal="left"/>
    </xf>
    <xf numFmtId="0" fontId="51" fillId="16" borderId="0" xfId="0" applyFont="1" applyFill="1" applyAlignment="1">
      <alignment vertical="center"/>
    </xf>
    <xf numFmtId="0" fontId="47" fillId="16" borderId="0" xfId="0" applyFont="1" applyFill="1" applyAlignment="1">
      <alignment vertical="center"/>
    </xf>
    <xf numFmtId="0" fontId="47" fillId="0" borderId="0" xfId="0" applyFont="1" applyFill="1" applyAlignment="1">
      <alignment vertical="center"/>
    </xf>
    <xf numFmtId="0" fontId="0" fillId="0" borderId="0" xfId="0" applyFill="1" applyAlignment="1">
      <alignment vertical="center"/>
    </xf>
    <xf numFmtId="0" fontId="0" fillId="0" borderId="0" xfId="0" applyFill="1" applyBorder="1"/>
    <xf numFmtId="0" fontId="0" fillId="0" borderId="0" xfId="0" applyFill="1" applyBorder="1" applyAlignment="1">
      <alignment vertical="center"/>
    </xf>
    <xf numFmtId="0" fontId="0" fillId="9" borderId="0" xfId="0" applyNumberFormat="1" applyFill="1"/>
    <xf numFmtId="0" fontId="50" fillId="16" borderId="0" xfId="0" applyFont="1" applyFill="1" applyAlignment="1">
      <alignment horizontal="left" vertical="top"/>
    </xf>
    <xf numFmtId="0" fontId="2" fillId="16" borderId="0" xfId="0" applyFont="1" applyFill="1" applyAlignment="1">
      <alignment horizontal="left" vertical="top"/>
    </xf>
    <xf numFmtId="0" fontId="2" fillId="16" borderId="0" xfId="0" applyFont="1" applyFill="1" applyAlignment="1">
      <alignment vertical="top"/>
    </xf>
    <xf numFmtId="0" fontId="1" fillId="16" borderId="0" xfId="0" applyFont="1" applyFill="1" applyAlignment="1">
      <alignment horizontal="left" vertical="center"/>
    </xf>
    <xf numFmtId="0" fontId="1" fillId="16" borderId="0" xfId="0" applyFont="1" applyFill="1" applyAlignment="1">
      <alignment horizontal="left" vertical="top"/>
    </xf>
    <xf numFmtId="0" fontId="53" fillId="16" borderId="0" xfId="188" applyFont="1" applyFill="1" applyAlignment="1">
      <alignment vertical="center"/>
    </xf>
    <xf numFmtId="0" fontId="52" fillId="16" borderId="0" xfId="0" applyFont="1" applyFill="1" applyAlignment="1" applyProtection="1">
      <alignment horizontal="left" wrapText="1"/>
      <protection locked="0"/>
    </xf>
    <xf numFmtId="0" fontId="1" fillId="16" borderId="0" xfId="0" applyFont="1" applyFill="1" applyAlignment="1" applyProtection="1">
      <alignment horizontal="left" wrapText="1"/>
      <protection locked="0"/>
    </xf>
  </cellXfs>
  <cellStyles count="18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9" builtinId="9" hidden="1"/>
    <cellStyle name="Followed Hyperlink" xfId="81" builtinId="9" hidden="1"/>
    <cellStyle name="Followed Hyperlink" xfId="26"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2" builtinId="9" hidden="1"/>
    <cellStyle name="Followed Hyperlink" xfId="134" builtinId="9" hidden="1"/>
    <cellStyle name="Followed Hyperlink" xfId="102"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7" builtinId="9" hidden="1"/>
    <cellStyle name="Followed Hyperlink" xfId="159" builtinId="9" hidden="1"/>
    <cellStyle name="Followed Hyperlink" xfId="130"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8" builtinId="8" hidden="1"/>
    <cellStyle name="Hyperlink" xfId="80" builtinId="8" hidden="1"/>
    <cellStyle name="Hyperlink" xfId="77"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31" builtinId="8" hidden="1"/>
    <cellStyle name="Hyperlink" xfId="133" builtinId="8" hidden="1"/>
    <cellStyle name="Hyperlink" xfId="129"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6" builtinId="8" hidden="1"/>
    <cellStyle name="Hyperlink" xfId="158" builtinId="8" hidden="1"/>
    <cellStyle name="Hyperlink" xfId="155"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cellStyle name="Normal" xfId="0" builtinId="0"/>
    <cellStyle name="Normal 2" xfId="24" xr:uid="{00000000-0005-0000-0000-0000B8000000}"/>
    <cellStyle name="Normal 2 2" xfId="49" xr:uid="{00000000-0005-0000-0000-0000B9000000}"/>
    <cellStyle name="Percent" xfId="1" builtinId="5"/>
    <cellStyle name="Percent 2" xfId="25" xr:uid="{00000000-0005-0000-0000-0000BB000000}"/>
    <cellStyle name="Percent 2 2" xfId="50" xr:uid="{00000000-0005-0000-0000-0000BC000000}"/>
  </cellStyles>
  <dxfs count="33">
    <dxf>
      <font>
        <strike val="0"/>
        <color rgb="FFCCFFCC"/>
      </font>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border>
        <left/>
        <right/>
        <top/>
        <bottom/>
        <vertical/>
        <horizontal/>
      </border>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border>
    </dxf>
    <dxf>
      <font>
        <color theme="0" tint="-4.9989318521683403E-2"/>
      </font>
      <fill>
        <patternFill>
          <bgColor theme="0" tint="-4.9989318521683403E-2"/>
        </patternFill>
      </fill>
      <border>
        <left/>
        <right/>
        <top/>
        <bottom/>
      </border>
    </dxf>
    <dxf>
      <font>
        <color theme="1"/>
      </font>
      <fill>
        <patternFill>
          <bgColor theme="0" tint="-4.9989318521683403E-2"/>
        </patternFill>
      </fill>
    </dxf>
    <dxf>
      <font>
        <color theme="0" tint="-4.9989318521683403E-2"/>
      </font>
      <fill>
        <patternFill>
          <bgColor theme="0" tint="-4.9989318521683403E-2"/>
        </patternFill>
      </fill>
      <border>
        <left/>
        <right/>
        <top/>
        <bottom/>
      </border>
    </dxf>
    <dxf>
      <font>
        <color theme="1"/>
      </font>
      <fill>
        <patternFill>
          <bgColor theme="0" tint="-4.9989318521683403E-2"/>
        </patternFill>
      </fill>
    </dxf>
    <dxf>
      <font>
        <color theme="4"/>
      </font>
      <fill>
        <patternFill>
          <bgColor theme="4"/>
        </patternFill>
      </fill>
      <border>
        <left/>
        <right/>
        <top/>
        <bottom/>
        <vertical/>
        <horizontal/>
      </border>
    </dxf>
    <dxf>
      <font>
        <b/>
        <i val="0"/>
        <color theme="0"/>
      </font>
      <fill>
        <patternFill>
          <bgColor rgb="FFFF0000"/>
        </patternFill>
      </fill>
    </dxf>
    <dxf>
      <font>
        <b/>
        <i val="0"/>
        <color theme="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i val="0"/>
        <color theme="0"/>
      </font>
      <fill>
        <patternFill>
          <bgColor rgb="FFFF0000"/>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9" defaultPivotStyle="PivotStyleMedium7"/>
  <colors>
    <mruColors>
      <color rgb="FF00A6DE"/>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400"/>
          </a:pPr>
          <a:endParaRPr lang="en-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0.42</c:v>
                </c:pt>
                <c:pt idx="1">
                  <c:v>0.14000000000000001</c:v>
                </c:pt>
                <c:pt idx="2">
                  <c:v>0.16</c:v>
                </c:pt>
                <c:pt idx="3">
                  <c:v>0.16</c:v>
                </c:pt>
                <c:pt idx="4">
                  <c:v>0.06</c:v>
                </c:pt>
                <c:pt idx="5">
                  <c:v>0.01</c:v>
                </c:pt>
                <c:pt idx="6">
                  <c:v>0.02</c:v>
                </c:pt>
                <c:pt idx="7">
                  <c:v>0.02</c:v>
                </c:pt>
                <c:pt idx="8">
                  <c:v>0</c:v>
                </c:pt>
                <c:pt idx="9">
                  <c:v>0.01</c:v>
                </c:pt>
              </c:numCache>
            </c:numRef>
          </c:val>
          <c:extLs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0.42</c:v>
                </c:pt>
                <c:pt idx="1">
                  <c:v>0.14000000000000001</c:v>
                </c:pt>
                <c:pt idx="2">
                  <c:v>0.16</c:v>
                </c:pt>
                <c:pt idx="3">
                  <c:v>0.16</c:v>
                </c:pt>
                <c:pt idx="4">
                  <c:v>0.06</c:v>
                </c:pt>
                <c:pt idx="5">
                  <c:v>0.01</c:v>
                </c:pt>
                <c:pt idx="6">
                  <c:v>0.02</c:v>
                </c:pt>
                <c:pt idx="7">
                  <c:v>0.02</c:v>
                </c:pt>
                <c:pt idx="8">
                  <c:v>0</c:v>
                </c:pt>
                <c:pt idx="9">
                  <c:v>0.01</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04785280"/>
        <c:axId val="304786816"/>
      </c:barChart>
      <c:catAx>
        <c:axId val="304785280"/>
        <c:scaling>
          <c:orientation val="minMax"/>
        </c:scaling>
        <c:delete val="0"/>
        <c:axPos val="b"/>
        <c:numFmt formatCode="#,##0" sourceLinked="0"/>
        <c:majorTickMark val="out"/>
        <c:minorTickMark val="none"/>
        <c:tickLblPos val="nextTo"/>
        <c:txPr>
          <a:bodyPr/>
          <a:lstStyle/>
          <a:p>
            <a:pPr>
              <a:defRPr sz="1100"/>
            </a:pPr>
            <a:endParaRPr lang="en-MX"/>
          </a:p>
        </c:txPr>
        <c:crossAx val="304786816"/>
        <c:crosses val="autoZero"/>
        <c:auto val="1"/>
        <c:lblAlgn val="ctr"/>
        <c:lblOffset val="100"/>
        <c:noMultiLvlLbl val="0"/>
      </c:catAx>
      <c:valAx>
        <c:axId val="304786816"/>
        <c:scaling>
          <c:orientation val="minMax"/>
          <c:max val="1"/>
          <c:min val="0"/>
        </c:scaling>
        <c:delete val="0"/>
        <c:axPos val="l"/>
        <c:majorGridlines/>
        <c:numFmt formatCode="0%" sourceLinked="0"/>
        <c:majorTickMark val="out"/>
        <c:minorTickMark val="none"/>
        <c:tickLblPos val="nextTo"/>
        <c:crossAx val="304785280"/>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n-MX"/>
        </a:p>
      </c:txPr>
    </c:legend>
    <c:plotVisOnly val="1"/>
    <c:dispBlanksAs val="gap"/>
    <c:showDLblsOverMax val="0"/>
  </c:chart>
  <c:spPr>
    <a:noFill/>
    <a:ln>
      <a:noFill/>
    </a:ln>
  </c:spPr>
  <c:txPr>
    <a:bodyPr/>
    <a:lstStyle/>
    <a:p>
      <a:pPr>
        <a:defRPr sz="1100">
          <a:solidFill>
            <a:schemeClr val="bg1"/>
          </a:solidFill>
        </a:defRPr>
      </a:pPr>
      <a:endParaRPr lang="en-MX"/>
    </a:p>
  </c:txPr>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Chance of Exceeding</a:t>
            </a:r>
          </a:p>
        </c:rich>
      </c:tx>
      <c:layout>
        <c:manualLayout>
          <c:xMode val="edge"/>
          <c:yMode val="edge"/>
          <c:x val="0.17196269794715199"/>
          <c:y val="1.8181620443837535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444.81712945914205</c:v>
                </c:pt>
                <c:pt idx="1">
                  <c:v>424.75841851487928</c:v>
                </c:pt>
                <c:pt idx="2">
                  <c:v>404.69970757061651</c:v>
                </c:pt>
                <c:pt idx="3">
                  <c:v>384.64099662635374</c:v>
                </c:pt>
                <c:pt idx="4">
                  <c:v>355.51896083042095</c:v>
                </c:pt>
                <c:pt idx="5">
                  <c:v>312.12371167142283</c:v>
                </c:pt>
                <c:pt idx="6">
                  <c:v>306.77313282349274</c:v>
                </c:pt>
                <c:pt idx="7">
                  <c:v>258.41589998405334</c:v>
                </c:pt>
                <c:pt idx="8">
                  <c:v>244.10148936594717</c:v>
                </c:pt>
                <c:pt idx="9">
                  <c:v>234.64045218830475</c:v>
                </c:pt>
                <c:pt idx="10">
                  <c:v>220.20068166889382</c:v>
                </c:pt>
                <c:pt idx="11">
                  <c:v>206.67458758034959</c:v>
                </c:pt>
                <c:pt idx="12">
                  <c:v>202.98420818397145</c:v>
                </c:pt>
                <c:pt idx="13">
                  <c:v>200.53534968121576</c:v>
                </c:pt>
                <c:pt idx="14">
                  <c:v>198.7253991542805</c:v>
                </c:pt>
                <c:pt idx="15">
                  <c:v>197.80932494317435</c:v>
                </c:pt>
                <c:pt idx="16">
                  <c:v>195.72285644590724</c:v>
                </c:pt>
                <c:pt idx="17">
                  <c:v>188.70233407539948</c:v>
                </c:pt>
                <c:pt idx="18">
                  <c:v>184.49703787996933</c:v>
                </c:pt>
                <c:pt idx="19">
                  <c:v>176.41071690018481</c:v>
                </c:pt>
                <c:pt idx="20">
                  <c:v>171.98063527730397</c:v>
                </c:pt>
                <c:pt idx="21">
                  <c:v>168.28884613324163</c:v>
                </c:pt>
                <c:pt idx="22">
                  <c:v>166.61100683438713</c:v>
                </c:pt>
                <c:pt idx="23">
                  <c:v>165.18557538644777</c:v>
                </c:pt>
                <c:pt idx="24">
                  <c:v>164.08767421416172</c:v>
                </c:pt>
                <c:pt idx="25">
                  <c:v>162.66037477990758</c:v>
                </c:pt>
                <c:pt idx="26">
                  <c:v>158.27179354015811</c:v>
                </c:pt>
                <c:pt idx="27">
                  <c:v>156.63106530366429</c:v>
                </c:pt>
                <c:pt idx="28">
                  <c:v>155.94461499166906</c:v>
                </c:pt>
                <c:pt idx="29">
                  <c:v>152.3756783166202</c:v>
                </c:pt>
                <c:pt idx="30">
                  <c:v>143.36035277374026</c:v>
                </c:pt>
                <c:pt idx="31">
                  <c:v>139.25199121800327</c:v>
                </c:pt>
                <c:pt idx="32">
                  <c:v>136.89470530880442</c:v>
                </c:pt>
                <c:pt idx="33">
                  <c:v>135.98742653941861</c:v>
                </c:pt>
                <c:pt idx="34">
                  <c:v>131.99912608582542</c:v>
                </c:pt>
                <c:pt idx="35">
                  <c:v>128.40428076813984</c:v>
                </c:pt>
                <c:pt idx="36">
                  <c:v>124.23500884404156</c:v>
                </c:pt>
                <c:pt idx="37">
                  <c:v>122.43647431712604</c:v>
                </c:pt>
                <c:pt idx="38">
                  <c:v>120.39607935275377</c:v>
                </c:pt>
                <c:pt idx="39">
                  <c:v>117.58955693598494</c:v>
                </c:pt>
                <c:pt idx="40">
                  <c:v>115.39800972720978</c:v>
                </c:pt>
                <c:pt idx="41">
                  <c:v>109.84989821854468</c:v>
                </c:pt>
                <c:pt idx="42">
                  <c:v>106.38826889552067</c:v>
                </c:pt>
                <c:pt idx="43">
                  <c:v>104.98825224618354</c:v>
                </c:pt>
                <c:pt idx="44">
                  <c:v>103.02747363079874</c:v>
                </c:pt>
                <c:pt idx="45">
                  <c:v>101.28895663259755</c:v>
                </c:pt>
                <c:pt idx="46">
                  <c:v>98.856915796882788</c:v>
                </c:pt>
                <c:pt idx="47">
                  <c:v>93.120810285228359</c:v>
                </c:pt>
                <c:pt idx="48">
                  <c:v>89.072628652105251</c:v>
                </c:pt>
                <c:pt idx="49">
                  <c:v>86.136072388729204</c:v>
                </c:pt>
                <c:pt idx="50">
                  <c:v>83.735311941489783</c:v>
                </c:pt>
                <c:pt idx="51">
                  <c:v>82.495558516016217</c:v>
                </c:pt>
                <c:pt idx="52">
                  <c:v>80.598545891391552</c:v>
                </c:pt>
                <c:pt idx="53">
                  <c:v>78.655019782132285</c:v>
                </c:pt>
                <c:pt idx="54">
                  <c:v>77.372538731023894</c:v>
                </c:pt>
                <c:pt idx="55">
                  <c:v>76.812281718354228</c:v>
                </c:pt>
                <c:pt idx="56">
                  <c:v>73.596125363657649</c:v>
                </c:pt>
                <c:pt idx="57">
                  <c:v>69.114374717936755</c:v>
                </c:pt>
                <c:pt idx="58">
                  <c:v>66.90409256219634</c:v>
                </c:pt>
                <c:pt idx="59">
                  <c:v>61.427758026402159</c:v>
                </c:pt>
                <c:pt idx="60">
                  <c:v>52.266001872613586</c:v>
                </c:pt>
                <c:pt idx="61">
                  <c:v>47.280446998086774</c:v>
                </c:pt>
                <c:pt idx="62">
                  <c:v>45.485069307141011</c:v>
                </c:pt>
                <c:pt idx="63">
                  <c:v>41.430081930723375</c:v>
                </c:pt>
                <c:pt idx="64">
                  <c:v>35.795361887619322</c:v>
                </c:pt>
                <c:pt idx="65">
                  <c:v>34.150038708298759</c:v>
                </c:pt>
                <c:pt idx="66">
                  <c:v>32.19821694329481</c:v>
                </c:pt>
                <c:pt idx="67">
                  <c:v>27.418359828261668</c:v>
                </c:pt>
                <c:pt idx="68">
                  <c:v>24.629294787221482</c:v>
                </c:pt>
                <c:pt idx="69">
                  <c:v>23.66314793571588</c:v>
                </c:pt>
                <c:pt idx="70">
                  <c:v>21.990498903399207</c:v>
                </c:pt>
                <c:pt idx="71">
                  <c:v>19.779453181932325</c:v>
                </c:pt>
                <c:pt idx="72">
                  <c:v>19.091821478903082</c:v>
                </c:pt>
                <c:pt idx="73">
                  <c:v>18.110034645330636</c:v>
                </c:pt>
                <c:pt idx="74">
                  <c:v>14.868421669638966</c:v>
                </c:pt>
                <c:pt idx="75">
                  <c:v>7.0320679733268197</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444.81712945914205</c:v>
                </c:pt>
                <c:pt idx="1">
                  <c:v>424.75841851487928</c:v>
                </c:pt>
                <c:pt idx="2">
                  <c:v>404.69970757061651</c:v>
                </c:pt>
                <c:pt idx="3">
                  <c:v>384.64099662635374</c:v>
                </c:pt>
                <c:pt idx="4">
                  <c:v>355.51896083042095</c:v>
                </c:pt>
                <c:pt idx="5">
                  <c:v>312.12371167142283</c:v>
                </c:pt>
                <c:pt idx="6">
                  <c:v>306.77313282349274</c:v>
                </c:pt>
                <c:pt idx="7">
                  <c:v>258.41589998405334</c:v>
                </c:pt>
                <c:pt idx="8">
                  <c:v>244.10148936594717</c:v>
                </c:pt>
                <c:pt idx="9">
                  <c:v>234.64045218830475</c:v>
                </c:pt>
                <c:pt idx="10">
                  <c:v>220.20068166889382</c:v>
                </c:pt>
                <c:pt idx="11">
                  <c:v>206.67458758034959</c:v>
                </c:pt>
                <c:pt idx="12">
                  <c:v>202.98420818397145</c:v>
                </c:pt>
                <c:pt idx="13">
                  <c:v>200.53534968121576</c:v>
                </c:pt>
                <c:pt idx="14">
                  <c:v>198.7253991542805</c:v>
                </c:pt>
                <c:pt idx="15">
                  <c:v>197.80932494317435</c:v>
                </c:pt>
                <c:pt idx="16">
                  <c:v>195.72285644590724</c:v>
                </c:pt>
                <c:pt idx="17">
                  <c:v>188.70233407539948</c:v>
                </c:pt>
                <c:pt idx="18">
                  <c:v>184.49703787996933</c:v>
                </c:pt>
                <c:pt idx="19">
                  <c:v>176.41071690018481</c:v>
                </c:pt>
                <c:pt idx="20">
                  <c:v>171.98063527730397</c:v>
                </c:pt>
                <c:pt idx="21">
                  <c:v>168.28884613324163</c:v>
                </c:pt>
                <c:pt idx="22">
                  <c:v>166.61100683438713</c:v>
                </c:pt>
                <c:pt idx="23">
                  <c:v>165.18557538644777</c:v>
                </c:pt>
                <c:pt idx="24">
                  <c:v>164.08767421416172</c:v>
                </c:pt>
                <c:pt idx="25">
                  <c:v>162.66037477990758</c:v>
                </c:pt>
                <c:pt idx="26">
                  <c:v>158.27179354015811</c:v>
                </c:pt>
                <c:pt idx="27">
                  <c:v>156.63106530366429</c:v>
                </c:pt>
                <c:pt idx="28">
                  <c:v>155.94461499166906</c:v>
                </c:pt>
                <c:pt idx="29">
                  <c:v>152.3756783166202</c:v>
                </c:pt>
                <c:pt idx="30">
                  <c:v>143.36035277374026</c:v>
                </c:pt>
                <c:pt idx="31">
                  <c:v>139.25199121800327</c:v>
                </c:pt>
                <c:pt idx="32">
                  <c:v>136.89470530880442</c:v>
                </c:pt>
                <c:pt idx="33">
                  <c:v>135.98742653941861</c:v>
                </c:pt>
                <c:pt idx="34">
                  <c:v>131.99912608582542</c:v>
                </c:pt>
                <c:pt idx="35">
                  <c:v>128.40428076813984</c:v>
                </c:pt>
                <c:pt idx="36">
                  <c:v>124.23500884404156</c:v>
                </c:pt>
                <c:pt idx="37">
                  <c:v>122.43647431712604</c:v>
                </c:pt>
                <c:pt idx="38">
                  <c:v>120.39607935275377</c:v>
                </c:pt>
                <c:pt idx="39">
                  <c:v>117.58955693598494</c:v>
                </c:pt>
                <c:pt idx="40">
                  <c:v>115.39800972720978</c:v>
                </c:pt>
                <c:pt idx="41">
                  <c:v>109.84989821854468</c:v>
                </c:pt>
                <c:pt idx="42">
                  <c:v>106.38826889552067</c:v>
                </c:pt>
                <c:pt idx="43">
                  <c:v>104.98825224618354</c:v>
                </c:pt>
                <c:pt idx="44">
                  <c:v>103.02747363079874</c:v>
                </c:pt>
                <c:pt idx="45">
                  <c:v>101.28895663259755</c:v>
                </c:pt>
                <c:pt idx="46">
                  <c:v>98.856915796882788</c:v>
                </c:pt>
                <c:pt idx="47">
                  <c:v>93.120810285228359</c:v>
                </c:pt>
                <c:pt idx="48">
                  <c:v>89.072628652105251</c:v>
                </c:pt>
                <c:pt idx="49">
                  <c:v>86.136072388729204</c:v>
                </c:pt>
                <c:pt idx="50">
                  <c:v>83.735311941489783</c:v>
                </c:pt>
                <c:pt idx="51">
                  <c:v>82.495558516016217</c:v>
                </c:pt>
                <c:pt idx="52">
                  <c:v>80.598545891391552</c:v>
                </c:pt>
                <c:pt idx="53">
                  <c:v>78.655019782132285</c:v>
                </c:pt>
                <c:pt idx="54">
                  <c:v>77.372538731023894</c:v>
                </c:pt>
                <c:pt idx="55">
                  <c:v>76.812281718354228</c:v>
                </c:pt>
                <c:pt idx="56">
                  <c:v>73.596125363657649</c:v>
                </c:pt>
                <c:pt idx="57">
                  <c:v>69.114374717936755</c:v>
                </c:pt>
                <c:pt idx="58">
                  <c:v>66.90409256219634</c:v>
                </c:pt>
                <c:pt idx="59">
                  <c:v>61.427758026402159</c:v>
                </c:pt>
                <c:pt idx="60">
                  <c:v>52.266001872613586</c:v>
                </c:pt>
                <c:pt idx="61">
                  <c:v>47.280446998086774</c:v>
                </c:pt>
                <c:pt idx="62">
                  <c:v>45.485069307141011</c:v>
                </c:pt>
                <c:pt idx="63">
                  <c:v>41.430081930723375</c:v>
                </c:pt>
                <c:pt idx="64">
                  <c:v>35.795361887619322</c:v>
                </c:pt>
                <c:pt idx="65">
                  <c:v>34.150038708298759</c:v>
                </c:pt>
                <c:pt idx="66">
                  <c:v>32.19821694329481</c:v>
                </c:pt>
                <c:pt idx="67">
                  <c:v>27.418359828261668</c:v>
                </c:pt>
                <c:pt idx="68">
                  <c:v>24.629294787221482</c:v>
                </c:pt>
                <c:pt idx="69">
                  <c:v>23.66314793571588</c:v>
                </c:pt>
                <c:pt idx="70">
                  <c:v>21.990498903399207</c:v>
                </c:pt>
                <c:pt idx="71">
                  <c:v>19.779453181932325</c:v>
                </c:pt>
                <c:pt idx="72">
                  <c:v>19.091821478903082</c:v>
                </c:pt>
                <c:pt idx="73">
                  <c:v>18.110034645330636</c:v>
                </c:pt>
                <c:pt idx="74">
                  <c:v>14.868421669638966</c:v>
                </c:pt>
                <c:pt idx="75">
                  <c:v>7.0320679733268197</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04575616"/>
        <c:axId val="304577152"/>
      </c:scatterChart>
      <c:valAx>
        <c:axId val="304575616"/>
        <c:scaling>
          <c:orientation val="minMax"/>
        </c:scaling>
        <c:delete val="0"/>
        <c:axPos val="b"/>
        <c:numFmt formatCode="#,##0" sourceLinked="0"/>
        <c:majorTickMark val="out"/>
        <c:minorTickMark val="none"/>
        <c:tickLblPos val="nextTo"/>
        <c:crossAx val="304577152"/>
        <c:crosses val="autoZero"/>
        <c:crossBetween val="midCat"/>
      </c:valAx>
      <c:valAx>
        <c:axId val="304577152"/>
        <c:scaling>
          <c:orientation val="minMax"/>
          <c:max val="1"/>
          <c:min val="0"/>
        </c:scaling>
        <c:delete val="0"/>
        <c:axPos val="l"/>
        <c:majorGridlines/>
        <c:numFmt formatCode="0%" sourceLinked="0"/>
        <c:majorTickMark val="out"/>
        <c:minorTickMark val="none"/>
        <c:tickLblPos val="nextTo"/>
        <c:txPr>
          <a:bodyPr/>
          <a:lstStyle/>
          <a:p>
            <a:pPr>
              <a:defRPr sz="1100"/>
            </a:pPr>
            <a:endParaRPr lang="en-MX"/>
          </a:p>
        </c:txPr>
        <c:crossAx val="304575616"/>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n-MX"/>
        </a:p>
      </c:txPr>
    </c:legend>
    <c:plotVisOnly val="1"/>
    <c:dispBlanksAs val="gap"/>
    <c:showDLblsOverMax val="0"/>
  </c:chart>
  <c:spPr>
    <a:noFill/>
    <a:ln>
      <a:noFill/>
    </a:ln>
  </c:spPr>
  <c:txPr>
    <a:bodyPr/>
    <a:lstStyle/>
    <a:p>
      <a:pPr>
        <a:defRPr sz="1200">
          <a:solidFill>
            <a:schemeClr val="bg1"/>
          </a:solidFill>
        </a:defRPr>
      </a:pPr>
      <a:endParaRPr lang="en-MX"/>
    </a:p>
  </c:txPr>
  <c:printSettings>
    <c:headerFooter/>
    <c:pageMargins b="0.75000000000000089" l="0.70000000000000062" r="0.70000000000000062" t="0.7500000000000008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200"/>
          </a:pPr>
          <a:endParaRPr lang="en-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0.42</c:v>
                </c:pt>
                <c:pt idx="1">
                  <c:v>0.14000000000000001</c:v>
                </c:pt>
                <c:pt idx="2">
                  <c:v>0.16</c:v>
                </c:pt>
                <c:pt idx="3">
                  <c:v>0.16</c:v>
                </c:pt>
                <c:pt idx="4">
                  <c:v>0.06</c:v>
                </c:pt>
                <c:pt idx="5">
                  <c:v>0.01</c:v>
                </c:pt>
                <c:pt idx="6">
                  <c:v>0.02</c:v>
                </c:pt>
                <c:pt idx="7">
                  <c:v>0.02</c:v>
                </c:pt>
                <c:pt idx="8">
                  <c:v>0</c:v>
                </c:pt>
                <c:pt idx="9">
                  <c:v>0.01</c:v>
                </c:pt>
              </c:numCache>
            </c:numRef>
          </c:val>
          <c:extLs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0.42</c:v>
                </c:pt>
                <c:pt idx="1">
                  <c:v>0.14000000000000001</c:v>
                </c:pt>
                <c:pt idx="2">
                  <c:v>0.16</c:v>
                </c:pt>
                <c:pt idx="3">
                  <c:v>0.16</c:v>
                </c:pt>
                <c:pt idx="4">
                  <c:v>0.06</c:v>
                </c:pt>
                <c:pt idx="5">
                  <c:v>0.01</c:v>
                </c:pt>
                <c:pt idx="6">
                  <c:v>0.02</c:v>
                </c:pt>
                <c:pt idx="7">
                  <c:v>0.02</c:v>
                </c:pt>
                <c:pt idx="8">
                  <c:v>0</c:v>
                </c:pt>
                <c:pt idx="9">
                  <c:v>0.01</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25536384"/>
        <c:axId val="325538176"/>
      </c:barChart>
      <c:catAx>
        <c:axId val="325536384"/>
        <c:scaling>
          <c:orientation val="minMax"/>
        </c:scaling>
        <c:delete val="0"/>
        <c:axPos val="b"/>
        <c:numFmt formatCode="#,##0" sourceLinked="0"/>
        <c:majorTickMark val="out"/>
        <c:minorTickMark val="none"/>
        <c:tickLblPos val="nextTo"/>
        <c:txPr>
          <a:bodyPr/>
          <a:lstStyle/>
          <a:p>
            <a:pPr>
              <a:defRPr sz="1100"/>
            </a:pPr>
            <a:endParaRPr lang="en-MX"/>
          </a:p>
        </c:txPr>
        <c:crossAx val="325538176"/>
        <c:crosses val="autoZero"/>
        <c:auto val="1"/>
        <c:lblAlgn val="ctr"/>
        <c:lblOffset val="100"/>
        <c:noMultiLvlLbl val="0"/>
      </c:catAx>
      <c:valAx>
        <c:axId val="325538176"/>
        <c:scaling>
          <c:orientation val="minMax"/>
          <c:max val="1"/>
          <c:min val="0"/>
        </c:scaling>
        <c:delete val="0"/>
        <c:axPos val="l"/>
        <c:majorGridlines/>
        <c:numFmt formatCode="0%" sourceLinked="0"/>
        <c:majorTickMark val="out"/>
        <c:minorTickMark val="none"/>
        <c:tickLblPos val="nextTo"/>
        <c:crossAx val="325536384"/>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n-MX"/>
        </a:p>
      </c:txPr>
    </c:legend>
    <c:plotVisOnly val="1"/>
    <c:dispBlanksAs val="gap"/>
    <c:showDLblsOverMax val="0"/>
  </c:chart>
  <c:spPr>
    <a:noFill/>
    <a:ln>
      <a:noFill/>
    </a:ln>
  </c:spPr>
  <c:txPr>
    <a:bodyPr/>
    <a:lstStyle/>
    <a:p>
      <a:pPr>
        <a:defRPr sz="1100">
          <a:solidFill>
            <a:schemeClr val="bg1"/>
          </a:solidFill>
        </a:defRPr>
      </a:pPr>
      <a:endParaRPr lang="en-MX"/>
    </a:p>
  </c:txPr>
  <c:printSettings>
    <c:headerFooter/>
    <c:pageMargins b="0.75000000000000089" l="0.70000000000000062" r="0.70000000000000062" t="0.750000000000000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t>Chance of Exceeding</a:t>
            </a:r>
          </a:p>
        </c:rich>
      </c:tx>
      <c:layout>
        <c:manualLayout>
          <c:xMode val="edge"/>
          <c:yMode val="edge"/>
          <c:x val="0.17196264172562226"/>
          <c:y val="1.8181800828632036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444.81712945914205</c:v>
                </c:pt>
                <c:pt idx="1">
                  <c:v>424.75841851487928</c:v>
                </c:pt>
                <c:pt idx="2">
                  <c:v>404.69970757061651</c:v>
                </c:pt>
                <c:pt idx="3">
                  <c:v>384.64099662635374</c:v>
                </c:pt>
                <c:pt idx="4">
                  <c:v>355.51896083042095</c:v>
                </c:pt>
                <c:pt idx="5">
                  <c:v>312.12371167142283</c:v>
                </c:pt>
                <c:pt idx="6">
                  <c:v>306.77313282349274</c:v>
                </c:pt>
                <c:pt idx="7">
                  <c:v>258.41589998405334</c:v>
                </c:pt>
                <c:pt idx="8">
                  <c:v>244.10148936594717</c:v>
                </c:pt>
                <c:pt idx="9">
                  <c:v>234.64045218830475</c:v>
                </c:pt>
                <c:pt idx="10">
                  <c:v>220.20068166889382</c:v>
                </c:pt>
                <c:pt idx="11">
                  <c:v>206.67458758034959</c:v>
                </c:pt>
                <c:pt idx="12">
                  <c:v>202.98420818397145</c:v>
                </c:pt>
                <c:pt idx="13">
                  <c:v>200.53534968121576</c:v>
                </c:pt>
                <c:pt idx="14">
                  <c:v>198.7253991542805</c:v>
                </c:pt>
                <c:pt idx="15">
                  <c:v>197.80932494317435</c:v>
                </c:pt>
                <c:pt idx="16">
                  <c:v>195.72285644590724</c:v>
                </c:pt>
                <c:pt idx="17">
                  <c:v>188.70233407539948</c:v>
                </c:pt>
                <c:pt idx="18">
                  <c:v>184.49703787996933</c:v>
                </c:pt>
                <c:pt idx="19">
                  <c:v>176.41071690018481</c:v>
                </c:pt>
                <c:pt idx="20">
                  <c:v>171.98063527730397</c:v>
                </c:pt>
                <c:pt idx="21">
                  <c:v>168.28884613324163</c:v>
                </c:pt>
                <c:pt idx="22">
                  <c:v>166.61100683438713</c:v>
                </c:pt>
                <c:pt idx="23">
                  <c:v>165.18557538644777</c:v>
                </c:pt>
                <c:pt idx="24">
                  <c:v>164.08767421416172</c:v>
                </c:pt>
                <c:pt idx="25">
                  <c:v>162.66037477990758</c:v>
                </c:pt>
                <c:pt idx="26">
                  <c:v>158.27179354015811</c:v>
                </c:pt>
                <c:pt idx="27">
                  <c:v>156.63106530366429</c:v>
                </c:pt>
                <c:pt idx="28">
                  <c:v>155.94461499166906</c:v>
                </c:pt>
                <c:pt idx="29">
                  <c:v>152.3756783166202</c:v>
                </c:pt>
                <c:pt idx="30">
                  <c:v>143.36035277374026</c:v>
                </c:pt>
                <c:pt idx="31">
                  <c:v>139.25199121800327</c:v>
                </c:pt>
                <c:pt idx="32">
                  <c:v>136.89470530880442</c:v>
                </c:pt>
                <c:pt idx="33">
                  <c:v>135.98742653941861</c:v>
                </c:pt>
                <c:pt idx="34">
                  <c:v>131.99912608582542</c:v>
                </c:pt>
                <c:pt idx="35">
                  <c:v>128.40428076813984</c:v>
                </c:pt>
                <c:pt idx="36">
                  <c:v>124.23500884404156</c:v>
                </c:pt>
                <c:pt idx="37">
                  <c:v>122.43647431712604</c:v>
                </c:pt>
                <c:pt idx="38">
                  <c:v>120.39607935275377</c:v>
                </c:pt>
                <c:pt idx="39">
                  <c:v>117.58955693598494</c:v>
                </c:pt>
                <c:pt idx="40">
                  <c:v>115.39800972720978</c:v>
                </c:pt>
                <c:pt idx="41">
                  <c:v>109.84989821854468</c:v>
                </c:pt>
                <c:pt idx="42">
                  <c:v>106.38826889552067</c:v>
                </c:pt>
                <c:pt idx="43">
                  <c:v>104.98825224618354</c:v>
                </c:pt>
                <c:pt idx="44">
                  <c:v>103.02747363079874</c:v>
                </c:pt>
                <c:pt idx="45">
                  <c:v>101.28895663259755</c:v>
                </c:pt>
                <c:pt idx="46">
                  <c:v>98.856915796882788</c:v>
                </c:pt>
                <c:pt idx="47">
                  <c:v>93.120810285228359</c:v>
                </c:pt>
                <c:pt idx="48">
                  <c:v>89.072628652105251</c:v>
                </c:pt>
                <c:pt idx="49">
                  <c:v>86.136072388729204</c:v>
                </c:pt>
                <c:pt idx="50">
                  <c:v>83.735311941489783</c:v>
                </c:pt>
                <c:pt idx="51">
                  <c:v>82.495558516016217</c:v>
                </c:pt>
                <c:pt idx="52">
                  <c:v>80.598545891391552</c:v>
                </c:pt>
                <c:pt idx="53">
                  <c:v>78.655019782132285</c:v>
                </c:pt>
                <c:pt idx="54">
                  <c:v>77.372538731023894</c:v>
                </c:pt>
                <c:pt idx="55">
                  <c:v>76.812281718354228</c:v>
                </c:pt>
                <c:pt idx="56">
                  <c:v>73.596125363657649</c:v>
                </c:pt>
                <c:pt idx="57">
                  <c:v>69.114374717936755</c:v>
                </c:pt>
                <c:pt idx="58">
                  <c:v>66.90409256219634</c:v>
                </c:pt>
                <c:pt idx="59">
                  <c:v>61.427758026402159</c:v>
                </c:pt>
                <c:pt idx="60">
                  <c:v>52.266001872613586</c:v>
                </c:pt>
                <c:pt idx="61">
                  <c:v>47.280446998086774</c:v>
                </c:pt>
                <c:pt idx="62">
                  <c:v>45.485069307141011</c:v>
                </c:pt>
                <c:pt idx="63">
                  <c:v>41.430081930723375</c:v>
                </c:pt>
                <c:pt idx="64">
                  <c:v>35.795361887619322</c:v>
                </c:pt>
                <c:pt idx="65">
                  <c:v>34.150038708298759</c:v>
                </c:pt>
                <c:pt idx="66">
                  <c:v>32.19821694329481</c:v>
                </c:pt>
                <c:pt idx="67">
                  <c:v>27.418359828261668</c:v>
                </c:pt>
                <c:pt idx="68">
                  <c:v>24.629294787221482</c:v>
                </c:pt>
                <c:pt idx="69">
                  <c:v>23.66314793571588</c:v>
                </c:pt>
                <c:pt idx="70">
                  <c:v>21.990498903399207</c:v>
                </c:pt>
                <c:pt idx="71">
                  <c:v>19.779453181932325</c:v>
                </c:pt>
                <c:pt idx="72">
                  <c:v>19.091821478903082</c:v>
                </c:pt>
                <c:pt idx="73">
                  <c:v>18.110034645330636</c:v>
                </c:pt>
                <c:pt idx="74">
                  <c:v>14.868421669638966</c:v>
                </c:pt>
                <c:pt idx="75">
                  <c:v>7.0320679733268197</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444.81712945914205</c:v>
                </c:pt>
                <c:pt idx="1">
                  <c:v>424.75841851487928</c:v>
                </c:pt>
                <c:pt idx="2">
                  <c:v>404.69970757061651</c:v>
                </c:pt>
                <c:pt idx="3">
                  <c:v>384.64099662635374</c:v>
                </c:pt>
                <c:pt idx="4">
                  <c:v>355.51896083042095</c:v>
                </c:pt>
                <c:pt idx="5">
                  <c:v>312.12371167142283</c:v>
                </c:pt>
                <c:pt idx="6">
                  <c:v>306.77313282349274</c:v>
                </c:pt>
                <c:pt idx="7">
                  <c:v>258.41589998405334</c:v>
                </c:pt>
                <c:pt idx="8">
                  <c:v>244.10148936594717</c:v>
                </c:pt>
                <c:pt idx="9">
                  <c:v>234.64045218830475</c:v>
                </c:pt>
                <c:pt idx="10">
                  <c:v>220.20068166889382</c:v>
                </c:pt>
                <c:pt idx="11">
                  <c:v>206.67458758034959</c:v>
                </c:pt>
                <c:pt idx="12">
                  <c:v>202.98420818397145</c:v>
                </c:pt>
                <c:pt idx="13">
                  <c:v>200.53534968121576</c:v>
                </c:pt>
                <c:pt idx="14">
                  <c:v>198.7253991542805</c:v>
                </c:pt>
                <c:pt idx="15">
                  <c:v>197.80932494317435</c:v>
                </c:pt>
                <c:pt idx="16">
                  <c:v>195.72285644590724</c:v>
                </c:pt>
                <c:pt idx="17">
                  <c:v>188.70233407539948</c:v>
                </c:pt>
                <c:pt idx="18">
                  <c:v>184.49703787996933</c:v>
                </c:pt>
                <c:pt idx="19">
                  <c:v>176.41071690018481</c:v>
                </c:pt>
                <c:pt idx="20">
                  <c:v>171.98063527730397</c:v>
                </c:pt>
                <c:pt idx="21">
                  <c:v>168.28884613324163</c:v>
                </c:pt>
                <c:pt idx="22">
                  <c:v>166.61100683438713</c:v>
                </c:pt>
                <c:pt idx="23">
                  <c:v>165.18557538644777</c:v>
                </c:pt>
                <c:pt idx="24">
                  <c:v>164.08767421416172</c:v>
                </c:pt>
                <c:pt idx="25">
                  <c:v>162.66037477990758</c:v>
                </c:pt>
                <c:pt idx="26">
                  <c:v>158.27179354015811</c:v>
                </c:pt>
                <c:pt idx="27">
                  <c:v>156.63106530366429</c:v>
                </c:pt>
                <c:pt idx="28">
                  <c:v>155.94461499166906</c:v>
                </c:pt>
                <c:pt idx="29">
                  <c:v>152.3756783166202</c:v>
                </c:pt>
                <c:pt idx="30">
                  <c:v>143.36035277374026</c:v>
                </c:pt>
                <c:pt idx="31">
                  <c:v>139.25199121800327</c:v>
                </c:pt>
                <c:pt idx="32">
                  <c:v>136.89470530880442</c:v>
                </c:pt>
                <c:pt idx="33">
                  <c:v>135.98742653941861</c:v>
                </c:pt>
                <c:pt idx="34">
                  <c:v>131.99912608582542</c:v>
                </c:pt>
                <c:pt idx="35">
                  <c:v>128.40428076813984</c:v>
                </c:pt>
                <c:pt idx="36">
                  <c:v>124.23500884404156</c:v>
                </c:pt>
                <c:pt idx="37">
                  <c:v>122.43647431712604</c:v>
                </c:pt>
                <c:pt idx="38">
                  <c:v>120.39607935275377</c:v>
                </c:pt>
                <c:pt idx="39">
                  <c:v>117.58955693598494</c:v>
                </c:pt>
                <c:pt idx="40">
                  <c:v>115.39800972720978</c:v>
                </c:pt>
                <c:pt idx="41">
                  <c:v>109.84989821854468</c:v>
                </c:pt>
                <c:pt idx="42">
                  <c:v>106.38826889552067</c:v>
                </c:pt>
                <c:pt idx="43">
                  <c:v>104.98825224618354</c:v>
                </c:pt>
                <c:pt idx="44">
                  <c:v>103.02747363079874</c:v>
                </c:pt>
                <c:pt idx="45">
                  <c:v>101.28895663259755</c:v>
                </c:pt>
                <c:pt idx="46">
                  <c:v>98.856915796882788</c:v>
                </c:pt>
                <c:pt idx="47">
                  <c:v>93.120810285228359</c:v>
                </c:pt>
                <c:pt idx="48">
                  <c:v>89.072628652105251</c:v>
                </c:pt>
                <c:pt idx="49">
                  <c:v>86.136072388729204</c:v>
                </c:pt>
                <c:pt idx="50">
                  <c:v>83.735311941489783</c:v>
                </c:pt>
                <c:pt idx="51">
                  <c:v>82.495558516016217</c:v>
                </c:pt>
                <c:pt idx="52">
                  <c:v>80.598545891391552</c:v>
                </c:pt>
                <c:pt idx="53">
                  <c:v>78.655019782132285</c:v>
                </c:pt>
                <c:pt idx="54">
                  <c:v>77.372538731023894</c:v>
                </c:pt>
                <c:pt idx="55">
                  <c:v>76.812281718354228</c:v>
                </c:pt>
                <c:pt idx="56">
                  <c:v>73.596125363657649</c:v>
                </c:pt>
                <c:pt idx="57">
                  <c:v>69.114374717936755</c:v>
                </c:pt>
                <c:pt idx="58">
                  <c:v>66.90409256219634</c:v>
                </c:pt>
                <c:pt idx="59">
                  <c:v>61.427758026402159</c:v>
                </c:pt>
                <c:pt idx="60">
                  <c:v>52.266001872613586</c:v>
                </c:pt>
                <c:pt idx="61">
                  <c:v>47.280446998086774</c:v>
                </c:pt>
                <c:pt idx="62">
                  <c:v>45.485069307141011</c:v>
                </c:pt>
                <c:pt idx="63">
                  <c:v>41.430081930723375</c:v>
                </c:pt>
                <c:pt idx="64">
                  <c:v>35.795361887619322</c:v>
                </c:pt>
                <c:pt idx="65">
                  <c:v>34.150038708298759</c:v>
                </c:pt>
                <c:pt idx="66">
                  <c:v>32.19821694329481</c:v>
                </c:pt>
                <c:pt idx="67">
                  <c:v>27.418359828261668</c:v>
                </c:pt>
                <c:pt idx="68">
                  <c:v>24.629294787221482</c:v>
                </c:pt>
                <c:pt idx="69">
                  <c:v>23.66314793571588</c:v>
                </c:pt>
                <c:pt idx="70">
                  <c:v>21.990498903399207</c:v>
                </c:pt>
                <c:pt idx="71">
                  <c:v>19.779453181932325</c:v>
                </c:pt>
                <c:pt idx="72">
                  <c:v>19.091821478903082</c:v>
                </c:pt>
                <c:pt idx="73">
                  <c:v>18.110034645330636</c:v>
                </c:pt>
                <c:pt idx="74">
                  <c:v>14.868421669638966</c:v>
                </c:pt>
                <c:pt idx="75">
                  <c:v>7.0320679733268197</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5589248"/>
        <c:axId val="325595136"/>
      </c:scatterChart>
      <c:valAx>
        <c:axId val="325589248"/>
        <c:scaling>
          <c:orientation val="minMax"/>
        </c:scaling>
        <c:delete val="0"/>
        <c:axPos val="b"/>
        <c:numFmt formatCode="#,##0" sourceLinked="0"/>
        <c:majorTickMark val="out"/>
        <c:minorTickMark val="none"/>
        <c:tickLblPos val="nextTo"/>
        <c:crossAx val="325595136"/>
        <c:crosses val="autoZero"/>
        <c:crossBetween val="midCat"/>
      </c:valAx>
      <c:valAx>
        <c:axId val="325595136"/>
        <c:scaling>
          <c:orientation val="minMax"/>
          <c:max val="1"/>
          <c:min val="0"/>
        </c:scaling>
        <c:delete val="0"/>
        <c:axPos val="l"/>
        <c:majorGridlines/>
        <c:numFmt formatCode="0%" sourceLinked="0"/>
        <c:majorTickMark val="out"/>
        <c:minorTickMark val="none"/>
        <c:tickLblPos val="nextTo"/>
        <c:txPr>
          <a:bodyPr/>
          <a:lstStyle/>
          <a:p>
            <a:pPr>
              <a:defRPr sz="1100"/>
            </a:pPr>
            <a:endParaRPr lang="en-MX"/>
          </a:p>
        </c:txPr>
        <c:crossAx val="325589248"/>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n-MX"/>
        </a:p>
      </c:txPr>
    </c:legend>
    <c:plotVisOnly val="1"/>
    <c:dispBlanksAs val="gap"/>
    <c:showDLblsOverMax val="0"/>
  </c:chart>
  <c:spPr>
    <a:noFill/>
    <a:ln>
      <a:noFill/>
    </a:ln>
  </c:spPr>
  <c:txPr>
    <a:bodyPr/>
    <a:lstStyle/>
    <a:p>
      <a:pPr>
        <a:defRPr sz="1200">
          <a:solidFill>
            <a:schemeClr val="bg1"/>
          </a:solidFill>
        </a:defRPr>
      </a:pPr>
      <a:endParaRPr lang="en-MX"/>
    </a:p>
  </c:txPr>
  <c:printSettings>
    <c:headerFooter/>
    <c:pageMargins b="0.75000000000000089" l="0.70000000000000062" r="0.70000000000000062" t="0.75000000000000089"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200"/>
          </a:pPr>
          <a:endParaRPr lang="en-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0.42</c:v>
                </c:pt>
                <c:pt idx="1">
                  <c:v>0.14000000000000001</c:v>
                </c:pt>
                <c:pt idx="2">
                  <c:v>0.16</c:v>
                </c:pt>
                <c:pt idx="3">
                  <c:v>0.16</c:v>
                </c:pt>
                <c:pt idx="4">
                  <c:v>0.06</c:v>
                </c:pt>
                <c:pt idx="5">
                  <c:v>0.01</c:v>
                </c:pt>
                <c:pt idx="6">
                  <c:v>0.02</c:v>
                </c:pt>
                <c:pt idx="7">
                  <c:v>0.02</c:v>
                </c:pt>
                <c:pt idx="8">
                  <c:v>0</c:v>
                </c:pt>
                <c:pt idx="9">
                  <c:v>0.01</c:v>
                </c:pt>
              </c:numCache>
            </c:numRef>
          </c:val>
          <c:extLs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0.42</c:v>
                </c:pt>
                <c:pt idx="1">
                  <c:v>0.14000000000000001</c:v>
                </c:pt>
                <c:pt idx="2">
                  <c:v>0.16</c:v>
                </c:pt>
                <c:pt idx="3">
                  <c:v>0.16</c:v>
                </c:pt>
                <c:pt idx="4">
                  <c:v>0.06</c:v>
                </c:pt>
                <c:pt idx="5">
                  <c:v>0.01</c:v>
                </c:pt>
                <c:pt idx="6">
                  <c:v>0.02</c:v>
                </c:pt>
                <c:pt idx="7">
                  <c:v>0.02</c:v>
                </c:pt>
                <c:pt idx="8">
                  <c:v>0</c:v>
                </c:pt>
                <c:pt idx="9">
                  <c:v>0.01</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25880448"/>
        <c:axId val="328020352"/>
      </c:barChart>
      <c:catAx>
        <c:axId val="325880448"/>
        <c:scaling>
          <c:orientation val="minMax"/>
        </c:scaling>
        <c:delete val="0"/>
        <c:axPos val="b"/>
        <c:numFmt formatCode="#,##0" sourceLinked="0"/>
        <c:majorTickMark val="out"/>
        <c:minorTickMark val="none"/>
        <c:tickLblPos val="nextTo"/>
        <c:txPr>
          <a:bodyPr/>
          <a:lstStyle/>
          <a:p>
            <a:pPr>
              <a:defRPr sz="1100"/>
            </a:pPr>
            <a:endParaRPr lang="en-MX"/>
          </a:p>
        </c:txPr>
        <c:crossAx val="328020352"/>
        <c:crosses val="autoZero"/>
        <c:auto val="1"/>
        <c:lblAlgn val="ctr"/>
        <c:lblOffset val="100"/>
        <c:noMultiLvlLbl val="0"/>
      </c:catAx>
      <c:valAx>
        <c:axId val="328020352"/>
        <c:scaling>
          <c:orientation val="minMax"/>
          <c:max val="1"/>
          <c:min val="0"/>
        </c:scaling>
        <c:delete val="0"/>
        <c:axPos val="l"/>
        <c:majorGridlines/>
        <c:numFmt formatCode="0%" sourceLinked="0"/>
        <c:majorTickMark val="out"/>
        <c:minorTickMark val="none"/>
        <c:tickLblPos val="nextTo"/>
        <c:crossAx val="325880448"/>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n-MX"/>
        </a:p>
      </c:txPr>
    </c:legend>
    <c:plotVisOnly val="1"/>
    <c:dispBlanksAs val="gap"/>
    <c:showDLblsOverMax val="0"/>
  </c:chart>
  <c:spPr>
    <a:noFill/>
    <a:ln>
      <a:noFill/>
    </a:ln>
  </c:spPr>
  <c:txPr>
    <a:bodyPr/>
    <a:lstStyle/>
    <a:p>
      <a:pPr>
        <a:defRPr sz="1100">
          <a:solidFill>
            <a:schemeClr val="bg1"/>
          </a:solidFill>
        </a:defRPr>
      </a:pPr>
      <a:endParaRPr lang="en-MX"/>
    </a:p>
  </c:txPr>
  <c:printSettings>
    <c:headerFooter/>
    <c:pageMargins b="0.75000000000000089" l="0.70000000000000062" r="0.70000000000000062" t="0.75000000000000089"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t>Chance of Exceeding</a:t>
            </a:r>
          </a:p>
        </c:rich>
      </c:tx>
      <c:layout>
        <c:manualLayout>
          <c:xMode val="edge"/>
          <c:yMode val="edge"/>
          <c:x val="0.17196269794715199"/>
          <c:y val="1.8181620443837535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444.81712945914205</c:v>
                </c:pt>
                <c:pt idx="1">
                  <c:v>424.75841851487928</c:v>
                </c:pt>
                <c:pt idx="2">
                  <c:v>404.69970757061651</c:v>
                </c:pt>
                <c:pt idx="3">
                  <c:v>384.64099662635374</c:v>
                </c:pt>
                <c:pt idx="4">
                  <c:v>355.51896083042095</c:v>
                </c:pt>
                <c:pt idx="5">
                  <c:v>312.12371167142283</c:v>
                </c:pt>
                <c:pt idx="6">
                  <c:v>306.77313282349274</c:v>
                </c:pt>
                <c:pt idx="7">
                  <c:v>258.41589998405334</c:v>
                </c:pt>
                <c:pt idx="8">
                  <c:v>244.10148936594717</c:v>
                </c:pt>
                <c:pt idx="9">
                  <c:v>234.64045218830475</c:v>
                </c:pt>
                <c:pt idx="10">
                  <c:v>220.20068166889382</c:v>
                </c:pt>
                <c:pt idx="11">
                  <c:v>206.67458758034959</c:v>
                </c:pt>
                <c:pt idx="12">
                  <c:v>202.98420818397145</c:v>
                </c:pt>
                <c:pt idx="13">
                  <c:v>200.53534968121576</c:v>
                </c:pt>
                <c:pt idx="14">
                  <c:v>198.7253991542805</c:v>
                </c:pt>
                <c:pt idx="15">
                  <c:v>197.80932494317435</c:v>
                </c:pt>
                <c:pt idx="16">
                  <c:v>195.72285644590724</c:v>
                </c:pt>
                <c:pt idx="17">
                  <c:v>188.70233407539948</c:v>
                </c:pt>
                <c:pt idx="18">
                  <c:v>184.49703787996933</c:v>
                </c:pt>
                <c:pt idx="19">
                  <c:v>176.41071690018481</c:v>
                </c:pt>
                <c:pt idx="20">
                  <c:v>171.98063527730397</c:v>
                </c:pt>
                <c:pt idx="21">
                  <c:v>168.28884613324163</c:v>
                </c:pt>
                <c:pt idx="22">
                  <c:v>166.61100683438713</c:v>
                </c:pt>
                <c:pt idx="23">
                  <c:v>165.18557538644777</c:v>
                </c:pt>
                <c:pt idx="24">
                  <c:v>164.08767421416172</c:v>
                </c:pt>
                <c:pt idx="25">
                  <c:v>162.66037477990758</c:v>
                </c:pt>
                <c:pt idx="26">
                  <c:v>158.27179354015811</c:v>
                </c:pt>
                <c:pt idx="27">
                  <c:v>156.63106530366429</c:v>
                </c:pt>
                <c:pt idx="28">
                  <c:v>155.94461499166906</c:v>
                </c:pt>
                <c:pt idx="29">
                  <c:v>152.3756783166202</c:v>
                </c:pt>
                <c:pt idx="30">
                  <c:v>143.36035277374026</c:v>
                </c:pt>
                <c:pt idx="31">
                  <c:v>139.25199121800327</c:v>
                </c:pt>
                <c:pt idx="32">
                  <c:v>136.89470530880442</c:v>
                </c:pt>
                <c:pt idx="33">
                  <c:v>135.98742653941861</c:v>
                </c:pt>
                <c:pt idx="34">
                  <c:v>131.99912608582542</c:v>
                </c:pt>
                <c:pt idx="35">
                  <c:v>128.40428076813984</c:v>
                </c:pt>
                <c:pt idx="36">
                  <c:v>124.23500884404156</c:v>
                </c:pt>
                <c:pt idx="37">
                  <c:v>122.43647431712604</c:v>
                </c:pt>
                <c:pt idx="38">
                  <c:v>120.39607935275377</c:v>
                </c:pt>
                <c:pt idx="39">
                  <c:v>117.58955693598494</c:v>
                </c:pt>
                <c:pt idx="40">
                  <c:v>115.39800972720978</c:v>
                </c:pt>
                <c:pt idx="41">
                  <c:v>109.84989821854468</c:v>
                </c:pt>
                <c:pt idx="42">
                  <c:v>106.38826889552067</c:v>
                </c:pt>
                <c:pt idx="43">
                  <c:v>104.98825224618354</c:v>
                </c:pt>
                <c:pt idx="44">
                  <c:v>103.02747363079874</c:v>
                </c:pt>
                <c:pt idx="45">
                  <c:v>101.28895663259755</c:v>
                </c:pt>
                <c:pt idx="46">
                  <c:v>98.856915796882788</c:v>
                </c:pt>
                <c:pt idx="47">
                  <c:v>93.120810285228359</c:v>
                </c:pt>
                <c:pt idx="48">
                  <c:v>89.072628652105251</c:v>
                </c:pt>
                <c:pt idx="49">
                  <c:v>86.136072388729204</c:v>
                </c:pt>
                <c:pt idx="50">
                  <c:v>83.735311941489783</c:v>
                </c:pt>
                <c:pt idx="51">
                  <c:v>82.495558516016217</c:v>
                </c:pt>
                <c:pt idx="52">
                  <c:v>80.598545891391552</c:v>
                </c:pt>
                <c:pt idx="53">
                  <c:v>78.655019782132285</c:v>
                </c:pt>
                <c:pt idx="54">
                  <c:v>77.372538731023894</c:v>
                </c:pt>
                <c:pt idx="55">
                  <c:v>76.812281718354228</c:v>
                </c:pt>
                <c:pt idx="56">
                  <c:v>73.596125363657649</c:v>
                </c:pt>
                <c:pt idx="57">
                  <c:v>69.114374717936755</c:v>
                </c:pt>
                <c:pt idx="58">
                  <c:v>66.90409256219634</c:v>
                </c:pt>
                <c:pt idx="59">
                  <c:v>61.427758026402159</c:v>
                </c:pt>
                <c:pt idx="60">
                  <c:v>52.266001872613586</c:v>
                </c:pt>
                <c:pt idx="61">
                  <c:v>47.280446998086774</c:v>
                </c:pt>
                <c:pt idx="62">
                  <c:v>45.485069307141011</c:v>
                </c:pt>
                <c:pt idx="63">
                  <c:v>41.430081930723375</c:v>
                </c:pt>
                <c:pt idx="64">
                  <c:v>35.795361887619322</c:v>
                </c:pt>
                <c:pt idx="65">
                  <c:v>34.150038708298759</c:v>
                </c:pt>
                <c:pt idx="66">
                  <c:v>32.19821694329481</c:v>
                </c:pt>
                <c:pt idx="67">
                  <c:v>27.418359828261668</c:v>
                </c:pt>
                <c:pt idx="68">
                  <c:v>24.629294787221482</c:v>
                </c:pt>
                <c:pt idx="69">
                  <c:v>23.66314793571588</c:v>
                </c:pt>
                <c:pt idx="70">
                  <c:v>21.990498903399207</c:v>
                </c:pt>
                <c:pt idx="71">
                  <c:v>19.779453181932325</c:v>
                </c:pt>
                <c:pt idx="72">
                  <c:v>19.091821478903082</c:v>
                </c:pt>
                <c:pt idx="73">
                  <c:v>18.110034645330636</c:v>
                </c:pt>
                <c:pt idx="74">
                  <c:v>14.868421669638966</c:v>
                </c:pt>
                <c:pt idx="75">
                  <c:v>7.0320679733268197</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444.81712945914205</c:v>
                </c:pt>
                <c:pt idx="1">
                  <c:v>424.75841851487928</c:v>
                </c:pt>
                <c:pt idx="2">
                  <c:v>404.69970757061651</c:v>
                </c:pt>
                <c:pt idx="3">
                  <c:v>384.64099662635374</c:v>
                </c:pt>
                <c:pt idx="4">
                  <c:v>355.51896083042095</c:v>
                </c:pt>
                <c:pt idx="5">
                  <c:v>312.12371167142283</c:v>
                </c:pt>
                <c:pt idx="6">
                  <c:v>306.77313282349274</c:v>
                </c:pt>
                <c:pt idx="7">
                  <c:v>258.41589998405334</c:v>
                </c:pt>
                <c:pt idx="8">
                  <c:v>244.10148936594717</c:v>
                </c:pt>
                <c:pt idx="9">
                  <c:v>234.64045218830475</c:v>
                </c:pt>
                <c:pt idx="10">
                  <c:v>220.20068166889382</c:v>
                </c:pt>
                <c:pt idx="11">
                  <c:v>206.67458758034959</c:v>
                </c:pt>
                <c:pt idx="12">
                  <c:v>202.98420818397145</c:v>
                </c:pt>
                <c:pt idx="13">
                  <c:v>200.53534968121576</c:v>
                </c:pt>
                <c:pt idx="14">
                  <c:v>198.7253991542805</c:v>
                </c:pt>
                <c:pt idx="15">
                  <c:v>197.80932494317435</c:v>
                </c:pt>
                <c:pt idx="16">
                  <c:v>195.72285644590724</c:v>
                </c:pt>
                <c:pt idx="17">
                  <c:v>188.70233407539948</c:v>
                </c:pt>
                <c:pt idx="18">
                  <c:v>184.49703787996933</c:v>
                </c:pt>
                <c:pt idx="19">
                  <c:v>176.41071690018481</c:v>
                </c:pt>
                <c:pt idx="20">
                  <c:v>171.98063527730397</c:v>
                </c:pt>
                <c:pt idx="21">
                  <c:v>168.28884613324163</c:v>
                </c:pt>
                <c:pt idx="22">
                  <c:v>166.61100683438713</c:v>
                </c:pt>
                <c:pt idx="23">
                  <c:v>165.18557538644777</c:v>
                </c:pt>
                <c:pt idx="24">
                  <c:v>164.08767421416172</c:v>
                </c:pt>
                <c:pt idx="25">
                  <c:v>162.66037477990758</c:v>
                </c:pt>
                <c:pt idx="26">
                  <c:v>158.27179354015811</c:v>
                </c:pt>
                <c:pt idx="27">
                  <c:v>156.63106530366429</c:v>
                </c:pt>
                <c:pt idx="28">
                  <c:v>155.94461499166906</c:v>
                </c:pt>
                <c:pt idx="29">
                  <c:v>152.3756783166202</c:v>
                </c:pt>
                <c:pt idx="30">
                  <c:v>143.36035277374026</c:v>
                </c:pt>
                <c:pt idx="31">
                  <c:v>139.25199121800327</c:v>
                </c:pt>
                <c:pt idx="32">
                  <c:v>136.89470530880442</c:v>
                </c:pt>
                <c:pt idx="33">
                  <c:v>135.98742653941861</c:v>
                </c:pt>
                <c:pt idx="34">
                  <c:v>131.99912608582542</c:v>
                </c:pt>
                <c:pt idx="35">
                  <c:v>128.40428076813984</c:v>
                </c:pt>
                <c:pt idx="36">
                  <c:v>124.23500884404156</c:v>
                </c:pt>
                <c:pt idx="37">
                  <c:v>122.43647431712604</c:v>
                </c:pt>
                <c:pt idx="38">
                  <c:v>120.39607935275377</c:v>
                </c:pt>
                <c:pt idx="39">
                  <c:v>117.58955693598494</c:v>
                </c:pt>
                <c:pt idx="40">
                  <c:v>115.39800972720978</c:v>
                </c:pt>
                <c:pt idx="41">
                  <c:v>109.84989821854468</c:v>
                </c:pt>
                <c:pt idx="42">
                  <c:v>106.38826889552067</c:v>
                </c:pt>
                <c:pt idx="43">
                  <c:v>104.98825224618354</c:v>
                </c:pt>
                <c:pt idx="44">
                  <c:v>103.02747363079874</c:v>
                </c:pt>
                <c:pt idx="45">
                  <c:v>101.28895663259755</c:v>
                </c:pt>
                <c:pt idx="46">
                  <c:v>98.856915796882788</c:v>
                </c:pt>
                <c:pt idx="47">
                  <c:v>93.120810285228359</c:v>
                </c:pt>
                <c:pt idx="48">
                  <c:v>89.072628652105251</c:v>
                </c:pt>
                <c:pt idx="49">
                  <c:v>86.136072388729204</c:v>
                </c:pt>
                <c:pt idx="50">
                  <c:v>83.735311941489783</c:v>
                </c:pt>
                <c:pt idx="51">
                  <c:v>82.495558516016217</c:v>
                </c:pt>
                <c:pt idx="52">
                  <c:v>80.598545891391552</c:v>
                </c:pt>
                <c:pt idx="53">
                  <c:v>78.655019782132285</c:v>
                </c:pt>
                <c:pt idx="54">
                  <c:v>77.372538731023894</c:v>
                </c:pt>
                <c:pt idx="55">
                  <c:v>76.812281718354228</c:v>
                </c:pt>
                <c:pt idx="56">
                  <c:v>73.596125363657649</c:v>
                </c:pt>
                <c:pt idx="57">
                  <c:v>69.114374717936755</c:v>
                </c:pt>
                <c:pt idx="58">
                  <c:v>66.90409256219634</c:v>
                </c:pt>
                <c:pt idx="59">
                  <c:v>61.427758026402159</c:v>
                </c:pt>
                <c:pt idx="60">
                  <c:v>52.266001872613586</c:v>
                </c:pt>
                <c:pt idx="61">
                  <c:v>47.280446998086774</c:v>
                </c:pt>
                <c:pt idx="62">
                  <c:v>45.485069307141011</c:v>
                </c:pt>
                <c:pt idx="63">
                  <c:v>41.430081930723375</c:v>
                </c:pt>
                <c:pt idx="64">
                  <c:v>35.795361887619322</c:v>
                </c:pt>
                <c:pt idx="65">
                  <c:v>34.150038708298759</c:v>
                </c:pt>
                <c:pt idx="66">
                  <c:v>32.19821694329481</c:v>
                </c:pt>
                <c:pt idx="67">
                  <c:v>27.418359828261668</c:v>
                </c:pt>
                <c:pt idx="68">
                  <c:v>24.629294787221482</c:v>
                </c:pt>
                <c:pt idx="69">
                  <c:v>23.66314793571588</c:v>
                </c:pt>
                <c:pt idx="70">
                  <c:v>21.990498903399207</c:v>
                </c:pt>
                <c:pt idx="71">
                  <c:v>19.779453181932325</c:v>
                </c:pt>
                <c:pt idx="72">
                  <c:v>19.091821478903082</c:v>
                </c:pt>
                <c:pt idx="73">
                  <c:v>18.110034645330636</c:v>
                </c:pt>
                <c:pt idx="74">
                  <c:v>14.868421669638966</c:v>
                </c:pt>
                <c:pt idx="75">
                  <c:v>7.0320679733268197</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8046464"/>
        <c:axId val="328048000"/>
      </c:scatterChart>
      <c:valAx>
        <c:axId val="328046464"/>
        <c:scaling>
          <c:orientation val="minMax"/>
        </c:scaling>
        <c:delete val="0"/>
        <c:axPos val="b"/>
        <c:numFmt formatCode="#,##0" sourceLinked="0"/>
        <c:majorTickMark val="out"/>
        <c:minorTickMark val="none"/>
        <c:tickLblPos val="nextTo"/>
        <c:crossAx val="328048000"/>
        <c:crosses val="autoZero"/>
        <c:crossBetween val="midCat"/>
      </c:valAx>
      <c:valAx>
        <c:axId val="328048000"/>
        <c:scaling>
          <c:orientation val="minMax"/>
          <c:max val="1"/>
          <c:min val="0"/>
        </c:scaling>
        <c:delete val="0"/>
        <c:axPos val="l"/>
        <c:majorGridlines/>
        <c:numFmt formatCode="0%" sourceLinked="0"/>
        <c:majorTickMark val="out"/>
        <c:minorTickMark val="none"/>
        <c:tickLblPos val="nextTo"/>
        <c:txPr>
          <a:bodyPr/>
          <a:lstStyle/>
          <a:p>
            <a:pPr>
              <a:defRPr sz="1100"/>
            </a:pPr>
            <a:endParaRPr lang="en-MX"/>
          </a:p>
        </c:txPr>
        <c:crossAx val="328046464"/>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n-MX"/>
        </a:p>
      </c:txPr>
    </c:legend>
    <c:plotVisOnly val="1"/>
    <c:dispBlanksAs val="gap"/>
    <c:showDLblsOverMax val="0"/>
  </c:chart>
  <c:spPr>
    <a:noFill/>
    <a:ln>
      <a:noFill/>
    </a:ln>
  </c:spPr>
  <c:txPr>
    <a:bodyPr/>
    <a:lstStyle/>
    <a:p>
      <a:pPr>
        <a:defRPr sz="1200">
          <a:solidFill>
            <a:schemeClr val="bg1"/>
          </a:solidFill>
        </a:defRPr>
      </a:pPr>
      <a:endParaRPr lang="en-MX"/>
    </a:p>
  </c:txPr>
  <c:printSettings>
    <c:headerFooter/>
    <c:pageMargins b="0.75000000000000089" l="0.70000000000000062" r="0.70000000000000062" t="0.75000000000000089"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sz="1200"/>
              <a:t>Likelihood by range </a:t>
            </a:r>
          </a:p>
        </c:rich>
      </c:tx>
      <c:layout>
        <c:manualLayout>
          <c:xMode val="edge"/>
          <c:yMode val="edge"/>
          <c:x val="0.31764809926983689"/>
          <c:y val="5.2952755905511927E-4"/>
        </c:manualLayout>
      </c:layout>
      <c:overlay val="0"/>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1">
                <a:lumMod val="60000"/>
                <a:lumOff val="40000"/>
              </a:schemeClr>
            </a:solidFill>
          </c:spPr>
          <c:invertIfNegative val="0"/>
          <c:cat>
            <c:strRef>
              <c:f>[0]!PM_What_If_axis_lbls</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[0]!PM_What_If_hist_data</c:f>
              <c:numCache>
                <c:formatCode>General</c:formatCode>
                <c:ptCount val="10"/>
                <c:pt idx="0">
                  <c:v>0.42</c:v>
                </c:pt>
                <c:pt idx="1">
                  <c:v>0.14000000000000001</c:v>
                </c:pt>
                <c:pt idx="2">
                  <c:v>0.16</c:v>
                </c:pt>
                <c:pt idx="3">
                  <c:v>0.16</c:v>
                </c:pt>
                <c:pt idx="4">
                  <c:v>0.06</c:v>
                </c:pt>
                <c:pt idx="5">
                  <c:v>0.01</c:v>
                </c:pt>
                <c:pt idx="6">
                  <c:v>0.02</c:v>
                </c:pt>
                <c:pt idx="7">
                  <c:v>0.02</c:v>
                </c:pt>
                <c:pt idx="8">
                  <c:v>0</c:v>
                </c:pt>
                <c:pt idx="9">
                  <c:v>0.01</c:v>
                </c:pt>
              </c:numCache>
            </c:numRef>
          </c:val>
          <c:extLst>
            <c:ext xmlns:c16="http://schemas.microsoft.com/office/drawing/2014/chart" uri="{C3380CC4-5D6E-409C-BE32-E72D297353CC}">
              <c16:uniqueId val="{00000000-6642-4071-9DF7-447F558706D0}"/>
            </c:ext>
          </c:extLst>
        </c:ser>
        <c:ser>
          <c:idx val="0"/>
          <c:order val="1"/>
          <c:tx>
            <c:v>Current</c:v>
          </c:tx>
          <c:spPr>
            <a:noFill/>
            <a:ln>
              <a:solidFill>
                <a:sysClr val="windowText" lastClr="000000"/>
              </a:solidFill>
            </a:ln>
          </c:spPr>
          <c:invertIfNegative val="0"/>
          <c:cat>
            <c:strRef>
              <c:f>[0]!PM_Risk_axis_lbls</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[0]!PM_Risk_hist_data</c:f>
              <c:numCache>
                <c:formatCode>General</c:formatCode>
                <c:ptCount val="10"/>
                <c:pt idx="0">
                  <c:v>0.42</c:v>
                </c:pt>
                <c:pt idx="1">
                  <c:v>0.14000000000000001</c:v>
                </c:pt>
                <c:pt idx="2">
                  <c:v>0.16</c:v>
                </c:pt>
                <c:pt idx="3">
                  <c:v>0.16</c:v>
                </c:pt>
                <c:pt idx="4">
                  <c:v>0.06</c:v>
                </c:pt>
                <c:pt idx="5">
                  <c:v>0.01</c:v>
                </c:pt>
                <c:pt idx="6">
                  <c:v>0.02</c:v>
                </c:pt>
                <c:pt idx="7">
                  <c:v>0.02</c:v>
                </c:pt>
                <c:pt idx="8">
                  <c:v>0</c:v>
                </c:pt>
                <c:pt idx="9">
                  <c:v>0.01</c:v>
                </c:pt>
              </c:numCache>
            </c:numRef>
          </c:val>
          <c:extLst>
            <c:ext xmlns:c16="http://schemas.microsoft.com/office/drawing/2014/chart" uri="{C3380CC4-5D6E-409C-BE32-E72D297353CC}">
              <c16:uniqueId val="{00000001-6642-4071-9DF7-447F558706D0}"/>
            </c:ext>
          </c:extLst>
        </c:ser>
        <c:dLbls>
          <c:showLegendKey val="0"/>
          <c:showVal val="0"/>
          <c:showCatName val="0"/>
          <c:showSerName val="0"/>
          <c:showPercent val="0"/>
          <c:showBubbleSize val="0"/>
        </c:dLbls>
        <c:gapWidth val="15"/>
        <c:overlap val="100"/>
        <c:axId val="328852224"/>
        <c:axId val="328853760"/>
      </c:barChart>
      <c:catAx>
        <c:axId val="328852224"/>
        <c:scaling>
          <c:orientation val="minMax"/>
        </c:scaling>
        <c:delete val="0"/>
        <c:axPos val="b"/>
        <c:numFmt formatCode="&quot;$&quot;#,##0" sourceLinked="0"/>
        <c:majorTickMark val="out"/>
        <c:minorTickMark val="none"/>
        <c:tickLblPos val="nextTo"/>
        <c:txPr>
          <a:bodyPr/>
          <a:lstStyle/>
          <a:p>
            <a:pPr>
              <a:defRPr sz="1100"/>
            </a:pPr>
            <a:endParaRPr lang="en-MX"/>
          </a:p>
        </c:txPr>
        <c:crossAx val="328853760"/>
        <c:crosses val="autoZero"/>
        <c:auto val="1"/>
        <c:lblAlgn val="ctr"/>
        <c:lblOffset val="100"/>
        <c:noMultiLvlLbl val="0"/>
      </c:catAx>
      <c:valAx>
        <c:axId val="328853760"/>
        <c:scaling>
          <c:orientation val="minMax"/>
          <c:max val="1"/>
          <c:min val="0"/>
        </c:scaling>
        <c:delete val="0"/>
        <c:axPos val="l"/>
        <c:majorGridlines/>
        <c:numFmt formatCode="0%" sourceLinked="0"/>
        <c:majorTickMark val="out"/>
        <c:minorTickMark val="none"/>
        <c:tickLblPos val="nextTo"/>
        <c:crossAx val="328852224"/>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n-MX"/>
        </a:p>
      </c:txPr>
    </c:legend>
    <c:plotVisOnly val="1"/>
    <c:dispBlanksAs val="gap"/>
    <c:showDLblsOverMax val="0"/>
  </c:chart>
  <c:spPr>
    <a:noFill/>
    <a:ln>
      <a:noFill/>
    </a:ln>
  </c:spPr>
  <c:txPr>
    <a:bodyPr/>
    <a:lstStyle/>
    <a:p>
      <a:pPr>
        <a:defRPr sz="1100">
          <a:solidFill>
            <a:schemeClr val="bg1"/>
          </a:solidFill>
        </a:defRPr>
      </a:pPr>
      <a:endParaRPr lang="en-MX"/>
    </a:p>
  </c:txPr>
  <c:printSettings>
    <c:headerFooter/>
    <c:pageMargins b="0.75000000000000089" l="0.70000000000000062" r="0.70000000000000062" t="0.75000000000000089"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000"/>
              <a:t>Loss Events/yr.</a:t>
            </a:r>
          </a:p>
        </c:rich>
      </c:tx>
      <c:layout>
        <c:manualLayout>
          <c:xMode val="edge"/>
          <c:yMode val="edge"/>
          <c:x val="0.25172603424571899"/>
          <c:y val="0"/>
        </c:manualLayout>
      </c:layout>
      <c:overlay val="0"/>
    </c:title>
    <c:autoTitleDeleted val="0"/>
    <c:plotArea>
      <c:layout>
        <c:manualLayout>
          <c:layoutTarget val="inner"/>
          <c:xMode val="edge"/>
          <c:yMode val="edge"/>
          <c:x val="0.30266529183851998"/>
          <c:y val="0.17051782320313397"/>
          <c:w val="0.61003312085989203"/>
          <c:h val="0.58266785617315164"/>
        </c:manualLayout>
      </c:layout>
      <c:barChart>
        <c:barDir val="col"/>
        <c:grouping val="clustered"/>
        <c:varyColors val="0"/>
        <c:ser>
          <c:idx val="0"/>
          <c:order val="0"/>
          <c:tx>
            <c:strRef>
              <c:f>'SIPmath Chart Data'!$E$3</c:f>
              <c:strCache>
                <c:ptCount val="1"/>
                <c:pt idx="0">
                  <c:v>Proposed_Loss_Events EV 1</c:v>
                </c:pt>
              </c:strCache>
            </c:strRef>
          </c:tx>
          <c:spPr>
            <a:solidFill>
              <a:schemeClr val="accent1">
                <a:lumMod val="60000"/>
                <a:lumOff val="40000"/>
              </a:schemeClr>
            </a:solidFill>
          </c:spPr>
          <c:invertIfNegative val="0"/>
          <c:cat>
            <c:numRef>
              <c:f>[0]!PM_Proposed_Loss_Events_axis_lbls</c:f>
              <c:numCache>
                <c:formatCode>General</c:formatCode>
                <c:ptCount val="5"/>
                <c:pt idx="0">
                  <c:v>0</c:v>
                </c:pt>
                <c:pt idx="1">
                  <c:v>1</c:v>
                </c:pt>
                <c:pt idx="2">
                  <c:v>2</c:v>
                </c:pt>
                <c:pt idx="3">
                  <c:v>3</c:v>
                </c:pt>
                <c:pt idx="4">
                  <c:v>4</c:v>
                </c:pt>
              </c:numCache>
            </c:numRef>
          </c:cat>
          <c:val>
            <c:numRef>
              <c:f>[0]!PM_Proposed_Loss_Events_hist_data</c:f>
              <c:numCache>
                <c:formatCode>General</c:formatCode>
                <c:ptCount val="5"/>
                <c:pt idx="0">
                  <c:v>0.27</c:v>
                </c:pt>
                <c:pt idx="1">
                  <c:v>0.3</c:v>
                </c:pt>
                <c:pt idx="2">
                  <c:v>0.25</c:v>
                </c:pt>
                <c:pt idx="3">
                  <c:v>0.11</c:v>
                </c:pt>
                <c:pt idx="4">
                  <c:v>7.0000000000000007E-2</c:v>
                </c:pt>
              </c:numCache>
            </c:numRef>
          </c:val>
          <c:extLst>
            <c:ext xmlns:c16="http://schemas.microsoft.com/office/drawing/2014/chart" uri="{C3380CC4-5D6E-409C-BE32-E72D297353CC}">
              <c16:uniqueId val="{00000000-F8CC-4C99-98B2-66392229D71C}"/>
            </c:ext>
          </c:extLst>
        </c:ser>
        <c:ser>
          <c:idx val="1"/>
          <c:order val="1"/>
          <c:tx>
            <c:strRef>
              <c:f>'SIPmath Chart Data'!$D$3</c:f>
              <c:strCache>
                <c:ptCount val="1"/>
                <c:pt idx="0">
                  <c:v>Current_Loss_Events EV 1</c:v>
                </c:pt>
              </c:strCache>
            </c:strRef>
          </c:tx>
          <c:spPr>
            <a:noFill/>
            <a:ln>
              <a:solidFill>
                <a:schemeClr val="tx1"/>
              </a:solidFill>
            </a:ln>
          </c:spPr>
          <c:invertIfNegative val="0"/>
          <c:cat>
            <c:numRef>
              <c:f>[0]!PM_Current_Loss_Events_axis_lbls</c:f>
              <c:numCache>
                <c:formatCode>General</c:formatCode>
                <c:ptCount val="5"/>
                <c:pt idx="0">
                  <c:v>0</c:v>
                </c:pt>
                <c:pt idx="1">
                  <c:v>1</c:v>
                </c:pt>
                <c:pt idx="2">
                  <c:v>2</c:v>
                </c:pt>
                <c:pt idx="3">
                  <c:v>3</c:v>
                </c:pt>
                <c:pt idx="4">
                  <c:v>4</c:v>
                </c:pt>
              </c:numCache>
            </c:numRef>
          </c:cat>
          <c:val>
            <c:numRef>
              <c:f>[0]!PM_Current_Loss_Events_hist_data</c:f>
              <c:numCache>
                <c:formatCode>General</c:formatCode>
                <c:ptCount val="5"/>
                <c:pt idx="0">
                  <c:v>0.27</c:v>
                </c:pt>
                <c:pt idx="1">
                  <c:v>0.3</c:v>
                </c:pt>
                <c:pt idx="2">
                  <c:v>0.25</c:v>
                </c:pt>
                <c:pt idx="3">
                  <c:v>0.11</c:v>
                </c:pt>
                <c:pt idx="4">
                  <c:v>7.0000000000000007E-2</c:v>
                </c:pt>
              </c:numCache>
            </c:numRef>
          </c:val>
          <c:extLst>
            <c:ext xmlns:c16="http://schemas.microsoft.com/office/drawing/2014/chart" uri="{C3380CC4-5D6E-409C-BE32-E72D297353CC}">
              <c16:uniqueId val="{00000001-F8CC-4C99-98B2-66392229D71C}"/>
            </c:ext>
          </c:extLst>
        </c:ser>
        <c:dLbls>
          <c:showLegendKey val="0"/>
          <c:showVal val="0"/>
          <c:showCatName val="0"/>
          <c:showSerName val="0"/>
          <c:showPercent val="0"/>
          <c:showBubbleSize val="0"/>
        </c:dLbls>
        <c:gapWidth val="15"/>
        <c:overlap val="100"/>
        <c:axId val="326066176"/>
        <c:axId val="326067712"/>
      </c:barChart>
      <c:catAx>
        <c:axId val="326066176"/>
        <c:scaling>
          <c:orientation val="minMax"/>
        </c:scaling>
        <c:delete val="0"/>
        <c:axPos val="b"/>
        <c:numFmt formatCode="General" sourceLinked="1"/>
        <c:majorTickMark val="out"/>
        <c:minorTickMark val="none"/>
        <c:tickLblPos val="nextTo"/>
        <c:crossAx val="326067712"/>
        <c:crosses val="autoZero"/>
        <c:auto val="1"/>
        <c:lblAlgn val="ctr"/>
        <c:lblOffset val="100"/>
        <c:noMultiLvlLbl val="0"/>
      </c:catAx>
      <c:valAx>
        <c:axId val="326067712"/>
        <c:scaling>
          <c:orientation val="minMax"/>
          <c:min val="0"/>
        </c:scaling>
        <c:delete val="0"/>
        <c:axPos val="l"/>
        <c:majorGridlines>
          <c:spPr>
            <a:ln>
              <a:noFill/>
            </a:ln>
          </c:spPr>
        </c:majorGridlines>
        <c:numFmt formatCode="0%" sourceLinked="0"/>
        <c:majorTickMark val="out"/>
        <c:minorTickMark val="none"/>
        <c:tickLblPos val="nextTo"/>
        <c:crossAx val="326066176"/>
        <c:crosses val="autoZero"/>
        <c:crossBetween val="between"/>
      </c:valAx>
    </c:plotArea>
    <c:plotVisOnly val="1"/>
    <c:dispBlanksAs val="gap"/>
    <c:showDLblsOverMax val="0"/>
  </c:chart>
  <c:spPr>
    <a:solidFill>
      <a:schemeClr val="accent1"/>
    </a:solidFill>
    <a:ln>
      <a:noFill/>
    </a:ln>
  </c:spPr>
  <c:txPr>
    <a:bodyPr/>
    <a:lstStyle/>
    <a:p>
      <a:pPr>
        <a:defRPr>
          <a:solidFill>
            <a:schemeClr val="bg1"/>
          </a:solidFill>
        </a:defRPr>
      </a:pPr>
      <a:endParaRPr lang="en-MX"/>
    </a:p>
  </c:txPr>
  <c:printSettings>
    <c:headerFooter/>
    <c:pageMargins b="0.75000000000000089" l="0.70000000000000062" r="0.70000000000000062" t="0.75000000000000089"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'SIPmath Chart Data'!$Z$2</c:f>
          <c:strCache>
            <c:ptCount val="1"/>
            <c:pt idx="0">
              <c:v>Loss Magnitude/yr. $000s</c:v>
            </c:pt>
          </c:strCache>
        </c:strRef>
      </c:tx>
      <c:layout>
        <c:manualLayout>
          <c:xMode val="edge"/>
          <c:yMode val="edge"/>
          <c:x val="0.18564061115316199"/>
          <c:y val="0"/>
        </c:manualLayout>
      </c:layout>
      <c:overlay val="0"/>
      <c:txPr>
        <a:bodyPr/>
        <a:lstStyle/>
        <a:p>
          <a:pPr>
            <a:defRPr sz="1200"/>
          </a:pPr>
          <a:endParaRPr lang="en-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1">
                <a:lumMod val="60000"/>
                <a:lumOff val="40000"/>
              </a:schemeClr>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0.42</c:v>
                </c:pt>
                <c:pt idx="1">
                  <c:v>0.14000000000000001</c:v>
                </c:pt>
                <c:pt idx="2">
                  <c:v>0.16</c:v>
                </c:pt>
                <c:pt idx="3">
                  <c:v>0.16</c:v>
                </c:pt>
                <c:pt idx="4">
                  <c:v>0.06</c:v>
                </c:pt>
                <c:pt idx="5">
                  <c:v>0.01</c:v>
                </c:pt>
                <c:pt idx="6">
                  <c:v>0.02</c:v>
                </c:pt>
                <c:pt idx="7">
                  <c:v>0.02</c:v>
                </c:pt>
                <c:pt idx="8">
                  <c:v>0</c:v>
                </c:pt>
                <c:pt idx="9">
                  <c:v>0.01</c:v>
                </c:pt>
              </c:numCache>
            </c:numRef>
          </c:val>
          <c:extLst>
            <c:ext xmlns:c16="http://schemas.microsoft.com/office/drawing/2014/chart" uri="{C3380CC4-5D6E-409C-BE32-E72D297353CC}">
              <c16:uniqueId val="{00000000-6B85-4483-9391-21B91EB0609B}"/>
            </c:ext>
          </c:extLst>
        </c:ser>
        <c:ser>
          <c:idx val="0"/>
          <c:order val="1"/>
          <c:tx>
            <c:v>Current</c:v>
          </c:tx>
          <c:spPr>
            <a:noFill/>
            <a:ln>
              <a:solidFill>
                <a:sysClr val="windowText" lastClr="000000"/>
              </a:solid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0.42</c:v>
                </c:pt>
                <c:pt idx="1">
                  <c:v>0.14000000000000001</c:v>
                </c:pt>
                <c:pt idx="2">
                  <c:v>0.16</c:v>
                </c:pt>
                <c:pt idx="3">
                  <c:v>0.16</c:v>
                </c:pt>
                <c:pt idx="4">
                  <c:v>0.06</c:v>
                </c:pt>
                <c:pt idx="5">
                  <c:v>0.01</c:v>
                </c:pt>
                <c:pt idx="6">
                  <c:v>0.02</c:v>
                </c:pt>
                <c:pt idx="7">
                  <c:v>0.02</c:v>
                </c:pt>
                <c:pt idx="8">
                  <c:v>0</c:v>
                </c:pt>
                <c:pt idx="9">
                  <c:v>0.01</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100"/>
        <c:axId val="328252032"/>
        <c:axId val="328253824"/>
      </c:barChart>
      <c:catAx>
        <c:axId val="328252032"/>
        <c:scaling>
          <c:orientation val="minMax"/>
        </c:scaling>
        <c:delete val="0"/>
        <c:axPos val="b"/>
        <c:numFmt formatCode="#,##0" sourceLinked="0"/>
        <c:majorTickMark val="out"/>
        <c:minorTickMark val="none"/>
        <c:tickLblPos val="nextTo"/>
        <c:txPr>
          <a:bodyPr/>
          <a:lstStyle/>
          <a:p>
            <a:pPr>
              <a:defRPr sz="1100"/>
            </a:pPr>
            <a:endParaRPr lang="en-MX"/>
          </a:p>
        </c:txPr>
        <c:crossAx val="328253824"/>
        <c:crosses val="autoZero"/>
        <c:auto val="1"/>
        <c:lblAlgn val="ctr"/>
        <c:lblOffset val="100"/>
        <c:noMultiLvlLbl val="0"/>
      </c:catAx>
      <c:valAx>
        <c:axId val="328253824"/>
        <c:scaling>
          <c:orientation val="minMax"/>
          <c:max val="1"/>
          <c:min val="0"/>
        </c:scaling>
        <c:delete val="0"/>
        <c:axPos val="l"/>
        <c:majorGridlines/>
        <c:numFmt formatCode="0%" sourceLinked="0"/>
        <c:majorTickMark val="out"/>
        <c:minorTickMark val="none"/>
        <c:tickLblPos val="nextTo"/>
        <c:crossAx val="328252032"/>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n-MX"/>
        </a:p>
      </c:txPr>
    </c:legend>
    <c:plotVisOnly val="1"/>
    <c:dispBlanksAs val="gap"/>
    <c:showDLblsOverMax val="0"/>
  </c:chart>
  <c:spPr>
    <a:noFill/>
    <a:ln>
      <a:noFill/>
    </a:ln>
  </c:spPr>
  <c:txPr>
    <a:bodyPr/>
    <a:lstStyle/>
    <a:p>
      <a:pPr>
        <a:defRPr sz="1100">
          <a:solidFill>
            <a:schemeClr val="bg1"/>
          </a:solidFill>
        </a:defRPr>
      </a:pPr>
      <a:endParaRPr lang="en-MX"/>
    </a:p>
  </c:txPr>
  <c:printSettings>
    <c:headerFooter/>
    <c:pageMargins b="0.75000000000000089" l="0.70000000000000062" r="0.70000000000000062" t="0.75000000000000089"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'SIPmath Chart Data'!$AD$15</c:f>
          <c:strCache>
            <c:ptCount val="1"/>
            <c:pt idx="0">
              <c:v>Chance of Exceeding Magnitude /yr. $000s</c:v>
            </c:pt>
          </c:strCache>
        </c:strRef>
      </c:tx>
      <c:layout>
        <c:manualLayout>
          <c:xMode val="edge"/>
          <c:yMode val="edge"/>
          <c:x val="0.17196264172562226"/>
          <c:y val="1.8181800828632036E-2"/>
        </c:manualLayout>
      </c:layout>
      <c:overlay val="0"/>
      <c:txPr>
        <a:bodyPr/>
        <a:lstStyle/>
        <a:p>
          <a:pPr>
            <a:defRPr sz="1200"/>
          </a:pPr>
          <a:endParaRPr lang="en-MX"/>
        </a:p>
      </c:txPr>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1">
                  <a:lumMod val="60000"/>
                  <a:lumOff val="40000"/>
                </a:schemeClr>
              </a:solidFill>
            </a:ln>
          </c:spPr>
          <c:marker>
            <c:symbol val="none"/>
          </c:marker>
          <c:xVal>
            <c:numRef>
              <c:f>[0]!Proposed_X_Toggle</c:f>
              <c:numCache>
                <c:formatCode>General</c:formatCode>
                <c:ptCount val="105"/>
                <c:pt idx="0">
                  <c:v>444.81712945914205</c:v>
                </c:pt>
                <c:pt idx="1">
                  <c:v>424.75841851487928</c:v>
                </c:pt>
                <c:pt idx="2">
                  <c:v>404.69970757061651</c:v>
                </c:pt>
                <c:pt idx="3">
                  <c:v>384.64099662635374</c:v>
                </c:pt>
                <c:pt idx="4">
                  <c:v>355.51896083042095</c:v>
                </c:pt>
                <c:pt idx="5">
                  <c:v>312.12371167142283</c:v>
                </c:pt>
                <c:pt idx="6">
                  <c:v>306.77313282349274</c:v>
                </c:pt>
                <c:pt idx="7">
                  <c:v>258.41589998405334</c:v>
                </c:pt>
                <c:pt idx="8">
                  <c:v>244.10148936594717</c:v>
                </c:pt>
                <c:pt idx="9">
                  <c:v>234.64045218830475</c:v>
                </c:pt>
                <c:pt idx="10">
                  <c:v>220.20068166889382</c:v>
                </c:pt>
                <c:pt idx="11">
                  <c:v>206.67458758034959</c:v>
                </c:pt>
                <c:pt idx="12">
                  <c:v>202.98420818397145</c:v>
                </c:pt>
                <c:pt idx="13">
                  <c:v>200.53534968121576</c:v>
                </c:pt>
                <c:pt idx="14">
                  <c:v>198.7253991542805</c:v>
                </c:pt>
                <c:pt idx="15">
                  <c:v>197.80932494317435</c:v>
                </c:pt>
                <c:pt idx="16">
                  <c:v>195.72285644590724</c:v>
                </c:pt>
                <c:pt idx="17">
                  <c:v>188.70233407539948</c:v>
                </c:pt>
                <c:pt idx="18">
                  <c:v>184.49703787996933</c:v>
                </c:pt>
                <c:pt idx="19">
                  <c:v>176.41071690018481</c:v>
                </c:pt>
                <c:pt idx="20">
                  <c:v>171.98063527730397</c:v>
                </c:pt>
                <c:pt idx="21">
                  <c:v>168.28884613324163</c:v>
                </c:pt>
                <c:pt idx="22">
                  <c:v>166.61100683438713</c:v>
                </c:pt>
                <c:pt idx="23">
                  <c:v>165.18557538644777</c:v>
                </c:pt>
                <c:pt idx="24">
                  <c:v>164.08767421416172</c:v>
                </c:pt>
                <c:pt idx="25">
                  <c:v>162.66037477990758</c:v>
                </c:pt>
                <c:pt idx="26">
                  <c:v>158.27179354015811</c:v>
                </c:pt>
                <c:pt idx="27">
                  <c:v>156.63106530366429</c:v>
                </c:pt>
                <c:pt idx="28">
                  <c:v>155.94461499166906</c:v>
                </c:pt>
                <c:pt idx="29">
                  <c:v>152.3756783166202</c:v>
                </c:pt>
                <c:pt idx="30">
                  <c:v>143.36035277374026</c:v>
                </c:pt>
                <c:pt idx="31">
                  <c:v>139.25199121800327</c:v>
                </c:pt>
                <c:pt idx="32">
                  <c:v>136.89470530880442</c:v>
                </c:pt>
                <c:pt idx="33">
                  <c:v>135.98742653941861</c:v>
                </c:pt>
                <c:pt idx="34">
                  <c:v>131.99912608582542</c:v>
                </c:pt>
                <c:pt idx="35">
                  <c:v>128.40428076813984</c:v>
                </c:pt>
                <c:pt idx="36">
                  <c:v>124.23500884404156</c:v>
                </c:pt>
                <c:pt idx="37">
                  <c:v>122.43647431712604</c:v>
                </c:pt>
                <c:pt idx="38">
                  <c:v>120.39607935275377</c:v>
                </c:pt>
                <c:pt idx="39">
                  <c:v>117.58955693598494</c:v>
                </c:pt>
                <c:pt idx="40">
                  <c:v>115.39800972720978</c:v>
                </c:pt>
                <c:pt idx="41">
                  <c:v>109.84989821854468</c:v>
                </c:pt>
                <c:pt idx="42">
                  <c:v>106.38826889552067</c:v>
                </c:pt>
                <c:pt idx="43">
                  <c:v>104.98825224618354</c:v>
                </c:pt>
                <c:pt idx="44">
                  <c:v>103.02747363079874</c:v>
                </c:pt>
                <c:pt idx="45">
                  <c:v>101.28895663259755</c:v>
                </c:pt>
                <c:pt idx="46">
                  <c:v>98.856915796882788</c:v>
                </c:pt>
                <c:pt idx="47">
                  <c:v>93.120810285228359</c:v>
                </c:pt>
                <c:pt idx="48">
                  <c:v>89.072628652105251</c:v>
                </c:pt>
                <c:pt idx="49">
                  <c:v>86.136072388729204</c:v>
                </c:pt>
                <c:pt idx="50">
                  <c:v>83.735311941489783</c:v>
                </c:pt>
                <c:pt idx="51">
                  <c:v>82.495558516016217</c:v>
                </c:pt>
                <c:pt idx="52">
                  <c:v>80.598545891391552</c:v>
                </c:pt>
                <c:pt idx="53">
                  <c:v>78.655019782132285</c:v>
                </c:pt>
                <c:pt idx="54">
                  <c:v>77.372538731023894</c:v>
                </c:pt>
                <c:pt idx="55">
                  <c:v>76.812281718354228</c:v>
                </c:pt>
                <c:pt idx="56">
                  <c:v>73.596125363657649</c:v>
                </c:pt>
                <c:pt idx="57">
                  <c:v>69.114374717936755</c:v>
                </c:pt>
                <c:pt idx="58">
                  <c:v>66.90409256219634</c:v>
                </c:pt>
                <c:pt idx="59">
                  <c:v>61.427758026402159</c:v>
                </c:pt>
                <c:pt idx="60">
                  <c:v>52.266001872613586</c:v>
                </c:pt>
                <c:pt idx="61">
                  <c:v>47.280446998086774</c:v>
                </c:pt>
                <c:pt idx="62">
                  <c:v>45.485069307141011</c:v>
                </c:pt>
                <c:pt idx="63">
                  <c:v>41.430081930723375</c:v>
                </c:pt>
                <c:pt idx="64">
                  <c:v>35.795361887619322</c:v>
                </c:pt>
                <c:pt idx="65">
                  <c:v>34.150038708298759</c:v>
                </c:pt>
                <c:pt idx="66">
                  <c:v>32.19821694329481</c:v>
                </c:pt>
                <c:pt idx="67">
                  <c:v>27.418359828261668</c:v>
                </c:pt>
                <c:pt idx="68">
                  <c:v>24.629294787221482</c:v>
                </c:pt>
                <c:pt idx="69">
                  <c:v>23.66314793571588</c:v>
                </c:pt>
                <c:pt idx="70">
                  <c:v>21.990498903399207</c:v>
                </c:pt>
                <c:pt idx="71">
                  <c:v>19.779453181932325</c:v>
                </c:pt>
                <c:pt idx="72">
                  <c:v>19.091821478903082</c:v>
                </c:pt>
                <c:pt idx="73">
                  <c:v>18.110034645330636</c:v>
                </c:pt>
                <c:pt idx="74">
                  <c:v>14.868421669638966</c:v>
                </c:pt>
                <c:pt idx="75">
                  <c:v>7.0320679733268197</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tx1"/>
              </a:solidFill>
            </a:ln>
          </c:spPr>
          <c:marker>
            <c:symbol val="none"/>
          </c:marker>
          <c:xVal>
            <c:numRef>
              <c:f>[0]!Current_X_Toggle</c:f>
              <c:numCache>
                <c:formatCode>General</c:formatCode>
                <c:ptCount val="105"/>
                <c:pt idx="0">
                  <c:v>444.81712945914205</c:v>
                </c:pt>
                <c:pt idx="1">
                  <c:v>424.75841851487928</c:v>
                </c:pt>
                <c:pt idx="2">
                  <c:v>404.69970757061651</c:v>
                </c:pt>
                <c:pt idx="3">
                  <c:v>384.64099662635374</c:v>
                </c:pt>
                <c:pt idx="4">
                  <c:v>355.51896083042095</c:v>
                </c:pt>
                <c:pt idx="5">
                  <c:v>312.12371167142283</c:v>
                </c:pt>
                <c:pt idx="6">
                  <c:v>306.77313282349274</c:v>
                </c:pt>
                <c:pt idx="7">
                  <c:v>258.41589998405334</c:v>
                </c:pt>
                <c:pt idx="8">
                  <c:v>244.10148936594717</c:v>
                </c:pt>
                <c:pt idx="9">
                  <c:v>234.64045218830475</c:v>
                </c:pt>
                <c:pt idx="10">
                  <c:v>220.20068166889382</c:v>
                </c:pt>
                <c:pt idx="11">
                  <c:v>206.67458758034959</c:v>
                </c:pt>
                <c:pt idx="12">
                  <c:v>202.98420818397145</c:v>
                </c:pt>
                <c:pt idx="13">
                  <c:v>200.53534968121576</c:v>
                </c:pt>
                <c:pt idx="14">
                  <c:v>198.7253991542805</c:v>
                </c:pt>
                <c:pt idx="15">
                  <c:v>197.80932494317435</c:v>
                </c:pt>
                <c:pt idx="16">
                  <c:v>195.72285644590724</c:v>
                </c:pt>
                <c:pt idx="17">
                  <c:v>188.70233407539948</c:v>
                </c:pt>
                <c:pt idx="18">
                  <c:v>184.49703787996933</c:v>
                </c:pt>
                <c:pt idx="19">
                  <c:v>176.41071690018481</c:v>
                </c:pt>
                <c:pt idx="20">
                  <c:v>171.98063527730397</c:v>
                </c:pt>
                <c:pt idx="21">
                  <c:v>168.28884613324163</c:v>
                </c:pt>
                <c:pt idx="22">
                  <c:v>166.61100683438713</c:v>
                </c:pt>
                <c:pt idx="23">
                  <c:v>165.18557538644777</c:v>
                </c:pt>
                <c:pt idx="24">
                  <c:v>164.08767421416172</c:v>
                </c:pt>
                <c:pt idx="25">
                  <c:v>162.66037477990758</c:v>
                </c:pt>
                <c:pt idx="26">
                  <c:v>158.27179354015811</c:v>
                </c:pt>
                <c:pt idx="27">
                  <c:v>156.63106530366429</c:v>
                </c:pt>
                <c:pt idx="28">
                  <c:v>155.94461499166906</c:v>
                </c:pt>
                <c:pt idx="29">
                  <c:v>152.3756783166202</c:v>
                </c:pt>
                <c:pt idx="30">
                  <c:v>143.36035277374026</c:v>
                </c:pt>
                <c:pt idx="31">
                  <c:v>139.25199121800327</c:v>
                </c:pt>
                <c:pt idx="32">
                  <c:v>136.89470530880442</c:v>
                </c:pt>
                <c:pt idx="33">
                  <c:v>135.98742653941861</c:v>
                </c:pt>
                <c:pt idx="34">
                  <c:v>131.99912608582542</c:v>
                </c:pt>
                <c:pt idx="35">
                  <c:v>128.40428076813984</c:v>
                </c:pt>
                <c:pt idx="36">
                  <c:v>124.23500884404156</c:v>
                </c:pt>
                <c:pt idx="37">
                  <c:v>122.43647431712604</c:v>
                </c:pt>
                <c:pt idx="38">
                  <c:v>120.39607935275377</c:v>
                </c:pt>
                <c:pt idx="39">
                  <c:v>117.58955693598494</c:v>
                </c:pt>
                <c:pt idx="40">
                  <c:v>115.39800972720978</c:v>
                </c:pt>
                <c:pt idx="41">
                  <c:v>109.84989821854468</c:v>
                </c:pt>
                <c:pt idx="42">
                  <c:v>106.38826889552067</c:v>
                </c:pt>
                <c:pt idx="43">
                  <c:v>104.98825224618354</c:v>
                </c:pt>
                <c:pt idx="44">
                  <c:v>103.02747363079874</c:v>
                </c:pt>
                <c:pt idx="45">
                  <c:v>101.28895663259755</c:v>
                </c:pt>
                <c:pt idx="46">
                  <c:v>98.856915796882788</c:v>
                </c:pt>
                <c:pt idx="47">
                  <c:v>93.120810285228359</c:v>
                </c:pt>
                <c:pt idx="48">
                  <c:v>89.072628652105251</c:v>
                </c:pt>
                <c:pt idx="49">
                  <c:v>86.136072388729204</c:v>
                </c:pt>
                <c:pt idx="50">
                  <c:v>83.735311941489783</c:v>
                </c:pt>
                <c:pt idx="51">
                  <c:v>82.495558516016217</c:v>
                </c:pt>
                <c:pt idx="52">
                  <c:v>80.598545891391552</c:v>
                </c:pt>
                <c:pt idx="53">
                  <c:v>78.655019782132285</c:v>
                </c:pt>
                <c:pt idx="54">
                  <c:v>77.372538731023894</c:v>
                </c:pt>
                <c:pt idx="55">
                  <c:v>76.812281718354228</c:v>
                </c:pt>
                <c:pt idx="56">
                  <c:v>73.596125363657649</c:v>
                </c:pt>
                <c:pt idx="57">
                  <c:v>69.114374717936755</c:v>
                </c:pt>
                <c:pt idx="58">
                  <c:v>66.90409256219634</c:v>
                </c:pt>
                <c:pt idx="59">
                  <c:v>61.427758026402159</c:v>
                </c:pt>
                <c:pt idx="60">
                  <c:v>52.266001872613586</c:v>
                </c:pt>
                <c:pt idx="61">
                  <c:v>47.280446998086774</c:v>
                </c:pt>
                <c:pt idx="62">
                  <c:v>45.485069307141011</c:v>
                </c:pt>
                <c:pt idx="63">
                  <c:v>41.430081930723375</c:v>
                </c:pt>
                <c:pt idx="64">
                  <c:v>35.795361887619322</c:v>
                </c:pt>
                <c:pt idx="65">
                  <c:v>34.150038708298759</c:v>
                </c:pt>
                <c:pt idx="66">
                  <c:v>32.19821694329481</c:v>
                </c:pt>
                <c:pt idx="67">
                  <c:v>27.418359828261668</c:v>
                </c:pt>
                <c:pt idx="68">
                  <c:v>24.629294787221482</c:v>
                </c:pt>
                <c:pt idx="69">
                  <c:v>23.66314793571588</c:v>
                </c:pt>
                <c:pt idx="70">
                  <c:v>21.990498903399207</c:v>
                </c:pt>
                <c:pt idx="71">
                  <c:v>19.779453181932325</c:v>
                </c:pt>
                <c:pt idx="72">
                  <c:v>19.091821478903082</c:v>
                </c:pt>
                <c:pt idx="73">
                  <c:v>18.110034645330636</c:v>
                </c:pt>
                <c:pt idx="74">
                  <c:v>14.868421669638966</c:v>
                </c:pt>
                <c:pt idx="75">
                  <c:v>7.0320679733268197</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9058176"/>
        <c:axId val="329059712"/>
      </c:scatterChart>
      <c:valAx>
        <c:axId val="329058176"/>
        <c:scaling>
          <c:orientation val="minMax"/>
        </c:scaling>
        <c:delete val="0"/>
        <c:axPos val="b"/>
        <c:numFmt formatCode="#,##0" sourceLinked="0"/>
        <c:majorTickMark val="out"/>
        <c:minorTickMark val="none"/>
        <c:tickLblPos val="nextTo"/>
        <c:crossAx val="329059712"/>
        <c:crosses val="autoZero"/>
        <c:crossBetween val="midCat"/>
      </c:valAx>
      <c:valAx>
        <c:axId val="329059712"/>
        <c:scaling>
          <c:orientation val="minMax"/>
          <c:max val="1"/>
          <c:min val="0"/>
        </c:scaling>
        <c:delete val="0"/>
        <c:axPos val="l"/>
        <c:majorGridlines/>
        <c:numFmt formatCode="0%" sourceLinked="0"/>
        <c:majorTickMark val="out"/>
        <c:minorTickMark val="none"/>
        <c:tickLblPos val="nextTo"/>
        <c:txPr>
          <a:bodyPr/>
          <a:lstStyle/>
          <a:p>
            <a:pPr>
              <a:defRPr sz="1100"/>
            </a:pPr>
            <a:endParaRPr lang="en-MX"/>
          </a:p>
        </c:txPr>
        <c:crossAx val="329058176"/>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n-MX"/>
        </a:p>
      </c:txPr>
    </c:legend>
    <c:plotVisOnly val="1"/>
    <c:dispBlanksAs val="gap"/>
    <c:showDLblsOverMax val="0"/>
  </c:chart>
  <c:spPr>
    <a:noFill/>
    <a:ln>
      <a:noFill/>
    </a:ln>
  </c:spPr>
  <c:txPr>
    <a:bodyPr/>
    <a:lstStyle/>
    <a:p>
      <a:pPr>
        <a:defRPr sz="1200">
          <a:solidFill>
            <a:schemeClr val="bg1"/>
          </a:solidFill>
        </a:defRPr>
      </a:pPr>
      <a:endParaRPr lang="en-MX"/>
    </a:p>
  </c:txPr>
  <c:printSettings>
    <c:headerFooter/>
    <c:pageMargins b="0.75000000000000089" l="0.70000000000000062" r="0.70000000000000062" t="0.75000000000000089" header="0.30000000000000032" footer="0.30000000000000032"/>
    <c:pageSetup/>
  </c:printSettings>
</c:chartSpace>
</file>

<file path=xl/ctrlProps/ctrlProp1.xml><?xml version="1.0" encoding="utf-8"?>
<formControlPr xmlns="http://schemas.microsoft.com/office/spreadsheetml/2009/9/main" objectType="Spin" dx="25" fmlaLink="PMTable!$A$1" max="100" min="1" page="10"/>
</file>

<file path=xl/ctrlProps/ctrlProp2.xml><?xml version="1.0" encoding="utf-8"?>
<formControlPr xmlns="http://schemas.microsoft.com/office/spreadsheetml/2009/9/main" objectType="Spin" dx="25" fmlaLink="'Loss Magnitude'!$BQ$15" max="25" min="1" page="10" val="10"/>
</file>

<file path=xl/ctrlProps/ctrlProp3.xml><?xml version="1.0" encoding="utf-8"?>
<formControlPr xmlns="http://schemas.microsoft.com/office/spreadsheetml/2009/9/main" objectType="Spin" dx="25" fmlaLink="'Loss Magnitude'!$BR$15" max="100" min="1" page="10" val="10"/>
</file>

<file path=xl/ctrlProps/ctrlProp4.xml><?xml version="1.0" encoding="utf-8"?>
<formControlPr xmlns="http://schemas.microsoft.com/office/spreadsheetml/2009/9/main" objectType="Drop" dropLines="4" dropStyle="combo" dx="25" fmlaLink="'Loss Magnitude'!$AZ$1" fmlaRange="'Loss Magnitude'!$AZ$2:$AZ$5" noThreeD="1" sel="1" val="0"/>
</file>

<file path=xl/ctrlProps/ctrlProp5.xml><?xml version="1.0" encoding="utf-8"?>
<formControlPr xmlns="http://schemas.microsoft.com/office/spreadsheetml/2009/9/main" objectType="Drop" dropLines="2" dropStyle="combo" dx="25" fmlaLink="'SIPmath Chart Data'!$AB$2" fmlaRange="'SIPmath Chart Data'!$AC$2:$AC$3" noThreeD="1" sel="1" val="0"/>
</file>

<file path=xl/ctrlProps/ctrlProp6.xml><?xml version="1.0" encoding="utf-8"?>
<formControlPr xmlns="http://schemas.microsoft.com/office/spreadsheetml/2009/9/main" objectType="CheckBox" checked="Checked" fmlaLink="BV6" lockText="1" noThreeD="1"/>
</file>

<file path=xl/ctrlProps/ctrlProp7.xml><?xml version="1.0" encoding="utf-8"?>
<formControlPr xmlns="http://schemas.microsoft.com/office/spreadsheetml/2009/9/main" objectType="CheckBox" checked="Checked" fmlaLink="BV8" lockText="1" noThreeD="1"/>
</file>

<file path=xl/ctrlProps/ctrlProp8.xml><?xml version="1.0" encoding="utf-8"?>
<formControlPr xmlns="http://schemas.microsoft.com/office/spreadsheetml/2009/9/main" objectType="Drop" dropLines="4" dropStyle="combo" dx="25" fmlaLink="'Loss Magnitude'!$AZ$1" fmlaRange="'Loss Magnitude'!$AZ$2:$AZ$5" noThreeD="1" sel="1" val="0"/>
</file>

<file path=xl/ctrlProps/ctrlProp9.xml><?xml version="1.0" encoding="utf-8"?>
<formControlPr xmlns="http://schemas.microsoft.com/office/spreadsheetml/2009/9/main" objectType="Drop" dropLines="2" dropStyle="combo" dx="25" fmlaLink="'SIPmath Chart Data'!$AB$2" fmlaRange="'SIPmath Chart Data'!$AC$2:$AC$3" noThreeD="1" sel="1" val="0"/>
</file>

<file path=xl/ctrlProps/ctrlProp10.xml><?xml version="1.0" encoding="utf-8"?>
<formControlPr xmlns="http://schemas.microsoft.com/office/spreadsheetml/2009/9/main" objectType="CheckBox" fmlaLink="BV3" lockText="1" noThreeD="1"/>
</file>

<file path=xl/ctrlProps/ctrlProp11.xml><?xml version="1.0" encoding="utf-8"?>
<formControlPr xmlns="http://schemas.microsoft.com/office/spreadsheetml/2009/9/main" objectType="Spin" dx="25" fmlaLink="PMTable!$A$1" max="100" min="1" page="10"/>
</file>

<file path=xl/ctrlProps/ctrlProp12.xml><?xml version="1.0" encoding="utf-8"?>
<formControlPr xmlns="http://schemas.microsoft.com/office/spreadsheetml/2009/9/main" objectType="Spin" dx="25" fmlaLink="'Loss Magnitude'!$BQ$15" max="25" min="1" page="10" val="10"/>
</file>

<file path=xl/ctrlProps/ctrlProp13.xml><?xml version="1.0" encoding="utf-8"?>
<formControlPr xmlns="http://schemas.microsoft.com/office/spreadsheetml/2009/9/main" objectType="Spin" dx="25" fmlaLink="'Loss Magnitude'!$BR$15" max="100" min="1" page="10" val="10"/>
</file>

<file path=xl/ctrlProps/ctrlProp14.xml><?xml version="1.0" encoding="utf-8"?>
<formControlPr xmlns="http://schemas.microsoft.com/office/spreadsheetml/2009/9/main" objectType="Spin" dx="25" fmlaLink="PMTable!$A$1" max="100" min="1" page="10"/>
</file>

<file path=xl/ctrlProps/ctrlProp15.xml><?xml version="1.0" encoding="utf-8"?>
<formControlPr xmlns="http://schemas.microsoft.com/office/spreadsheetml/2009/9/main" objectType="Spin" dx="25" fmlaLink="'Loss Magnitude'!$BQ$15" max="25" min="1" page="10" val="10"/>
</file>

<file path=xl/ctrlProps/ctrlProp16.xml><?xml version="1.0" encoding="utf-8"?>
<formControlPr xmlns="http://schemas.microsoft.com/office/spreadsheetml/2009/9/main" objectType="Spin" dx="25" fmlaLink="'Loss Magnitude'!$BR$15" max="100" min="1" page="10" val="10"/>
</file>

<file path=xl/ctrlProps/ctrlProp17.xml><?xml version="1.0" encoding="utf-8"?>
<formControlPr xmlns="http://schemas.microsoft.com/office/spreadsheetml/2009/9/main" objectType="Drop" dropLines="43" dropStyle="combo" dx="25" fmlaLink="$AZ$1" fmlaRange="$AZ$2:$AZ$5" noThreeD="1" sel="1" val="0"/>
</file>

<file path=xl/ctrlProps/ctrlProp18.xml><?xml version="1.0" encoding="utf-8"?>
<formControlPr xmlns="http://schemas.microsoft.com/office/spreadsheetml/2009/9/main" objectType="Drop" dropLines="2" dropStyle="combo" dx="25" fmlaLink="'SIPmath Chart Data'!$AB$2" fmlaRange="'SIPmath Chart Data'!$AC$2:$AC$3" noThreeD="1" sel="1" val="0"/>
</file>

<file path=xl/ctrlProps/ctrlProp19.xml><?xml version="1.0" encoding="utf-8"?>
<formControlPr xmlns="http://schemas.microsoft.com/office/spreadsheetml/2009/9/main" objectType="CheckBox" fmlaLink="BG12" lockText="1" noThreeD="1"/>
</file>

<file path=xl/ctrlProps/ctrlProp20.xml><?xml version="1.0" encoding="utf-8"?>
<formControlPr xmlns="http://schemas.microsoft.com/office/spreadsheetml/2009/9/main" objectType="Drop" dropLines="2" dropStyle="combo" dx="25" fmlaLink="$AB$2" fmlaRange="$AC$2:$AC$3" noThreeD="1" sel="1" val="0"/>
</file>

<file path=xl/drawings/_rels/drawing1.xml.rels><?xml version="1.0" encoding="UTF-8" standalone="yes"?>
<Relationships xmlns="http://schemas.openxmlformats.org/package/2006/relationships"><Relationship Id="rId8" Type="http://schemas.openxmlformats.org/officeDocument/2006/relationships/image" Target="../media/image5.emf"/><Relationship Id="rId3" Type="http://schemas.openxmlformats.org/officeDocument/2006/relationships/image" Target="../media/image3.emf"/><Relationship Id="rId7" Type="http://schemas.openxmlformats.org/officeDocument/2006/relationships/hyperlink" Target="#Home"/><Relationship Id="rId12" Type="http://schemas.openxmlformats.org/officeDocument/2006/relationships/image" Target="../media/image8.pn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hyperlink" Target="#LM_Home"/><Relationship Id="rId11" Type="http://schemas.openxmlformats.org/officeDocument/2006/relationships/image" Target="../media/image7.emf"/><Relationship Id="rId5" Type="http://schemas.openxmlformats.org/officeDocument/2006/relationships/hyperlink" Target="#LEF_Home"/><Relationship Id="rId10" Type="http://schemas.openxmlformats.org/officeDocument/2006/relationships/hyperlink" Target="#Intro"/><Relationship Id="rId4" Type="http://schemas.openxmlformats.org/officeDocument/2006/relationships/image" Target="../media/image4.pn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3" Type="http://schemas.openxmlformats.org/officeDocument/2006/relationships/hyperlink" Target="#Home"/><Relationship Id="rId7" Type="http://schemas.openxmlformats.org/officeDocument/2006/relationships/hyperlink" Target="#Guide2"/><Relationship Id="rId2" Type="http://schemas.openxmlformats.org/officeDocument/2006/relationships/hyperlink" Target="#LM_Home"/><Relationship Id="rId1" Type="http://schemas.openxmlformats.org/officeDocument/2006/relationships/hyperlink" Target="#LEF_Home"/><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hyperlink" Target="#About"/></Relationships>
</file>

<file path=xl/drawings/_rels/drawing3.xml.rels><?xml version="1.0" encoding="UTF-8" standalone="yes"?>
<Relationships xmlns="http://schemas.openxmlformats.org/package/2006/relationships"><Relationship Id="rId3" Type="http://schemas.openxmlformats.org/officeDocument/2006/relationships/hyperlink" Target="#LM_Home"/><Relationship Id="rId7" Type="http://schemas.openxmlformats.org/officeDocument/2006/relationships/hyperlink" Target="#'Guide 2'!A1"/><Relationship Id="rId2" Type="http://schemas.openxmlformats.org/officeDocument/2006/relationships/hyperlink" Target="#LEF_Home"/><Relationship Id="rId1" Type="http://schemas.openxmlformats.org/officeDocument/2006/relationships/hyperlink" Target="#About"/><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hyperlink" Target="#Home"/></Relationships>
</file>

<file path=xl/drawings/_rels/drawing4.xml.rels><?xml version="1.0" encoding="UTF-8" standalone="yes"?>
<Relationships xmlns="http://schemas.openxmlformats.org/package/2006/relationships"><Relationship Id="rId3" Type="http://schemas.openxmlformats.org/officeDocument/2006/relationships/hyperlink" Target="#Home"/><Relationship Id="rId7" Type="http://schemas.openxmlformats.org/officeDocument/2006/relationships/hyperlink" Target="#'Guide 2'!A1"/><Relationship Id="rId2" Type="http://schemas.openxmlformats.org/officeDocument/2006/relationships/hyperlink" Target="#LM_Home"/><Relationship Id="rId1" Type="http://schemas.openxmlformats.org/officeDocument/2006/relationships/hyperlink" Target="#LEF_Home"/><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hyperlink" Target="#About"/></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3" Type="http://schemas.openxmlformats.org/officeDocument/2006/relationships/hyperlink" Target="#LM_Home"/><Relationship Id="rId7" Type="http://schemas.openxmlformats.org/officeDocument/2006/relationships/image" Target="../media/image11.emf"/><Relationship Id="rId2" Type="http://schemas.openxmlformats.org/officeDocument/2006/relationships/hyperlink" Target="#LEF_Home"/><Relationship Id="rId1" Type="http://schemas.openxmlformats.org/officeDocument/2006/relationships/image" Target="../media/image10.png"/><Relationship Id="rId6" Type="http://schemas.openxmlformats.org/officeDocument/2006/relationships/hyperlink" Target="#About"/><Relationship Id="rId5" Type="http://schemas.openxmlformats.org/officeDocument/2006/relationships/hyperlink" Target="#'Guide 2'!A1"/><Relationship Id="rId4" Type="http://schemas.openxmlformats.org/officeDocument/2006/relationships/hyperlink" Target="#Home"/></Relationships>
</file>

<file path=xl/drawings/_rels/drawing10.xml.rels><?xml version="1.0" encoding="UTF-8" standalone="yes"?>
<Relationships xmlns="http://schemas.openxmlformats.org/package/2006/relationships"><Relationship Id="rId8" Type="http://schemas.openxmlformats.org/officeDocument/2006/relationships/hyperlink" Target="#Intro"/><Relationship Id="rId3" Type="http://schemas.openxmlformats.org/officeDocument/2006/relationships/hyperlink" Target="#LEF_Home"/><Relationship Id="rId7" Type="http://schemas.openxmlformats.org/officeDocument/2006/relationships/hyperlink" Target="#Guide3"/><Relationship Id="rId2" Type="http://schemas.openxmlformats.org/officeDocument/2006/relationships/image" Target="../media/image13.emf"/><Relationship Id="rId1" Type="http://schemas.openxmlformats.org/officeDocument/2006/relationships/image" Target="../media/image12.emf"/><Relationship Id="rId6" Type="http://schemas.openxmlformats.org/officeDocument/2006/relationships/hyperlink" Target="#About"/><Relationship Id="rId5" Type="http://schemas.openxmlformats.org/officeDocument/2006/relationships/hyperlink" Target="#Home"/><Relationship Id="rId10" Type="http://schemas.openxmlformats.org/officeDocument/2006/relationships/image" Target="../media/image15.emf"/><Relationship Id="rId4" Type="http://schemas.openxmlformats.org/officeDocument/2006/relationships/hyperlink" Target="#LM_Home"/><Relationship Id="rId9" Type="http://schemas.openxmlformats.org/officeDocument/2006/relationships/image" Target="../media/image14.emf"/></Relationships>
</file>

<file path=xl/drawings/_rels/drawing11.xml.rels><?xml version="1.0" encoding="UTF-8" standalone="yes"?>
<Relationships xmlns="http://schemas.openxmlformats.org/package/2006/relationships"><Relationship Id="rId8" Type="http://schemas.openxmlformats.org/officeDocument/2006/relationships/image" Target="../media/image18.emf"/><Relationship Id="rId13" Type="http://schemas.openxmlformats.org/officeDocument/2006/relationships/image" Target="../media/image22.emf"/><Relationship Id="rId3" Type="http://schemas.openxmlformats.org/officeDocument/2006/relationships/hyperlink" Target="#LM_Home"/><Relationship Id="rId7" Type="http://schemas.openxmlformats.org/officeDocument/2006/relationships/image" Target="../media/image17.emf"/><Relationship Id="rId12" Type="http://schemas.openxmlformats.org/officeDocument/2006/relationships/image" Target="../media/image21.emf"/><Relationship Id="rId2" Type="http://schemas.openxmlformats.org/officeDocument/2006/relationships/hyperlink" Target="#LEF_Home"/><Relationship Id="rId1" Type="http://schemas.openxmlformats.org/officeDocument/2006/relationships/image" Target="../media/image16.emf"/><Relationship Id="rId6" Type="http://schemas.openxmlformats.org/officeDocument/2006/relationships/hyperlink" Target="#'Guide 2'!A1"/><Relationship Id="rId11" Type="http://schemas.openxmlformats.org/officeDocument/2006/relationships/image" Target="../media/image6.png"/><Relationship Id="rId5" Type="http://schemas.openxmlformats.org/officeDocument/2006/relationships/hyperlink" Target="#About"/><Relationship Id="rId10" Type="http://schemas.openxmlformats.org/officeDocument/2006/relationships/image" Target="../media/image20.emf"/><Relationship Id="rId4" Type="http://schemas.openxmlformats.org/officeDocument/2006/relationships/hyperlink" Target="#Home"/><Relationship Id="rId9" Type="http://schemas.openxmlformats.org/officeDocument/2006/relationships/image" Target="../media/image19.emf"/><Relationship Id="rId14"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editAs="oneCell">
    <xdr:from>
      <xdr:col>5</xdr:col>
      <xdr:colOff>431800</xdr:colOff>
      <xdr:row>1</xdr:row>
      <xdr:rowOff>25400</xdr:rowOff>
    </xdr:from>
    <xdr:to>
      <xdr:col>10</xdr:col>
      <xdr:colOff>120650</xdr:colOff>
      <xdr:row>11</xdr:row>
      <xdr:rowOff>16549</xdr:rowOff>
    </xdr:to>
    <xdr:pic>
      <xdr:nvPicPr>
        <xdr:cNvPr id="50" name="Picture 49">
          <a:extLst>
            <a:ext uri="{FF2B5EF4-FFF2-40B4-BE49-F238E27FC236}">
              <a16:creationId xmlns:a16="http://schemas.microsoft.com/office/drawing/2014/main" id="{00000000-0008-0000-0000-000032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106" t="2829" r="6889"/>
        <a:stretch/>
      </xdr:blipFill>
      <xdr:spPr bwMode="auto">
        <a:xfrm>
          <a:off x="3854450" y="292100"/>
          <a:ext cx="2990850" cy="201829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431802</xdr:colOff>
      <xdr:row>13</xdr:row>
      <xdr:rowOff>165101</xdr:rowOff>
    </xdr:from>
    <xdr:to>
      <xdr:col>9</xdr:col>
      <xdr:colOff>88900</xdr:colOff>
      <xdr:row>24</xdr:row>
      <xdr:rowOff>17142</xdr:rowOff>
    </xdr:to>
    <xdr:pic>
      <xdr:nvPicPr>
        <xdr:cNvPr id="37" name="Picture 36">
          <a:extLst>
            <a:ext uri="{FF2B5EF4-FFF2-40B4-BE49-F238E27FC236}">
              <a16:creationId xmlns:a16="http://schemas.microsoft.com/office/drawing/2014/main" id="{00000000-0008-0000-0000-000025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6556" b="12543"/>
        <a:stretch/>
      </xdr:blipFill>
      <xdr:spPr bwMode="auto">
        <a:xfrm>
          <a:off x="3778252" y="2933701"/>
          <a:ext cx="2298698" cy="201739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438150</xdr:colOff>
      <xdr:row>0</xdr:row>
      <xdr:rowOff>82551</xdr:rowOff>
    </xdr:from>
    <xdr:to>
      <xdr:col>5</xdr:col>
      <xdr:colOff>107950</xdr:colOff>
      <xdr:row>5</xdr:row>
      <xdr:rowOff>190501</xdr:rowOff>
    </xdr:to>
    <xdr:sp macro="" textlink="">
      <xdr:nvSpPr>
        <xdr:cNvPr id="4" name="Rounded Rectangle 3">
          <a:extLst>
            <a:ext uri="{FF2B5EF4-FFF2-40B4-BE49-F238E27FC236}">
              <a16:creationId xmlns:a16="http://schemas.microsoft.com/office/drawing/2014/main" id="{00000000-0008-0000-0000-000004000000}"/>
            </a:ext>
          </a:extLst>
        </xdr:cNvPr>
        <xdr:cNvSpPr/>
      </xdr:nvSpPr>
      <xdr:spPr>
        <a:xfrm>
          <a:off x="1861297" y="82551"/>
          <a:ext cx="1619624" cy="1250950"/>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latin typeface="Arial" pitchFamily="34" charset="0"/>
            <a:cs typeface="Arial" pitchFamily="34" charset="0"/>
          </a:endParaRPr>
        </a:p>
      </xdr:txBody>
    </xdr:sp>
    <xdr:clientData/>
  </xdr:twoCellAnchor>
  <xdr:twoCellAnchor>
    <xdr:from>
      <xdr:col>3</xdr:col>
      <xdr:colOff>40529</xdr:colOff>
      <xdr:row>0</xdr:row>
      <xdr:rowOff>82550</xdr:rowOff>
    </xdr:from>
    <xdr:to>
      <xdr:col>4</xdr:col>
      <xdr:colOff>505573</xdr:colOff>
      <xdr:row>1</xdr:row>
      <xdr:rowOff>95250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113617" y="82550"/>
          <a:ext cx="1114985" cy="281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a:latin typeface="Arial" pitchFamily="34" charset="0"/>
              <a:cs typeface="Arial" pitchFamily="34" charset="0"/>
            </a:rPr>
            <a:t>Click to Navigate</a:t>
          </a:r>
        </a:p>
      </xdr:txBody>
    </xdr:sp>
    <xdr:clientData/>
  </xdr:twoCellAnchor>
  <xdr:twoCellAnchor>
    <xdr:from>
      <xdr:col>0</xdr:col>
      <xdr:colOff>63557</xdr:colOff>
      <xdr:row>0</xdr:row>
      <xdr:rowOff>184728</xdr:rowOff>
    </xdr:from>
    <xdr:to>
      <xdr:col>2</xdr:col>
      <xdr:colOff>280147</xdr:colOff>
      <xdr:row>4</xdr:row>
      <xdr:rowOff>80818</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3557" y="184728"/>
          <a:ext cx="1639737" cy="837384"/>
        </a:xfrm>
        <a:prstGeom prst="rect">
          <a:avLst/>
        </a:prstGeom>
        <a:solidFill>
          <a:schemeClr val="bg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800"/>
        </a:p>
        <a:p>
          <a:r>
            <a:rPr lang="en-US" sz="1800">
              <a:latin typeface="Arial" pitchFamily="34" charset="0"/>
              <a:cs typeface="Arial" pitchFamily="34" charset="0"/>
            </a:rPr>
            <a:t>Open FAIR™</a:t>
          </a:r>
          <a:r>
            <a:rPr lang="en-US" sz="1800" baseline="0">
              <a:latin typeface="Arial" pitchFamily="34" charset="0"/>
              <a:cs typeface="Arial" pitchFamily="34" charset="0"/>
            </a:rPr>
            <a:t> </a:t>
          </a:r>
          <a:r>
            <a:rPr lang="en-US" sz="1400">
              <a:latin typeface="Arial" pitchFamily="34" charset="0"/>
              <a:cs typeface="Arial" pitchFamily="34" charset="0"/>
            </a:rPr>
            <a:t>Risk Analysis Tool</a:t>
          </a:r>
        </a:p>
        <a:p>
          <a:endParaRPr lang="en-US" sz="1400"/>
        </a:p>
      </xdr:txBody>
    </xdr:sp>
    <xdr:clientData/>
  </xdr:twoCellAnchor>
  <xdr:twoCellAnchor>
    <xdr:from>
      <xdr:col>0</xdr:col>
      <xdr:colOff>82551</xdr:colOff>
      <xdr:row>6</xdr:row>
      <xdr:rowOff>94499</xdr:rowOff>
    </xdr:from>
    <xdr:to>
      <xdr:col>5</xdr:col>
      <xdr:colOff>247651</xdr:colOff>
      <xdr:row>23</xdr:row>
      <xdr:rowOff>127000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82551" y="1389899"/>
          <a:ext cx="3524250" cy="3436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a:solidFill>
                <a:schemeClr val="dk1"/>
              </a:solidFill>
              <a:effectLst/>
              <a:latin typeface="Arial" pitchFamily="34" charset="0"/>
              <a:ea typeface="+mn-ea"/>
              <a:cs typeface="Arial" pitchFamily="34" charset="0"/>
            </a:rPr>
            <a:t>This</a:t>
          </a:r>
          <a:r>
            <a:rPr lang="en-US" sz="1050" b="0" i="0" baseline="0">
              <a:solidFill>
                <a:schemeClr val="dk1"/>
              </a:solidFill>
              <a:effectLst/>
              <a:latin typeface="Arial" pitchFamily="34" charset="0"/>
              <a:ea typeface="+mn-ea"/>
              <a:cs typeface="Arial" pitchFamily="34" charset="0"/>
            </a:rPr>
            <a:t> tool lets analysts compare two risk states: the "current" (</a:t>
          </a:r>
          <a:r>
            <a:rPr lang="en-US" sz="1050" b="0" i="1" baseline="0">
              <a:solidFill>
                <a:schemeClr val="dk1"/>
              </a:solidFill>
              <a:effectLst/>
              <a:latin typeface="Arial" pitchFamily="34" charset="0"/>
              <a:ea typeface="+mn-ea"/>
              <a:cs typeface="Arial" pitchFamily="34" charset="0"/>
            </a:rPr>
            <a:t>status quo</a:t>
          </a:r>
          <a:r>
            <a:rPr lang="en-US" sz="1050" b="0" i="0" baseline="0">
              <a:solidFill>
                <a:schemeClr val="dk1"/>
              </a:solidFill>
              <a:effectLst/>
              <a:latin typeface="Arial" pitchFamily="34" charset="0"/>
              <a:ea typeface="+mn-ea"/>
              <a:cs typeface="Arial" pitchFamily="34" charset="0"/>
            </a:rPr>
            <a:t>) state and a "proposed" (mitigated) state. There are three pages, which may be navigated between using the buttons above. You may graph distributions of either Loss Events and Loss Magnitude.</a:t>
          </a:r>
        </a:p>
        <a:p>
          <a:endParaRPr lang="en-US" sz="1050" b="0" i="0">
            <a:solidFill>
              <a:schemeClr val="dk1"/>
            </a:solidFill>
            <a:effectLst/>
            <a:latin typeface="Arial" pitchFamily="34" charset="0"/>
            <a:ea typeface="+mn-ea"/>
            <a:cs typeface="Arial" pitchFamily="34" charset="0"/>
          </a:endParaRPr>
        </a:p>
        <a:p>
          <a:r>
            <a:rPr lang="en-US" sz="1050" b="0" i="0">
              <a:solidFill>
                <a:schemeClr val="dk1"/>
              </a:solidFill>
              <a:effectLst/>
              <a:latin typeface="Arial" pitchFamily="34" charset="0"/>
              <a:ea typeface="+mn-ea"/>
              <a:cs typeface="Arial" pitchFamily="34" charset="0"/>
            </a:rPr>
            <a:t>Every box in white is an input. Analysts can start from the </a:t>
          </a:r>
          <a:r>
            <a:rPr lang="en-US" sz="1050" b="1" i="1">
              <a:solidFill>
                <a:schemeClr val="dk1"/>
              </a:solidFill>
              <a:effectLst/>
              <a:latin typeface="Arial" pitchFamily="34" charset="0"/>
              <a:ea typeface="+mn-ea"/>
              <a:cs typeface="Arial" pitchFamily="34" charset="0"/>
            </a:rPr>
            <a:t>Risk</a:t>
          </a:r>
          <a:r>
            <a:rPr lang="en-US" sz="1050" b="0" i="0">
              <a:solidFill>
                <a:schemeClr val="dk1"/>
              </a:solidFill>
              <a:effectLst/>
              <a:latin typeface="Arial" pitchFamily="34" charset="0"/>
              <a:ea typeface="+mn-ea"/>
              <a:cs typeface="Arial" pitchFamily="34" charset="0"/>
            </a:rPr>
            <a:t> </a:t>
          </a:r>
          <a:r>
            <a:rPr lang="en-US" sz="1050" b="0" i="0" baseline="0">
              <a:solidFill>
                <a:schemeClr val="dk1"/>
              </a:solidFill>
              <a:effectLst/>
              <a:latin typeface="Arial" pitchFamily="34" charset="0"/>
              <a:ea typeface="+mn-ea"/>
              <a:cs typeface="Arial" pitchFamily="34" charset="0"/>
            </a:rPr>
            <a:t>page to set up the local currency and loss measure of annual loss exposure. On any page you may specify a percentile or a threshold of the output, and view the chance of exceedance.</a:t>
          </a:r>
        </a:p>
        <a:p>
          <a:endParaRPr lang="en-US" sz="1050" b="0" i="0" baseline="0">
            <a:solidFill>
              <a:schemeClr val="dk1"/>
            </a:solidFill>
            <a:effectLst/>
            <a:latin typeface="Arial" pitchFamily="34" charset="0"/>
            <a:ea typeface="+mn-ea"/>
            <a:cs typeface="Arial" pitchFamily="34" charset="0"/>
          </a:endParaRPr>
        </a:p>
        <a:p>
          <a:r>
            <a:rPr lang="en-US" sz="1050" b="0" i="0" baseline="0">
              <a:solidFill>
                <a:schemeClr val="dk1"/>
              </a:solidFill>
              <a:effectLst/>
              <a:latin typeface="Arial" pitchFamily="34" charset="0"/>
              <a:ea typeface="+mn-ea"/>
              <a:cs typeface="Arial" pitchFamily="34" charset="0"/>
            </a:rPr>
            <a:t>Use the </a:t>
          </a:r>
          <a:r>
            <a:rPr lang="en-US" sz="1050" b="1" i="1" baseline="0">
              <a:solidFill>
                <a:schemeClr val="dk1"/>
              </a:solidFill>
              <a:effectLst/>
              <a:latin typeface="Arial" pitchFamily="34" charset="0"/>
              <a:ea typeface="+mn-ea"/>
              <a:cs typeface="Arial" pitchFamily="34" charset="0"/>
            </a:rPr>
            <a:t>Loss Event Frequency (LEF) </a:t>
          </a:r>
          <a:r>
            <a:rPr lang="en-US" sz="1050" b="0" i="0" baseline="0">
              <a:solidFill>
                <a:schemeClr val="dk1"/>
              </a:solidFill>
              <a:effectLst/>
              <a:latin typeface="Arial" pitchFamily="34" charset="0"/>
              <a:ea typeface="+mn-ea"/>
              <a:cs typeface="Arial" pitchFamily="34" charset="0"/>
            </a:rPr>
            <a:t>page to work at any level of the FAIR LEF tree to enter loss event-related data.</a:t>
          </a:r>
        </a:p>
        <a:p>
          <a:endParaRPr lang="en-US" sz="1050" b="0" i="0" baseline="0">
            <a:solidFill>
              <a:schemeClr val="dk1"/>
            </a:solidFill>
            <a:effectLst/>
            <a:latin typeface="Arial" pitchFamily="34" charset="0"/>
            <a:ea typeface="+mn-ea"/>
            <a:cs typeface="Arial" pitchFamily="34" charset="0"/>
          </a:endParaRPr>
        </a:p>
        <a:p>
          <a:r>
            <a:rPr lang="en-US" sz="1050" b="0" i="0" baseline="0">
              <a:solidFill>
                <a:schemeClr val="dk1"/>
              </a:solidFill>
              <a:effectLst/>
              <a:latin typeface="Arial" pitchFamily="34" charset="0"/>
              <a:ea typeface="+mn-ea"/>
              <a:cs typeface="Arial" pitchFamily="34" charset="0"/>
            </a:rPr>
            <a:t>Use the </a:t>
          </a:r>
          <a:r>
            <a:rPr lang="en-US" sz="1050" b="1" i="1" baseline="0">
              <a:solidFill>
                <a:schemeClr val="dk1"/>
              </a:solidFill>
              <a:effectLst/>
              <a:latin typeface="Arial" pitchFamily="34" charset="0"/>
              <a:ea typeface="+mn-ea"/>
              <a:cs typeface="Arial" pitchFamily="34" charset="0"/>
            </a:rPr>
            <a:t>Loss Magnitude (LM) </a:t>
          </a:r>
          <a:r>
            <a:rPr lang="en-US" sz="1050" b="0" i="0" baseline="0">
              <a:solidFill>
                <a:schemeClr val="dk1"/>
              </a:solidFill>
              <a:effectLst/>
              <a:latin typeface="Arial" pitchFamily="34" charset="0"/>
              <a:ea typeface="+mn-ea"/>
              <a:cs typeface="Arial" pitchFamily="34" charset="0"/>
            </a:rPr>
            <a:t>page to enter Loss Magnitude data. You may also view either simulated Single Loss Magnitudes or Total Risk Exposure outcomes.</a:t>
          </a:r>
          <a:endParaRPr lang="en-US" sz="1050">
            <a:latin typeface="Arial" pitchFamily="34" charset="0"/>
            <a:cs typeface="Arial" pitchFamily="34" charset="0"/>
          </a:endParaRPr>
        </a:p>
      </xdr:txBody>
    </xdr:sp>
    <xdr:clientData/>
  </xdr:twoCellAnchor>
  <xdr:twoCellAnchor editAs="oneCell">
    <xdr:from>
      <xdr:col>3</xdr:col>
      <xdr:colOff>208423</xdr:colOff>
      <xdr:row>26</xdr:row>
      <xdr:rowOff>105641</xdr:rowOff>
    </xdr:from>
    <xdr:to>
      <xdr:col>5</xdr:col>
      <xdr:colOff>84810</xdr:colOff>
      <xdr:row>31</xdr:row>
      <xdr:rowOff>28019</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9244" t="26553" r="10064" b="23795"/>
        <a:stretch/>
      </xdr:blipFill>
      <xdr:spPr>
        <a:xfrm>
          <a:off x="2272173" y="5344391"/>
          <a:ext cx="1171787" cy="703428"/>
        </a:xfrm>
        <a:prstGeom prst="rect">
          <a:avLst/>
        </a:prstGeom>
        <a:ln>
          <a:noFill/>
        </a:ln>
        <a:effectLst/>
      </xdr:spPr>
    </xdr:pic>
    <xdr:clientData/>
  </xdr:twoCellAnchor>
  <xdr:twoCellAnchor editAs="oneCell">
    <xdr:from>
      <xdr:col>0</xdr:col>
      <xdr:colOff>95509</xdr:colOff>
      <xdr:row>24</xdr:row>
      <xdr:rowOff>4658</xdr:rowOff>
    </xdr:from>
    <xdr:to>
      <xdr:col>3</xdr:col>
      <xdr:colOff>119317</xdr:colOff>
      <xdr:row>31</xdr:row>
      <xdr:rowOff>17317</xdr:rowOff>
    </xdr:to>
    <xdr:pic>
      <xdr:nvPicPr>
        <xdr:cNvPr id="16" name="Picture 15" descr="/var/folders/p5/yb7q1cfj5g5frycz01fp53zr0000gn/T/com.microsoft.Excel/WebArchiveCopyPasteTempFiles/cropped-tog-cmyk.png">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5872" r="5872"/>
        <a:stretch>
          <a:fillRect/>
        </a:stretch>
      </xdr:blipFill>
      <xdr:spPr bwMode="auto">
        <a:xfrm>
          <a:off x="95509" y="4900508"/>
          <a:ext cx="2087558" cy="1136609"/>
        </a:xfrm>
        <a:prstGeom prst="rect">
          <a:avLst/>
        </a:prstGeom>
        <a:ln>
          <a:noFill/>
        </a:ln>
        <a:effectLst/>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539750</xdr:colOff>
      <xdr:row>1</xdr:row>
      <xdr:rowOff>69850</xdr:rowOff>
    </xdr:from>
    <xdr:to>
      <xdr:col>4</xdr:col>
      <xdr:colOff>656771</xdr:colOff>
      <xdr:row>5</xdr:row>
      <xdr:rowOff>69850</xdr:rowOff>
    </xdr:to>
    <xdr:grpSp>
      <xdr:nvGrpSpPr>
        <xdr:cNvPr id="17" name="Group 16">
          <a:extLst>
            <a:ext uri="{FF2B5EF4-FFF2-40B4-BE49-F238E27FC236}">
              <a16:creationId xmlns:a16="http://schemas.microsoft.com/office/drawing/2014/main" id="{00000000-0008-0000-0000-000011000000}"/>
            </a:ext>
          </a:extLst>
        </xdr:cNvPr>
        <xdr:cNvGrpSpPr/>
      </xdr:nvGrpSpPr>
      <xdr:grpSpPr>
        <a:xfrm>
          <a:off x="1962150" y="323850"/>
          <a:ext cx="1399721" cy="863600"/>
          <a:chOff x="8324850" y="374650"/>
          <a:chExt cx="1450521" cy="787400"/>
        </a:xfrm>
        <a:effectLst>
          <a:outerShdw blurRad="50800" dist="38100" dir="2700000" algn="tl" rotWithShape="0">
            <a:prstClr val="black">
              <a:alpha val="40000"/>
            </a:prstClr>
          </a:outerShdw>
        </a:effectLst>
      </xdr:grpSpPr>
      <xdr:cxnSp macro="">
        <xdr:nvCxnSpPr>
          <xdr:cNvPr id="18" name="Straight Connector 17">
            <a:extLst>
              <a:ext uri="{FF2B5EF4-FFF2-40B4-BE49-F238E27FC236}">
                <a16:creationId xmlns:a16="http://schemas.microsoft.com/office/drawing/2014/main" id="{00000000-0008-0000-0000-000012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00000000-0008-0000-0000-000013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20" name="Rounded Rectangle 19">
            <a:hlinkClick xmlns:r="http://schemas.openxmlformats.org/officeDocument/2006/relationships" r:id="rId5"/>
            <a:extLst>
              <a:ext uri="{FF2B5EF4-FFF2-40B4-BE49-F238E27FC236}">
                <a16:creationId xmlns:a16="http://schemas.microsoft.com/office/drawing/2014/main" id="{00000000-0008-0000-0000-000014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21" name="Rounded Rectangle 20">
            <a:hlinkClick xmlns:r="http://schemas.openxmlformats.org/officeDocument/2006/relationships" r:id="rId6"/>
            <a:extLst>
              <a:ext uri="{FF2B5EF4-FFF2-40B4-BE49-F238E27FC236}">
                <a16:creationId xmlns:a16="http://schemas.microsoft.com/office/drawing/2014/main" id="{00000000-0008-0000-0000-000015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22" name="Rounded Rectangle 21">
            <a:hlinkClick xmlns:r="http://schemas.openxmlformats.org/officeDocument/2006/relationships" r:id="rId7"/>
            <a:extLst>
              <a:ext uri="{FF2B5EF4-FFF2-40B4-BE49-F238E27FC236}">
                <a16:creationId xmlns:a16="http://schemas.microsoft.com/office/drawing/2014/main" id="{00000000-0008-0000-0000-000016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9</xdr:col>
      <xdr:colOff>279400</xdr:colOff>
      <xdr:row>11</xdr:row>
      <xdr:rowOff>70970</xdr:rowOff>
    </xdr:from>
    <xdr:to>
      <xdr:col>11</xdr:col>
      <xdr:colOff>527050</xdr:colOff>
      <xdr:row>13</xdr:row>
      <xdr:rowOff>121770</xdr:rowOff>
    </xdr:to>
    <xdr:sp macro="" textlink="">
      <xdr:nvSpPr>
        <xdr:cNvPr id="26" name="Rounded Rectangular Callout 25">
          <a:extLst>
            <a:ext uri="{FF2B5EF4-FFF2-40B4-BE49-F238E27FC236}">
              <a16:creationId xmlns:a16="http://schemas.microsoft.com/office/drawing/2014/main" id="{00000000-0008-0000-0000-00001A000000}"/>
            </a:ext>
          </a:extLst>
        </xdr:cNvPr>
        <xdr:cNvSpPr/>
      </xdr:nvSpPr>
      <xdr:spPr>
        <a:xfrm>
          <a:off x="6252135" y="2401794"/>
          <a:ext cx="1547533" cy="510241"/>
        </a:xfrm>
        <a:prstGeom prst="wedgeRoundRectCallout">
          <a:avLst>
            <a:gd name="adj1" fmla="val -165937"/>
            <a:gd name="adj2" fmla="val -70395"/>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Set Units and Magnitudes for all screens</a:t>
          </a:r>
        </a:p>
      </xdr:txBody>
    </xdr:sp>
    <xdr:clientData/>
  </xdr:twoCellAnchor>
  <xdr:twoCellAnchor>
    <xdr:from>
      <xdr:col>10</xdr:col>
      <xdr:colOff>133350</xdr:colOff>
      <xdr:row>0</xdr:row>
      <xdr:rowOff>19050</xdr:rowOff>
    </xdr:from>
    <xdr:to>
      <xdr:col>11</xdr:col>
      <xdr:colOff>482600</xdr:colOff>
      <xdr:row>3</xdr:row>
      <xdr:rowOff>38100</xdr:rowOff>
    </xdr:to>
    <xdr:sp macro="" textlink="">
      <xdr:nvSpPr>
        <xdr:cNvPr id="31" name="Rounded Rectangular Callout 30">
          <a:extLst>
            <a:ext uri="{FF2B5EF4-FFF2-40B4-BE49-F238E27FC236}">
              <a16:creationId xmlns:a16="http://schemas.microsoft.com/office/drawing/2014/main" id="{00000000-0008-0000-0000-00001F000000}"/>
            </a:ext>
          </a:extLst>
        </xdr:cNvPr>
        <xdr:cNvSpPr/>
      </xdr:nvSpPr>
      <xdr:spPr>
        <a:xfrm>
          <a:off x="6858000" y="19050"/>
          <a:ext cx="1009650" cy="749300"/>
        </a:xfrm>
        <a:prstGeom prst="wedgeRoundRectCallout">
          <a:avLst>
            <a:gd name="adj1" fmla="val -63751"/>
            <a:gd name="adj2" fmla="val 1957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Scroll through individual simulation trials</a:t>
          </a:r>
        </a:p>
      </xdr:txBody>
    </xdr:sp>
    <xdr:clientData/>
  </xdr:twoCellAnchor>
  <xdr:twoCellAnchor>
    <xdr:from>
      <xdr:col>10</xdr:col>
      <xdr:colOff>19050</xdr:colOff>
      <xdr:row>4</xdr:row>
      <xdr:rowOff>6350</xdr:rowOff>
    </xdr:from>
    <xdr:to>
      <xdr:col>11</xdr:col>
      <xdr:colOff>431800</xdr:colOff>
      <xdr:row>7</xdr:row>
      <xdr:rowOff>6350</xdr:rowOff>
    </xdr:to>
    <xdr:sp macro="" textlink="">
      <xdr:nvSpPr>
        <xdr:cNvPr id="32" name="Rounded Rectangular Callout 31">
          <a:extLst>
            <a:ext uri="{FF2B5EF4-FFF2-40B4-BE49-F238E27FC236}">
              <a16:creationId xmlns:a16="http://schemas.microsoft.com/office/drawing/2014/main" id="{00000000-0008-0000-0000-000020000000}"/>
            </a:ext>
          </a:extLst>
        </xdr:cNvPr>
        <xdr:cNvSpPr/>
      </xdr:nvSpPr>
      <xdr:spPr>
        <a:xfrm>
          <a:off x="6667500" y="933450"/>
          <a:ext cx="1073150" cy="590550"/>
        </a:xfrm>
        <a:prstGeom prst="wedgeRoundRectCallout">
          <a:avLst>
            <a:gd name="adj1" fmla="val -76509"/>
            <a:gd name="adj2" fmla="val 2830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Statistics based on all trials appear here</a:t>
          </a:r>
        </a:p>
      </xdr:txBody>
    </xdr:sp>
    <xdr:clientData/>
  </xdr:twoCellAnchor>
  <xdr:twoCellAnchor>
    <xdr:from>
      <xdr:col>7</xdr:col>
      <xdr:colOff>622300</xdr:colOff>
      <xdr:row>20</xdr:row>
      <xdr:rowOff>57150</xdr:rowOff>
    </xdr:from>
    <xdr:to>
      <xdr:col>9</xdr:col>
      <xdr:colOff>406400</xdr:colOff>
      <xdr:row>22</xdr:row>
      <xdr:rowOff>107950</xdr:rowOff>
    </xdr:to>
    <xdr:sp macro="" textlink="">
      <xdr:nvSpPr>
        <xdr:cNvPr id="33" name="Rounded Rectangular Callout 32">
          <a:extLst>
            <a:ext uri="{FF2B5EF4-FFF2-40B4-BE49-F238E27FC236}">
              <a16:creationId xmlns:a16="http://schemas.microsoft.com/office/drawing/2014/main" id="{00000000-0008-0000-0000-000021000000}"/>
            </a:ext>
          </a:extLst>
        </xdr:cNvPr>
        <xdr:cNvSpPr/>
      </xdr:nvSpPr>
      <xdr:spPr>
        <a:xfrm>
          <a:off x="5289550" y="4203700"/>
          <a:ext cx="1104900" cy="444500"/>
        </a:xfrm>
        <a:prstGeom prst="wedgeRoundRectCallout">
          <a:avLst>
            <a:gd name="adj1" fmla="val -20969"/>
            <a:gd name="adj2" fmla="val -122366"/>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mn-lt"/>
              <a:ea typeface="+mn-ea"/>
              <a:cs typeface="+mn-cs"/>
            </a:rPr>
            <a:t>Enter assumptions at any level. </a:t>
          </a:r>
        </a:p>
      </xdr:txBody>
    </xdr:sp>
    <xdr:clientData/>
  </xdr:twoCellAnchor>
  <xdr:twoCellAnchor>
    <xdr:from>
      <xdr:col>8</xdr:col>
      <xdr:colOff>120650</xdr:colOff>
      <xdr:row>14</xdr:row>
      <xdr:rowOff>76200</xdr:rowOff>
    </xdr:from>
    <xdr:to>
      <xdr:col>9</xdr:col>
      <xdr:colOff>565150</xdr:colOff>
      <xdr:row>16</xdr:row>
      <xdr:rowOff>127000</xdr:rowOff>
    </xdr:to>
    <xdr:sp macro="" textlink="">
      <xdr:nvSpPr>
        <xdr:cNvPr id="35" name="Rounded Rectangular Callout 34">
          <a:extLst>
            <a:ext uri="{FF2B5EF4-FFF2-40B4-BE49-F238E27FC236}">
              <a16:creationId xmlns:a16="http://schemas.microsoft.com/office/drawing/2014/main" id="{00000000-0008-0000-0000-000023000000}"/>
            </a:ext>
          </a:extLst>
        </xdr:cNvPr>
        <xdr:cNvSpPr/>
      </xdr:nvSpPr>
      <xdr:spPr>
        <a:xfrm>
          <a:off x="5403850" y="2832100"/>
          <a:ext cx="1104900" cy="444500"/>
        </a:xfrm>
        <a:prstGeom prst="wedgeRoundRectCallout">
          <a:avLst>
            <a:gd name="adj1" fmla="val -68096"/>
            <a:gd name="adj2" fmla="val 139063"/>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Drill up or down with Check Boxes</a:t>
          </a:r>
        </a:p>
      </xdr:txBody>
    </xdr:sp>
    <xdr:clientData/>
  </xdr:twoCellAnchor>
  <xdr:twoCellAnchor editAs="oneCell">
    <xdr:from>
      <xdr:col>12</xdr:col>
      <xdr:colOff>495301</xdr:colOff>
      <xdr:row>2</xdr:row>
      <xdr:rowOff>139700</xdr:rowOff>
    </xdr:from>
    <xdr:to>
      <xdr:col>16</xdr:col>
      <xdr:colOff>628908</xdr:colOff>
      <xdr:row>15</xdr:row>
      <xdr:rowOff>164941</xdr:rowOff>
    </xdr:to>
    <xdr:pic>
      <xdr:nvPicPr>
        <xdr:cNvPr id="36" name="Picture 35">
          <a:extLst>
            <a:ext uri="{FF2B5EF4-FFF2-40B4-BE49-F238E27FC236}">
              <a16:creationId xmlns:a16="http://schemas.microsoft.com/office/drawing/2014/main" id="{00000000-0008-0000-0000-000024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8420101" y="533400"/>
          <a:ext cx="2775207" cy="264293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7</xdr:col>
      <xdr:colOff>622300</xdr:colOff>
      <xdr:row>20</xdr:row>
      <xdr:rowOff>6350</xdr:rowOff>
    </xdr:from>
    <xdr:to>
      <xdr:col>11</xdr:col>
      <xdr:colOff>453838</xdr:colOff>
      <xdr:row>23</xdr:row>
      <xdr:rowOff>117662</xdr:rowOff>
    </xdr:to>
    <xdr:sp macro="" textlink="">
      <xdr:nvSpPr>
        <xdr:cNvPr id="38" name="Rounded Rectangular Callout 37">
          <a:extLst>
            <a:ext uri="{FF2B5EF4-FFF2-40B4-BE49-F238E27FC236}">
              <a16:creationId xmlns:a16="http://schemas.microsoft.com/office/drawing/2014/main" id="{00000000-0008-0000-0000-000026000000}"/>
            </a:ext>
          </a:extLst>
        </xdr:cNvPr>
        <xdr:cNvSpPr/>
      </xdr:nvSpPr>
      <xdr:spPr>
        <a:xfrm>
          <a:off x="5295153" y="4219762"/>
          <a:ext cx="2431303" cy="716429"/>
        </a:xfrm>
        <a:prstGeom prst="wedgeRoundRectCallout">
          <a:avLst>
            <a:gd name="adj1" fmla="val -69671"/>
            <a:gd name="adj2" fmla="val 6216"/>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Enter triangular distributions estimates at any level. When lower levels are activated</a:t>
          </a:r>
          <a:r>
            <a:rPr lang="en-US" sz="900" baseline="0">
              <a:ln>
                <a:noFill/>
              </a:ln>
              <a:solidFill>
                <a:schemeClr val="accent1"/>
              </a:solidFill>
              <a:latin typeface="Arial" pitchFamily="34" charset="0"/>
              <a:ea typeface="+mn-ea"/>
              <a:cs typeface="Arial" pitchFamily="34" charset="0"/>
            </a:rPr>
            <a:t> upper level estimates are bypassed. </a:t>
          </a:r>
        </a:p>
        <a:p>
          <a:pPr marL="0" indent="0" algn="l"/>
          <a:r>
            <a:rPr lang="en-US" sz="900" baseline="0">
              <a:ln>
                <a:noFill/>
              </a:ln>
              <a:solidFill>
                <a:schemeClr val="accent1"/>
              </a:solidFill>
              <a:latin typeface="Arial" pitchFamily="34" charset="0"/>
              <a:ea typeface="+mn-ea"/>
              <a:cs typeface="Arial" pitchFamily="34" charset="0"/>
            </a:rPr>
            <a:t>NOTE: Ensure that Min ≤ ML ≤ Max. </a:t>
          </a:r>
        </a:p>
        <a:p>
          <a:pPr marL="0" indent="0" algn="l"/>
          <a:endParaRPr lang="en-US" sz="900">
            <a:ln>
              <a:noFill/>
            </a:ln>
            <a:solidFill>
              <a:schemeClr val="accent1"/>
            </a:solidFill>
            <a:latin typeface="+mn-lt"/>
            <a:ea typeface="+mn-ea"/>
            <a:cs typeface="+mn-cs"/>
          </a:endParaRPr>
        </a:p>
      </xdr:txBody>
    </xdr:sp>
    <xdr:clientData/>
  </xdr:twoCellAnchor>
  <xdr:twoCellAnchor>
    <xdr:from>
      <xdr:col>9</xdr:col>
      <xdr:colOff>558800</xdr:colOff>
      <xdr:row>8</xdr:row>
      <xdr:rowOff>82550</xdr:rowOff>
    </xdr:from>
    <xdr:to>
      <xdr:col>11</xdr:col>
      <xdr:colOff>246529</xdr:colOff>
      <xdr:row>10</xdr:row>
      <xdr:rowOff>133350</xdr:rowOff>
    </xdr:to>
    <xdr:sp macro="" textlink="">
      <xdr:nvSpPr>
        <xdr:cNvPr id="39" name="Rounded Rectangular Callout 38">
          <a:extLst>
            <a:ext uri="{FF2B5EF4-FFF2-40B4-BE49-F238E27FC236}">
              <a16:creationId xmlns:a16="http://schemas.microsoft.com/office/drawing/2014/main" id="{00000000-0008-0000-0000-000027000000}"/>
            </a:ext>
          </a:extLst>
        </xdr:cNvPr>
        <xdr:cNvSpPr/>
      </xdr:nvSpPr>
      <xdr:spPr>
        <a:xfrm>
          <a:off x="6531535" y="1808256"/>
          <a:ext cx="987612" cy="454212"/>
        </a:xfrm>
        <a:prstGeom prst="wedgeRoundRectCallout">
          <a:avLst>
            <a:gd name="adj1" fmla="val -164751"/>
            <a:gd name="adj2" fmla="val 49063"/>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Adjust graph settings here</a:t>
          </a:r>
        </a:p>
      </xdr:txBody>
    </xdr:sp>
    <xdr:clientData/>
  </xdr:twoCellAnchor>
  <xdr:twoCellAnchor>
    <xdr:from>
      <xdr:col>12</xdr:col>
      <xdr:colOff>0</xdr:colOff>
      <xdr:row>2</xdr:row>
      <xdr:rowOff>19050</xdr:rowOff>
    </xdr:from>
    <xdr:to>
      <xdr:col>13</xdr:col>
      <xdr:colOff>596900</xdr:colOff>
      <xdr:row>6</xdr:row>
      <xdr:rowOff>133350</xdr:rowOff>
    </xdr:to>
    <xdr:sp macro="" textlink="">
      <xdr:nvSpPr>
        <xdr:cNvPr id="40" name="Rounded Rectangular Callout 39">
          <a:extLst>
            <a:ext uri="{FF2B5EF4-FFF2-40B4-BE49-F238E27FC236}">
              <a16:creationId xmlns:a16="http://schemas.microsoft.com/office/drawing/2014/main" id="{00000000-0008-0000-0000-000028000000}"/>
            </a:ext>
          </a:extLst>
        </xdr:cNvPr>
        <xdr:cNvSpPr/>
      </xdr:nvSpPr>
      <xdr:spPr>
        <a:xfrm>
          <a:off x="7924800" y="412750"/>
          <a:ext cx="1257300" cy="901700"/>
        </a:xfrm>
        <a:prstGeom prst="wedgeRoundRectCallout">
          <a:avLst>
            <a:gd name="adj1" fmla="val 39811"/>
            <a:gd name="adj2" fmla="val 7187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triangular distributions for Current and Proposed Primary Loss Magnitude</a:t>
          </a:r>
        </a:p>
      </xdr:txBody>
    </xdr:sp>
    <xdr:clientData/>
  </xdr:twoCellAnchor>
  <xdr:twoCellAnchor>
    <xdr:from>
      <xdr:col>14</xdr:col>
      <xdr:colOff>311150</xdr:colOff>
      <xdr:row>13</xdr:row>
      <xdr:rowOff>63500</xdr:rowOff>
    </xdr:from>
    <xdr:to>
      <xdr:col>16</xdr:col>
      <xdr:colOff>247650</xdr:colOff>
      <xdr:row>16</xdr:row>
      <xdr:rowOff>107950</xdr:rowOff>
    </xdr:to>
    <xdr:sp macro="" textlink="">
      <xdr:nvSpPr>
        <xdr:cNvPr id="42" name="Rounded Rectangular Callout 41">
          <a:extLst>
            <a:ext uri="{FF2B5EF4-FFF2-40B4-BE49-F238E27FC236}">
              <a16:creationId xmlns:a16="http://schemas.microsoft.com/office/drawing/2014/main" id="{00000000-0008-0000-0000-00002A000000}"/>
            </a:ext>
          </a:extLst>
        </xdr:cNvPr>
        <xdr:cNvSpPr/>
      </xdr:nvSpPr>
      <xdr:spPr>
        <a:xfrm>
          <a:off x="9556750" y="2622550"/>
          <a:ext cx="1257300" cy="635000"/>
        </a:xfrm>
        <a:prstGeom prst="wedgeRoundRectCallout">
          <a:avLst>
            <a:gd name="adj1" fmla="val 31731"/>
            <a:gd name="adj2" fmla="val -14812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Current and Proposed Secondary Loss Magnitude</a:t>
          </a:r>
        </a:p>
      </xdr:txBody>
    </xdr:sp>
    <xdr:clientData/>
  </xdr:twoCellAnchor>
  <xdr:twoCellAnchor editAs="oneCell">
    <xdr:from>
      <xdr:col>14</xdr:col>
      <xdr:colOff>293008</xdr:colOff>
      <xdr:row>16</xdr:row>
      <xdr:rowOff>167819</xdr:rowOff>
    </xdr:from>
    <xdr:to>
      <xdr:col>17</xdr:col>
      <xdr:colOff>140607</xdr:colOff>
      <xdr:row>23</xdr:row>
      <xdr:rowOff>40819</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rotWithShape="1">
        <a:blip xmlns:r="http://schemas.openxmlformats.org/officeDocument/2006/relationships" r:embed="rId9" cstate="screen">
          <a:extLst>
            <a:ext uri="{28A0092B-C50C-407E-A947-70E740481C1C}">
              <a14:useLocalDpi xmlns:a14="http://schemas.microsoft.com/office/drawing/2010/main"/>
            </a:ext>
          </a:extLst>
        </a:blip>
        <a:srcRect/>
        <a:stretch/>
      </xdr:blipFill>
      <xdr:spPr>
        <a:xfrm>
          <a:off x="9538608" y="3317419"/>
          <a:ext cx="1828799" cy="1250951"/>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12</xdr:col>
      <xdr:colOff>88900</xdr:colOff>
      <xdr:row>17</xdr:row>
      <xdr:rowOff>12700</xdr:rowOff>
    </xdr:from>
    <xdr:to>
      <xdr:col>13</xdr:col>
      <xdr:colOff>615950</xdr:colOff>
      <xdr:row>19</xdr:row>
      <xdr:rowOff>31750</xdr:rowOff>
    </xdr:to>
    <xdr:sp macro="" textlink="">
      <xdr:nvSpPr>
        <xdr:cNvPr id="44" name="Rounded Rectangular Callout 43">
          <a:extLst>
            <a:ext uri="{FF2B5EF4-FFF2-40B4-BE49-F238E27FC236}">
              <a16:creationId xmlns:a16="http://schemas.microsoft.com/office/drawing/2014/main" id="{00000000-0008-0000-0000-00002C000000}"/>
            </a:ext>
          </a:extLst>
        </xdr:cNvPr>
        <xdr:cNvSpPr/>
      </xdr:nvSpPr>
      <xdr:spPr>
        <a:xfrm>
          <a:off x="8134350" y="3568700"/>
          <a:ext cx="1187450" cy="412750"/>
        </a:xfrm>
        <a:prstGeom prst="wedgeRoundRectCallout">
          <a:avLst>
            <a:gd name="adj1" fmla="val 74452"/>
            <a:gd name="adj2" fmla="val -2265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Magnitude Display</a:t>
          </a:r>
          <a:r>
            <a:rPr lang="en-US" sz="900" baseline="0">
              <a:ln>
                <a:noFill/>
              </a:ln>
              <a:solidFill>
                <a:schemeClr val="accent1"/>
              </a:solidFill>
              <a:latin typeface="Arial" pitchFamily="34" charset="0"/>
              <a:ea typeface="+mn-ea"/>
              <a:cs typeface="Arial" pitchFamily="34" charset="0"/>
            </a:rPr>
            <a:t> Mode</a:t>
          </a:r>
          <a:endParaRPr lang="en-US" sz="900">
            <a:ln>
              <a:noFill/>
            </a:ln>
            <a:solidFill>
              <a:schemeClr val="accent1"/>
            </a:solidFill>
            <a:latin typeface="Arial" pitchFamily="34" charset="0"/>
            <a:ea typeface="+mn-ea"/>
            <a:cs typeface="Arial" pitchFamily="34" charset="0"/>
          </a:endParaRPr>
        </a:p>
      </xdr:txBody>
    </xdr:sp>
    <xdr:clientData/>
  </xdr:twoCellAnchor>
  <xdr:twoCellAnchor>
    <xdr:from>
      <xdr:col>11</xdr:col>
      <xdr:colOff>641350</xdr:colOff>
      <xdr:row>10</xdr:row>
      <xdr:rowOff>146050</xdr:rowOff>
    </xdr:from>
    <xdr:to>
      <xdr:col>14</xdr:col>
      <xdr:colOff>50800</xdr:colOff>
      <xdr:row>15</xdr:row>
      <xdr:rowOff>95250</xdr:rowOff>
    </xdr:to>
    <xdr:sp macro="" textlink="">
      <xdr:nvSpPr>
        <xdr:cNvPr id="45" name="Rounded Rectangular Callout 44">
          <a:extLst>
            <a:ext uri="{FF2B5EF4-FFF2-40B4-BE49-F238E27FC236}">
              <a16:creationId xmlns:a16="http://schemas.microsoft.com/office/drawing/2014/main" id="{00000000-0008-0000-0000-00002D000000}"/>
            </a:ext>
          </a:extLst>
        </xdr:cNvPr>
        <xdr:cNvSpPr/>
      </xdr:nvSpPr>
      <xdr:spPr>
        <a:xfrm>
          <a:off x="7905750" y="2114550"/>
          <a:ext cx="1390650" cy="933450"/>
        </a:xfrm>
        <a:prstGeom prst="wedgeRoundRectCallout">
          <a:avLst>
            <a:gd name="adj1" fmla="val 46910"/>
            <a:gd name="adj2" fmla="val -86488"/>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Grey loss form boxes can be input, but are not usually associated with the given primary or secondary loss</a:t>
          </a:r>
        </a:p>
      </xdr:txBody>
    </xdr:sp>
    <xdr:clientData/>
  </xdr:twoCellAnchor>
  <xdr:twoCellAnchor>
    <xdr:from>
      <xdr:col>6</xdr:col>
      <xdr:colOff>95250</xdr:colOff>
      <xdr:row>1</xdr:row>
      <xdr:rowOff>228600</xdr:rowOff>
    </xdr:from>
    <xdr:to>
      <xdr:col>7</xdr:col>
      <xdr:colOff>622300</xdr:colOff>
      <xdr:row>3</xdr:row>
      <xdr:rowOff>190500</xdr:rowOff>
    </xdr:to>
    <xdr:sp macro="" textlink="">
      <xdr:nvSpPr>
        <xdr:cNvPr id="49" name="Rounded Rectangular Callout 48">
          <a:extLst>
            <a:ext uri="{FF2B5EF4-FFF2-40B4-BE49-F238E27FC236}">
              <a16:creationId xmlns:a16="http://schemas.microsoft.com/office/drawing/2014/main" id="{00000000-0008-0000-0000-000031000000}"/>
            </a:ext>
          </a:extLst>
        </xdr:cNvPr>
        <xdr:cNvSpPr/>
      </xdr:nvSpPr>
      <xdr:spPr>
        <a:xfrm>
          <a:off x="4178300" y="495300"/>
          <a:ext cx="1187450" cy="425450"/>
        </a:xfrm>
        <a:prstGeom prst="wedgeRoundRectCallout">
          <a:avLst>
            <a:gd name="adj1" fmla="val 69639"/>
            <a:gd name="adj2" fmla="val -5100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mn-lt"/>
              <a:ea typeface="+mn-ea"/>
              <a:cs typeface="+mn-cs"/>
            </a:rPr>
            <a:t>Select Event or Magnitude Graph</a:t>
          </a:r>
        </a:p>
      </xdr:txBody>
    </xdr:sp>
    <xdr:clientData/>
  </xdr:twoCellAnchor>
  <xdr:twoCellAnchor>
    <xdr:from>
      <xdr:col>15</xdr:col>
      <xdr:colOff>546100</xdr:colOff>
      <xdr:row>2</xdr:row>
      <xdr:rowOff>139700</xdr:rowOff>
    </xdr:from>
    <xdr:to>
      <xdr:col>17</xdr:col>
      <xdr:colOff>323850</xdr:colOff>
      <xdr:row>5</xdr:row>
      <xdr:rowOff>31750</xdr:rowOff>
    </xdr:to>
    <xdr:sp macro="" textlink="">
      <xdr:nvSpPr>
        <xdr:cNvPr id="47" name="Rounded Rectangular Callout 46">
          <a:extLst>
            <a:ext uri="{FF2B5EF4-FFF2-40B4-BE49-F238E27FC236}">
              <a16:creationId xmlns:a16="http://schemas.microsoft.com/office/drawing/2014/main" id="{00000000-0008-0000-0000-00002F000000}"/>
            </a:ext>
          </a:extLst>
        </xdr:cNvPr>
        <xdr:cNvSpPr/>
      </xdr:nvSpPr>
      <xdr:spPr>
        <a:xfrm>
          <a:off x="10572750" y="673100"/>
          <a:ext cx="1098550" cy="482600"/>
        </a:xfrm>
        <a:prstGeom prst="wedgeRoundRectCallout">
          <a:avLst>
            <a:gd name="adj1" fmla="val -21364"/>
            <a:gd name="adj2" fmla="val 114288"/>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Secondary Loss Frequency</a:t>
          </a:r>
        </a:p>
      </xdr:txBody>
    </xdr:sp>
    <xdr:clientData/>
  </xdr:twoCellAnchor>
  <xdr:twoCellAnchor>
    <xdr:from>
      <xdr:col>4</xdr:col>
      <xdr:colOff>95250</xdr:colOff>
      <xdr:row>22</xdr:row>
      <xdr:rowOff>31750</xdr:rowOff>
    </xdr:from>
    <xdr:to>
      <xdr:col>5</xdr:col>
      <xdr:colOff>69850</xdr:colOff>
      <xdr:row>23</xdr:row>
      <xdr:rowOff>63500</xdr:rowOff>
    </xdr:to>
    <xdr:sp macro="" textlink="">
      <xdr:nvSpPr>
        <xdr:cNvPr id="34" name="Rounded Rectangle 33">
          <a:hlinkClick xmlns:r="http://schemas.openxmlformats.org/officeDocument/2006/relationships" r:id="rId10"/>
          <a:extLst>
            <a:ext uri="{FF2B5EF4-FFF2-40B4-BE49-F238E27FC236}">
              <a16:creationId xmlns:a16="http://schemas.microsoft.com/office/drawing/2014/main" id="{00000000-0008-0000-0000-000022000000}"/>
            </a:ext>
          </a:extLst>
        </xdr:cNvPr>
        <xdr:cNvSpPr/>
      </xdr:nvSpPr>
      <xdr:spPr>
        <a:xfrm>
          <a:off x="2806700" y="4533900"/>
          <a:ext cx="622300" cy="22860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xdr:twoCellAnchor editAs="oneCell">
    <xdr:from>
      <xdr:col>11</xdr:col>
      <xdr:colOff>75666</xdr:colOff>
      <xdr:row>22</xdr:row>
      <xdr:rowOff>71904</xdr:rowOff>
    </xdr:from>
    <xdr:to>
      <xdr:col>11</xdr:col>
      <xdr:colOff>262780</xdr:colOff>
      <xdr:row>23</xdr:row>
      <xdr:rowOff>33804</xdr:rowOff>
    </xdr:to>
    <xdr:pic>
      <xdr:nvPicPr>
        <xdr:cNvPr id="46" name="Picture 45">
          <a:extLst>
            <a:ext uri="{FF2B5EF4-FFF2-40B4-BE49-F238E27FC236}">
              <a16:creationId xmlns:a16="http://schemas.microsoft.com/office/drawing/2014/main" id="{00000000-0008-0000-0000-00002E000000}"/>
            </a:ext>
          </a:extLst>
        </xdr:cNvPr>
        <xdr:cNvPicPr>
          <a:picLocks noChangeAspect="1" noChangeArrowheads="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87441" t="54587" b="25229"/>
        <a:stretch/>
      </xdr:blipFill>
      <xdr:spPr bwMode="auto">
        <a:xfrm>
          <a:off x="7348284" y="4688728"/>
          <a:ext cx="187114" cy="163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114809</xdr:colOff>
      <xdr:row>23</xdr:row>
      <xdr:rowOff>170295</xdr:rowOff>
    </xdr:from>
    <xdr:to>
      <xdr:col>5</xdr:col>
      <xdr:colOff>310602</xdr:colOff>
      <xdr:row>27</xdr:row>
      <xdr:rowOff>21069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178559" y="4869295"/>
          <a:ext cx="1491193" cy="536574"/>
        </a:xfrm>
        <a:prstGeom prst="rect">
          <a:avLst/>
        </a:prstGeom>
        <a:effectLst/>
      </xdr:spPr>
    </xdr:pic>
    <xdr:clientData/>
  </xdr:twoCellAnchor>
  <xdr:oneCellAnchor>
    <xdr:from>
      <xdr:col>12</xdr:col>
      <xdr:colOff>133350</xdr:colOff>
      <xdr:row>25</xdr:row>
      <xdr:rowOff>120650</xdr:rowOff>
    </xdr:from>
    <xdr:ext cx="3148939" cy="490327"/>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8026400" y="52133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27</xdr:row>
      <xdr:rowOff>101600</xdr:rowOff>
    </xdr:from>
    <xdr:ext cx="3179717" cy="490327"/>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0" y="598805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xdr:from>
      <xdr:col>3</xdr:col>
      <xdr:colOff>623570</xdr:colOff>
      <xdr:row>0</xdr:row>
      <xdr:rowOff>149504</xdr:rowOff>
    </xdr:from>
    <xdr:to>
      <xdr:col>4</xdr:col>
      <xdr:colOff>133350</xdr:colOff>
      <xdr:row>1</xdr:row>
      <xdr:rowOff>131301</xdr:rowOff>
    </xdr:to>
    <xdr:sp macro="" textlink="">
      <xdr:nvSpPr>
        <xdr:cNvPr id="7" name="Arc 6">
          <a:extLst>
            <a:ext uri="{FF2B5EF4-FFF2-40B4-BE49-F238E27FC236}">
              <a16:creationId xmlns:a16="http://schemas.microsoft.com/office/drawing/2014/main" id="{00000000-0008-0000-0100-000007000000}"/>
            </a:ext>
          </a:extLst>
        </xdr:cNvPr>
        <xdr:cNvSpPr/>
      </xdr:nvSpPr>
      <xdr:spPr>
        <a:xfrm rot="10800000" flipV="1">
          <a:off x="2185670" y="149504"/>
          <a:ext cx="182880" cy="178647"/>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513378</xdr:colOff>
      <xdr:row>23</xdr:row>
      <xdr:rowOff>52935</xdr:rowOff>
    </xdr:from>
    <xdr:to>
      <xdr:col>15</xdr:col>
      <xdr:colOff>35858</xdr:colOff>
      <xdr:row>24</xdr:row>
      <xdr:rowOff>38965</xdr:rowOff>
    </xdr:to>
    <xdr:sp macro="" textlink="">
      <xdr:nvSpPr>
        <xdr:cNvPr id="8" name="Arc 6">
          <a:extLst>
            <a:ext uri="{FF2B5EF4-FFF2-40B4-BE49-F238E27FC236}">
              <a16:creationId xmlns:a16="http://schemas.microsoft.com/office/drawing/2014/main" id="{00000000-0008-0000-0100-000008000000}"/>
            </a:ext>
          </a:extLst>
        </xdr:cNvPr>
        <xdr:cNvSpPr/>
      </xdr:nvSpPr>
      <xdr:spPr>
        <a:xfrm rot="5400000">
          <a:off x="7339628" y="4618585"/>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xdr:col>
      <xdr:colOff>632887</xdr:colOff>
      <xdr:row>23</xdr:row>
      <xdr:rowOff>58422</xdr:rowOff>
    </xdr:from>
    <xdr:to>
      <xdr:col>4</xdr:col>
      <xdr:colOff>153557</xdr:colOff>
      <xdr:row>24</xdr:row>
      <xdr:rowOff>44452</xdr:rowOff>
    </xdr:to>
    <xdr:sp macro="" textlink="">
      <xdr:nvSpPr>
        <xdr:cNvPr id="9" name="Arc 6">
          <a:extLst>
            <a:ext uri="{FF2B5EF4-FFF2-40B4-BE49-F238E27FC236}">
              <a16:creationId xmlns:a16="http://schemas.microsoft.com/office/drawing/2014/main" id="{00000000-0008-0000-0100-000009000000}"/>
            </a:ext>
          </a:extLst>
        </xdr:cNvPr>
        <xdr:cNvSpPr/>
      </xdr:nvSpPr>
      <xdr:spPr>
        <a:xfrm rot="16200000" flipH="1">
          <a:off x="2200432" y="4618627"/>
          <a:ext cx="182880" cy="19377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507678</xdr:colOff>
      <xdr:row>0</xdr:row>
      <xdr:rowOff>161443</xdr:rowOff>
    </xdr:from>
    <xdr:to>
      <xdr:col>15</xdr:col>
      <xdr:colOff>30158</xdr:colOff>
      <xdr:row>1</xdr:row>
      <xdr:rowOff>147473</xdr:rowOff>
    </xdr:to>
    <xdr:sp macro="" textlink="">
      <xdr:nvSpPr>
        <xdr:cNvPr id="10" name="Arc 6">
          <a:extLst>
            <a:ext uri="{FF2B5EF4-FFF2-40B4-BE49-F238E27FC236}">
              <a16:creationId xmlns:a16="http://schemas.microsoft.com/office/drawing/2014/main" id="{00000000-0008-0000-0100-00000A000000}"/>
            </a:ext>
          </a:extLst>
        </xdr:cNvPr>
        <xdr:cNvSpPr/>
      </xdr:nvSpPr>
      <xdr:spPr>
        <a:xfrm>
          <a:off x="7333928" y="1614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200025</xdr:colOff>
      <xdr:row>6</xdr:row>
      <xdr:rowOff>25127</xdr:rowOff>
    </xdr:from>
    <xdr:to>
      <xdr:col>3</xdr:col>
      <xdr:colOff>285750</xdr:colOff>
      <xdr:row>9</xdr:row>
      <xdr:rowOff>84530</xdr:rowOff>
    </xdr:to>
    <xdr:sp macro="" textlink="">
      <xdr:nvSpPr>
        <xdr:cNvPr id="61" name="TextBox 60">
          <a:extLst>
            <a:ext uri="{FF2B5EF4-FFF2-40B4-BE49-F238E27FC236}">
              <a16:creationId xmlns:a16="http://schemas.microsoft.com/office/drawing/2014/main" id="{00000000-0008-0000-0100-00003D000000}"/>
            </a:ext>
          </a:extLst>
        </xdr:cNvPr>
        <xdr:cNvSpPr txBox="1"/>
      </xdr:nvSpPr>
      <xdr:spPr>
        <a:xfrm>
          <a:off x="200025" y="1339577"/>
          <a:ext cx="1657350" cy="697578"/>
        </a:xfrm>
        <a:prstGeom prst="rect">
          <a:avLst/>
        </a:prstGeom>
        <a:solidFill>
          <a:schemeClr val="bg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Arial" pitchFamily="34" charset="0"/>
              <a:cs typeface="Arial" pitchFamily="34" charset="0"/>
            </a:rPr>
            <a:t>Open FAIR™</a:t>
          </a:r>
          <a:r>
            <a:rPr lang="en-US" sz="1800" baseline="0">
              <a:latin typeface="Arial" pitchFamily="34" charset="0"/>
              <a:cs typeface="Arial" pitchFamily="34" charset="0"/>
            </a:rPr>
            <a:t> </a:t>
          </a:r>
          <a:r>
            <a:rPr lang="en-US" sz="1400">
              <a:latin typeface="Arial" pitchFamily="34" charset="0"/>
              <a:cs typeface="Arial" pitchFamily="34" charset="0"/>
            </a:rPr>
            <a:t>Risk Analysis Tool</a:t>
          </a:r>
        </a:p>
      </xdr:txBody>
    </xdr:sp>
    <xdr:clientData/>
  </xdr:twoCellAnchor>
  <xdr:twoCellAnchor>
    <xdr:from>
      <xdr:col>1</xdr:col>
      <xdr:colOff>88900</xdr:colOff>
      <xdr:row>1</xdr:row>
      <xdr:rowOff>127000</xdr:rowOff>
    </xdr:from>
    <xdr:to>
      <xdr:col>3</xdr:col>
      <xdr:colOff>180521</xdr:colOff>
      <xdr:row>5</xdr:row>
      <xdr:rowOff>88900</xdr:rowOff>
    </xdr:to>
    <xdr:grpSp>
      <xdr:nvGrpSpPr>
        <xdr:cNvPr id="28" name="Group 27">
          <a:extLst>
            <a:ext uri="{FF2B5EF4-FFF2-40B4-BE49-F238E27FC236}">
              <a16:creationId xmlns:a16="http://schemas.microsoft.com/office/drawing/2014/main" id="{00000000-0008-0000-0100-00001C000000}"/>
            </a:ext>
          </a:extLst>
        </xdr:cNvPr>
        <xdr:cNvGrpSpPr/>
      </xdr:nvGrpSpPr>
      <xdr:grpSpPr>
        <a:xfrm>
          <a:off x="304800" y="330200"/>
          <a:ext cx="1437821" cy="850900"/>
          <a:chOff x="8324850" y="374650"/>
          <a:chExt cx="1450521" cy="787400"/>
        </a:xfrm>
        <a:effectLst>
          <a:outerShdw blurRad="50800" dist="38100" dir="2700000" algn="tl" rotWithShape="0">
            <a:prstClr val="black">
              <a:alpha val="40000"/>
            </a:prstClr>
          </a:outerShdw>
        </a:effectLst>
      </xdr:grpSpPr>
      <xdr:cxnSp macro="">
        <xdr:nvCxnSpPr>
          <xdr:cNvPr id="29" name="Straight Connector 28">
            <a:extLst>
              <a:ext uri="{FF2B5EF4-FFF2-40B4-BE49-F238E27FC236}">
                <a16:creationId xmlns:a16="http://schemas.microsoft.com/office/drawing/2014/main" id="{00000000-0008-0000-0100-00001D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id="{00000000-0008-0000-0100-00001E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31" name="Rounded Rectangle 30">
            <a:hlinkClick xmlns:r="http://schemas.openxmlformats.org/officeDocument/2006/relationships" r:id="rId1"/>
            <a:extLst>
              <a:ext uri="{FF2B5EF4-FFF2-40B4-BE49-F238E27FC236}">
                <a16:creationId xmlns:a16="http://schemas.microsoft.com/office/drawing/2014/main" id="{00000000-0008-0000-0100-00001F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32" name="Rounded Rectangle 31">
            <a:hlinkClick xmlns:r="http://schemas.openxmlformats.org/officeDocument/2006/relationships" r:id="rId2"/>
            <a:extLst>
              <a:ext uri="{FF2B5EF4-FFF2-40B4-BE49-F238E27FC236}">
                <a16:creationId xmlns:a16="http://schemas.microsoft.com/office/drawing/2014/main" id="{00000000-0008-0000-0100-000020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33" name="Rounded Rectangle 32">
            <a:hlinkClick xmlns:r="http://schemas.openxmlformats.org/officeDocument/2006/relationships" r:id="rId3"/>
            <a:extLst>
              <a:ext uri="{FF2B5EF4-FFF2-40B4-BE49-F238E27FC236}">
                <a16:creationId xmlns:a16="http://schemas.microsoft.com/office/drawing/2014/main" id="{00000000-0008-0000-0100-000021000000}"/>
              </a:ext>
            </a:extLst>
          </xdr:cNvPr>
          <xdr:cNvSpPr/>
        </xdr:nvSpPr>
        <xdr:spPr>
          <a:xfrm>
            <a:off x="8744857" y="374650"/>
            <a:ext cx="605971"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Risk</a:t>
            </a:r>
          </a:p>
        </xdr:txBody>
      </xdr:sp>
    </xdr:grpSp>
    <xdr:clientData/>
  </xdr:twoCellAnchor>
  <xdr:twoCellAnchor>
    <xdr:from>
      <xdr:col>0</xdr:col>
      <xdr:colOff>0</xdr:colOff>
      <xdr:row>0</xdr:row>
      <xdr:rowOff>0</xdr:rowOff>
    </xdr:from>
    <xdr:to>
      <xdr:col>1</xdr:col>
      <xdr:colOff>304800</xdr:colOff>
      <xdr:row>1</xdr:row>
      <xdr:rowOff>50800</xdr:rowOff>
    </xdr:to>
    <xdr:sp macro="" textlink="">
      <xdr:nvSpPr>
        <xdr:cNvPr id="34" name="Rounded Rectangle 33">
          <a:hlinkClick xmlns:r="http://schemas.openxmlformats.org/officeDocument/2006/relationships" r:id="rId4"/>
          <a:extLst>
            <a:ext uri="{FF2B5EF4-FFF2-40B4-BE49-F238E27FC236}">
              <a16:creationId xmlns:a16="http://schemas.microsoft.com/office/drawing/2014/main" id="{00000000-0008-0000-0100-000022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4</xdr:col>
      <xdr:colOff>152400</xdr:colOff>
      <xdr:row>2</xdr:row>
      <xdr:rowOff>6350</xdr:rowOff>
    </xdr:from>
    <xdr:to>
      <xdr:col>11</xdr:col>
      <xdr:colOff>654050</xdr:colOff>
      <xdr:row>13</xdr:row>
      <xdr:rowOff>51076</xdr:rowOff>
    </xdr:to>
    <xdr:graphicFrame macro="">
      <xdr:nvGraphicFramePr>
        <xdr:cNvPr id="21" name="Chart 20">
          <a:extLst>
            <a:ext uri="{FF2B5EF4-FFF2-40B4-BE49-F238E27FC236}">
              <a16:creationId xmlns:a16="http://schemas.microsoft.com/office/drawing/2014/main" id="{00000000-0008-0000-01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107950</xdr:colOff>
      <xdr:row>12</xdr:row>
      <xdr:rowOff>124294</xdr:rowOff>
    </xdr:from>
    <xdr:to>
      <xdr:col>12</xdr:col>
      <xdr:colOff>4348</xdr:colOff>
      <xdr:row>24</xdr:row>
      <xdr:rowOff>40586</xdr:rowOff>
    </xdr:to>
    <xdr:graphicFrame macro="">
      <xdr:nvGraphicFramePr>
        <xdr:cNvPr id="22" name="Chart 21">
          <a:extLst>
            <a:ext uri="{FF2B5EF4-FFF2-40B4-BE49-F238E27FC236}">
              <a16:creationId xmlns:a16="http://schemas.microsoft.com/office/drawing/2014/main" id="{00000000-0008-0000-01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508000</xdr:colOff>
      <xdr:row>11</xdr:row>
      <xdr:rowOff>19050</xdr:rowOff>
    </xdr:from>
    <xdr:to>
      <xdr:col>2</xdr:col>
      <xdr:colOff>469900</xdr:colOff>
      <xdr:row>12</xdr:row>
      <xdr:rowOff>69850</xdr:rowOff>
    </xdr:to>
    <xdr:sp macro="" textlink="">
      <xdr:nvSpPr>
        <xdr:cNvPr id="23" name="Rounded Rectangle 22">
          <a:hlinkClick xmlns:r="http://schemas.openxmlformats.org/officeDocument/2006/relationships" r:id="rId7"/>
          <a:extLst>
            <a:ext uri="{FF2B5EF4-FFF2-40B4-BE49-F238E27FC236}">
              <a16:creationId xmlns:a16="http://schemas.microsoft.com/office/drawing/2014/main" id="{00000000-0008-0000-0100-000017000000}"/>
            </a:ext>
          </a:extLst>
        </xdr:cNvPr>
        <xdr:cNvSpPr/>
      </xdr:nvSpPr>
      <xdr:spPr>
        <a:xfrm>
          <a:off x="723900" y="22225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xdr:from>
          <xdr:col>14</xdr:col>
          <xdr:colOff>76200</xdr:colOff>
          <xdr:row>2</xdr:row>
          <xdr:rowOff>50800</xdr:rowOff>
        </xdr:from>
        <xdr:to>
          <xdr:col>14</xdr:col>
          <xdr:colOff>266700</xdr:colOff>
          <xdr:row>4</xdr:row>
          <xdr:rowOff>63500</xdr:rowOff>
        </xdr:to>
        <xdr:sp macro="" textlink="">
          <xdr:nvSpPr>
            <xdr:cNvPr id="11265" name="Spinner 1" hidden="1">
              <a:extLst>
                <a:ext uri="{63B3BB69-23CF-44E3-9099-C40C66FF867C}">
                  <a14:compatExt spid="_x0000_s11265"/>
                </a:ext>
                <a:ext uri="{FF2B5EF4-FFF2-40B4-BE49-F238E27FC236}">
                  <a16:creationId xmlns:a16="http://schemas.microsoft.com/office/drawing/2014/main" id="{00000000-0008-0000-0100-000001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25400</xdr:colOff>
          <xdr:row>24</xdr:row>
          <xdr:rowOff>165100</xdr:rowOff>
        </xdr:from>
        <xdr:to>
          <xdr:col>9</xdr:col>
          <xdr:colOff>609600</xdr:colOff>
          <xdr:row>26</xdr:row>
          <xdr:rowOff>25400</xdr:rowOff>
        </xdr:to>
        <xdr:sp macro="" textlink="">
          <xdr:nvSpPr>
            <xdr:cNvPr id="11271" name="Spinner 7" hidden="1">
              <a:extLst>
                <a:ext uri="{63B3BB69-23CF-44E3-9099-C40C66FF867C}">
                  <a14:compatExt spid="_x0000_s11271"/>
                </a:ext>
                <a:ext uri="{FF2B5EF4-FFF2-40B4-BE49-F238E27FC236}">
                  <a16:creationId xmlns:a16="http://schemas.microsoft.com/office/drawing/2014/main" id="{00000000-0008-0000-0100-000007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11</xdr:col>
          <xdr:colOff>12700</xdr:colOff>
          <xdr:row>24</xdr:row>
          <xdr:rowOff>152400</xdr:rowOff>
        </xdr:from>
        <xdr:to>
          <xdr:col>11</xdr:col>
          <xdr:colOff>596900</xdr:colOff>
          <xdr:row>26</xdr:row>
          <xdr:rowOff>25400</xdr:rowOff>
        </xdr:to>
        <xdr:sp macro="" textlink="">
          <xdr:nvSpPr>
            <xdr:cNvPr id="11272" name="Spinner 8" hidden="1">
              <a:extLst>
                <a:ext uri="{63B3BB69-23CF-44E3-9099-C40C66FF867C}">
                  <a14:compatExt spid="_x0000_s11272"/>
                </a:ext>
                <a:ext uri="{FF2B5EF4-FFF2-40B4-BE49-F238E27FC236}">
                  <a16:creationId xmlns:a16="http://schemas.microsoft.com/office/drawing/2014/main" id="{00000000-0008-0000-0100-000008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25400</xdr:colOff>
          <xdr:row>24</xdr:row>
          <xdr:rowOff>165100</xdr:rowOff>
        </xdr:from>
        <xdr:to>
          <xdr:col>13</xdr:col>
          <xdr:colOff>228600</xdr:colOff>
          <xdr:row>26</xdr:row>
          <xdr:rowOff>63500</xdr:rowOff>
        </xdr:to>
        <xdr:sp macro="" textlink="">
          <xdr:nvSpPr>
            <xdr:cNvPr id="11274" name="Drop Down 10" hidden="1">
              <a:extLst>
                <a:ext uri="{63B3BB69-23CF-44E3-9099-C40C66FF867C}">
                  <a14:compatExt spid="_x0000_s11274"/>
                </a:ext>
                <a:ext uri="{FF2B5EF4-FFF2-40B4-BE49-F238E27FC236}">
                  <a16:creationId xmlns:a16="http://schemas.microsoft.com/office/drawing/2014/main" id="{00000000-0008-0000-0100-00000A2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63500</xdr:colOff>
          <xdr:row>2</xdr:row>
          <xdr:rowOff>25400</xdr:rowOff>
        </xdr:from>
        <xdr:to>
          <xdr:col>11</xdr:col>
          <xdr:colOff>228600</xdr:colOff>
          <xdr:row>3</xdr:row>
          <xdr:rowOff>25400</xdr:rowOff>
        </xdr:to>
        <xdr:sp macro="" textlink="">
          <xdr:nvSpPr>
            <xdr:cNvPr id="11280" name="Drop Down 16" hidden="1">
              <a:extLst>
                <a:ext uri="{63B3BB69-23CF-44E3-9099-C40C66FF867C}">
                  <a14:compatExt spid="_x0000_s11280"/>
                </a:ext>
                <a:ext uri="{FF2B5EF4-FFF2-40B4-BE49-F238E27FC236}">
                  <a16:creationId xmlns:a16="http://schemas.microsoft.com/office/drawing/2014/main" id="{00000000-0008-0000-0100-0000102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177477</xdr:colOff>
      <xdr:row>0</xdr:row>
      <xdr:rowOff>148743</xdr:rowOff>
    </xdr:from>
    <xdr:to>
      <xdr:col>12</xdr:col>
      <xdr:colOff>36507</xdr:colOff>
      <xdr:row>1</xdr:row>
      <xdr:rowOff>134773</xdr:rowOff>
    </xdr:to>
    <xdr:sp macro="" textlink="">
      <xdr:nvSpPr>
        <xdr:cNvPr id="18" name="Arc 6">
          <a:extLst>
            <a:ext uri="{FF2B5EF4-FFF2-40B4-BE49-F238E27FC236}">
              <a16:creationId xmlns:a16="http://schemas.microsoft.com/office/drawing/2014/main" id="{00000000-0008-0000-0200-000012000000}"/>
            </a:ext>
          </a:extLst>
        </xdr:cNvPr>
        <xdr:cNvSpPr/>
      </xdr:nvSpPr>
      <xdr:spPr>
        <a:xfrm>
          <a:off x="3574727" y="1487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11</xdr:col>
      <xdr:colOff>176826</xdr:colOff>
      <xdr:row>5</xdr:row>
      <xdr:rowOff>52934</xdr:rowOff>
    </xdr:from>
    <xdr:to>
      <xdr:col>12</xdr:col>
      <xdr:colOff>35856</xdr:colOff>
      <xdr:row>6</xdr:row>
      <xdr:rowOff>38964</xdr:rowOff>
    </xdr:to>
    <xdr:sp macro="" textlink="">
      <xdr:nvSpPr>
        <xdr:cNvPr id="19" name="Arc 6">
          <a:extLst>
            <a:ext uri="{FF2B5EF4-FFF2-40B4-BE49-F238E27FC236}">
              <a16:creationId xmlns:a16="http://schemas.microsoft.com/office/drawing/2014/main" id="{00000000-0008-0000-0200-000013000000}"/>
            </a:ext>
          </a:extLst>
        </xdr:cNvPr>
        <xdr:cNvSpPr/>
      </xdr:nvSpPr>
      <xdr:spPr>
        <a:xfrm rot="5400000">
          <a:off x="3574076" y="1037184"/>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326345</xdr:colOff>
      <xdr:row>0</xdr:row>
      <xdr:rowOff>151622</xdr:rowOff>
    </xdr:from>
    <xdr:to>
      <xdr:col>6</xdr:col>
      <xdr:colOff>128225</xdr:colOff>
      <xdr:row>1</xdr:row>
      <xdr:rowOff>137652</xdr:rowOff>
    </xdr:to>
    <xdr:sp macro="" textlink="">
      <xdr:nvSpPr>
        <xdr:cNvPr id="20" name="Arc 6">
          <a:extLst>
            <a:ext uri="{FF2B5EF4-FFF2-40B4-BE49-F238E27FC236}">
              <a16:creationId xmlns:a16="http://schemas.microsoft.com/office/drawing/2014/main" id="{00000000-0008-0000-0200-000014000000}"/>
            </a:ext>
          </a:extLst>
        </xdr:cNvPr>
        <xdr:cNvSpPr/>
      </xdr:nvSpPr>
      <xdr:spPr>
        <a:xfrm rot="10800000" flipV="1">
          <a:off x="1691595" y="1516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342900</xdr:colOff>
      <xdr:row>5</xdr:row>
      <xdr:rowOff>51338</xdr:rowOff>
    </xdr:from>
    <xdr:to>
      <xdr:col>6</xdr:col>
      <xdr:colOff>144780</xdr:colOff>
      <xdr:row>6</xdr:row>
      <xdr:rowOff>37368</xdr:rowOff>
    </xdr:to>
    <xdr:sp macro="" textlink="">
      <xdr:nvSpPr>
        <xdr:cNvPr id="21" name="Arc 6">
          <a:extLst>
            <a:ext uri="{FF2B5EF4-FFF2-40B4-BE49-F238E27FC236}">
              <a16:creationId xmlns:a16="http://schemas.microsoft.com/office/drawing/2014/main" id="{00000000-0008-0000-0200-000015000000}"/>
            </a:ext>
          </a:extLst>
        </xdr:cNvPr>
        <xdr:cNvSpPr/>
      </xdr:nvSpPr>
      <xdr:spPr>
        <a:xfrm rot="16200000" flipH="1">
          <a:off x="1708150" y="1035588"/>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xdr:col>
      <xdr:colOff>306589</xdr:colOff>
      <xdr:row>7</xdr:row>
      <xdr:rowOff>151622</xdr:rowOff>
    </xdr:from>
    <xdr:to>
      <xdr:col>3</xdr:col>
      <xdr:colOff>127519</xdr:colOff>
      <xdr:row>8</xdr:row>
      <xdr:rowOff>137652</xdr:rowOff>
    </xdr:to>
    <xdr:sp macro="" textlink="">
      <xdr:nvSpPr>
        <xdr:cNvPr id="24" name="Arc 6">
          <a:extLst>
            <a:ext uri="{FF2B5EF4-FFF2-40B4-BE49-F238E27FC236}">
              <a16:creationId xmlns:a16="http://schemas.microsoft.com/office/drawing/2014/main" id="{00000000-0008-0000-0200-000018000000}"/>
            </a:ext>
          </a:extLst>
        </xdr:cNvPr>
        <xdr:cNvSpPr/>
      </xdr:nvSpPr>
      <xdr:spPr>
        <a:xfrm rot="10800000" flipV="1">
          <a:off x="865389" y="1529572"/>
          <a:ext cx="16383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xdr:col>
      <xdr:colOff>304800</xdr:colOff>
      <xdr:row>12</xdr:row>
      <xdr:rowOff>51338</xdr:rowOff>
    </xdr:from>
    <xdr:to>
      <xdr:col>3</xdr:col>
      <xdr:colOff>125730</xdr:colOff>
      <xdr:row>13</xdr:row>
      <xdr:rowOff>37368</xdr:rowOff>
    </xdr:to>
    <xdr:sp macro="" textlink="">
      <xdr:nvSpPr>
        <xdr:cNvPr id="25" name="Arc 6">
          <a:extLst>
            <a:ext uri="{FF2B5EF4-FFF2-40B4-BE49-F238E27FC236}">
              <a16:creationId xmlns:a16="http://schemas.microsoft.com/office/drawing/2014/main" id="{00000000-0008-0000-0200-000019000000}"/>
            </a:ext>
          </a:extLst>
        </xdr:cNvPr>
        <xdr:cNvSpPr/>
      </xdr:nvSpPr>
      <xdr:spPr>
        <a:xfrm rot="16200000" flipH="1">
          <a:off x="752475" y="2423063"/>
          <a:ext cx="182880" cy="16383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15</xdr:col>
      <xdr:colOff>164777</xdr:colOff>
      <xdr:row>7</xdr:row>
      <xdr:rowOff>155093</xdr:rowOff>
    </xdr:from>
    <xdr:to>
      <xdr:col>16</xdr:col>
      <xdr:colOff>30157</xdr:colOff>
      <xdr:row>8</xdr:row>
      <xdr:rowOff>141123</xdr:rowOff>
    </xdr:to>
    <xdr:sp macro="" textlink="">
      <xdr:nvSpPr>
        <xdr:cNvPr id="27" name="Arc 6">
          <a:extLst>
            <a:ext uri="{FF2B5EF4-FFF2-40B4-BE49-F238E27FC236}">
              <a16:creationId xmlns:a16="http://schemas.microsoft.com/office/drawing/2014/main" id="{00000000-0008-0000-0200-00001B000000}"/>
            </a:ext>
          </a:extLst>
        </xdr:cNvPr>
        <xdr:cNvSpPr/>
      </xdr:nvSpPr>
      <xdr:spPr>
        <a:xfrm>
          <a:off x="4971727" y="15330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15</xdr:col>
      <xdr:colOff>170476</xdr:colOff>
      <xdr:row>12</xdr:row>
      <xdr:rowOff>51346</xdr:rowOff>
    </xdr:from>
    <xdr:to>
      <xdr:col>16</xdr:col>
      <xdr:colOff>35856</xdr:colOff>
      <xdr:row>13</xdr:row>
      <xdr:rowOff>37376</xdr:rowOff>
    </xdr:to>
    <xdr:sp macro="" textlink="">
      <xdr:nvSpPr>
        <xdr:cNvPr id="28" name="Arc 6">
          <a:extLst>
            <a:ext uri="{FF2B5EF4-FFF2-40B4-BE49-F238E27FC236}">
              <a16:creationId xmlns:a16="http://schemas.microsoft.com/office/drawing/2014/main" id="{00000000-0008-0000-0200-00001C000000}"/>
            </a:ext>
          </a:extLst>
        </xdr:cNvPr>
        <xdr:cNvSpPr/>
      </xdr:nvSpPr>
      <xdr:spPr>
        <a:xfrm rot="5400000">
          <a:off x="4920276" y="2413546"/>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267969</xdr:colOff>
      <xdr:row>7</xdr:row>
      <xdr:rowOff>151622</xdr:rowOff>
    </xdr:from>
    <xdr:to>
      <xdr:col>10</xdr:col>
      <xdr:colOff>146049</xdr:colOff>
      <xdr:row>8</xdr:row>
      <xdr:rowOff>137652</xdr:rowOff>
    </xdr:to>
    <xdr:sp macro="" textlink="">
      <xdr:nvSpPr>
        <xdr:cNvPr id="29" name="Arc 6">
          <a:extLst>
            <a:ext uri="{FF2B5EF4-FFF2-40B4-BE49-F238E27FC236}">
              <a16:creationId xmlns:a16="http://schemas.microsoft.com/office/drawing/2014/main" id="{00000000-0008-0000-0200-00001D000000}"/>
            </a:ext>
          </a:extLst>
        </xdr:cNvPr>
        <xdr:cNvSpPr/>
      </xdr:nvSpPr>
      <xdr:spPr>
        <a:xfrm rot="10800000" flipV="1">
          <a:off x="3023869" y="152957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266700</xdr:colOff>
      <xdr:row>12</xdr:row>
      <xdr:rowOff>51339</xdr:rowOff>
    </xdr:from>
    <xdr:to>
      <xdr:col>10</xdr:col>
      <xdr:colOff>144780</xdr:colOff>
      <xdr:row>13</xdr:row>
      <xdr:rowOff>37369</xdr:rowOff>
    </xdr:to>
    <xdr:sp macro="" textlink="">
      <xdr:nvSpPr>
        <xdr:cNvPr id="30" name="Arc 6">
          <a:extLst>
            <a:ext uri="{FF2B5EF4-FFF2-40B4-BE49-F238E27FC236}">
              <a16:creationId xmlns:a16="http://schemas.microsoft.com/office/drawing/2014/main" id="{00000000-0008-0000-0200-00001E000000}"/>
            </a:ext>
          </a:extLst>
        </xdr:cNvPr>
        <xdr:cNvSpPr/>
      </xdr:nvSpPr>
      <xdr:spPr>
        <a:xfrm rot="16200000" flipH="1">
          <a:off x="2997200" y="2413539"/>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29891</xdr:colOff>
      <xdr:row>14</xdr:row>
      <xdr:rowOff>158751</xdr:rowOff>
    </xdr:from>
    <xdr:to>
      <xdr:col>5</xdr:col>
      <xdr:colOff>210775</xdr:colOff>
      <xdr:row>15</xdr:row>
      <xdr:rowOff>137652</xdr:rowOff>
    </xdr:to>
    <xdr:sp macro="" textlink="">
      <xdr:nvSpPr>
        <xdr:cNvPr id="56" name="Arc 6">
          <a:extLst>
            <a:ext uri="{FF2B5EF4-FFF2-40B4-BE49-F238E27FC236}">
              <a16:creationId xmlns:a16="http://schemas.microsoft.com/office/drawing/2014/main" id="{00000000-0008-0000-0200-000038000000}"/>
            </a:ext>
          </a:extLst>
        </xdr:cNvPr>
        <xdr:cNvSpPr/>
      </xdr:nvSpPr>
      <xdr:spPr>
        <a:xfrm rot="10800000" flipV="1">
          <a:off x="1858691" y="2914651"/>
          <a:ext cx="180884"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28599</xdr:colOff>
      <xdr:row>14</xdr:row>
      <xdr:rowOff>165100</xdr:rowOff>
    </xdr:from>
    <xdr:to>
      <xdr:col>5</xdr:col>
      <xdr:colOff>28599</xdr:colOff>
      <xdr:row>22</xdr:row>
      <xdr:rowOff>50800</xdr:rowOff>
    </xdr:to>
    <xdr:cxnSp macro="">
      <xdr:nvCxnSpPr>
        <xdr:cNvPr id="7" name="Straight Connector 6">
          <a:extLst>
            <a:ext uri="{FF2B5EF4-FFF2-40B4-BE49-F238E27FC236}">
              <a16:creationId xmlns:a16="http://schemas.microsoft.com/office/drawing/2014/main" id="{00000000-0008-0000-0200-000007000000}"/>
            </a:ext>
          </a:extLst>
        </xdr:cNvPr>
        <xdr:cNvCxnSpPr/>
      </xdr:nvCxnSpPr>
      <xdr:spPr>
        <a:xfrm>
          <a:off x="1652385" y="2959100"/>
          <a:ext cx="0" cy="1482271"/>
        </a:xfrm>
        <a:prstGeom prst="line">
          <a:avLst/>
        </a:pr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158427</xdr:colOff>
      <xdr:row>14</xdr:row>
      <xdr:rowOff>155094</xdr:rowOff>
    </xdr:from>
    <xdr:to>
      <xdr:col>9</xdr:col>
      <xdr:colOff>36507</xdr:colOff>
      <xdr:row>15</xdr:row>
      <xdr:rowOff>141124</xdr:rowOff>
    </xdr:to>
    <xdr:sp macro="" textlink="">
      <xdr:nvSpPr>
        <xdr:cNvPr id="64" name="Arc 6">
          <a:extLst>
            <a:ext uri="{FF2B5EF4-FFF2-40B4-BE49-F238E27FC236}">
              <a16:creationId xmlns:a16="http://schemas.microsoft.com/office/drawing/2014/main" id="{00000000-0008-0000-0200-000040000000}"/>
            </a:ext>
          </a:extLst>
        </xdr:cNvPr>
        <xdr:cNvSpPr/>
      </xdr:nvSpPr>
      <xdr:spPr>
        <a:xfrm>
          <a:off x="2584127" y="2910994"/>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37778</xdr:colOff>
      <xdr:row>14</xdr:row>
      <xdr:rowOff>161445</xdr:rowOff>
    </xdr:from>
    <xdr:to>
      <xdr:col>5</xdr:col>
      <xdr:colOff>34511</xdr:colOff>
      <xdr:row>15</xdr:row>
      <xdr:rowOff>140346</xdr:rowOff>
    </xdr:to>
    <xdr:sp macro="" textlink="">
      <xdr:nvSpPr>
        <xdr:cNvPr id="62" name="Arc 6">
          <a:extLst>
            <a:ext uri="{FF2B5EF4-FFF2-40B4-BE49-F238E27FC236}">
              <a16:creationId xmlns:a16="http://schemas.microsoft.com/office/drawing/2014/main" id="{00000000-0008-0000-0200-00003E000000}"/>
            </a:ext>
          </a:extLst>
        </xdr:cNvPr>
        <xdr:cNvSpPr/>
      </xdr:nvSpPr>
      <xdr:spPr>
        <a:xfrm>
          <a:off x="1447478" y="2917345"/>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17</xdr:col>
      <xdr:colOff>210632</xdr:colOff>
      <xdr:row>21</xdr:row>
      <xdr:rowOff>39251</xdr:rowOff>
    </xdr:from>
    <xdr:to>
      <xdr:col>18</xdr:col>
      <xdr:colOff>30716</xdr:colOff>
      <xdr:row>22</xdr:row>
      <xdr:rowOff>29700</xdr:rowOff>
    </xdr:to>
    <xdr:sp macro="" textlink="">
      <xdr:nvSpPr>
        <xdr:cNvPr id="66" name="Arc 6">
          <a:extLst>
            <a:ext uri="{FF2B5EF4-FFF2-40B4-BE49-F238E27FC236}">
              <a16:creationId xmlns:a16="http://schemas.microsoft.com/office/drawing/2014/main" id="{00000000-0008-0000-0200-000042000000}"/>
            </a:ext>
          </a:extLst>
        </xdr:cNvPr>
        <xdr:cNvSpPr/>
      </xdr:nvSpPr>
      <xdr:spPr>
        <a:xfrm rot="5400000">
          <a:off x="6513549" y="4175734"/>
          <a:ext cx="187299" cy="1820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307295</xdr:colOff>
      <xdr:row>14</xdr:row>
      <xdr:rowOff>164322</xdr:rowOff>
    </xdr:from>
    <xdr:to>
      <xdr:col>14</xdr:col>
      <xdr:colOff>115525</xdr:colOff>
      <xdr:row>15</xdr:row>
      <xdr:rowOff>150352</xdr:rowOff>
    </xdr:to>
    <xdr:sp macro="" textlink="">
      <xdr:nvSpPr>
        <xdr:cNvPr id="67" name="Arc 6">
          <a:extLst>
            <a:ext uri="{FF2B5EF4-FFF2-40B4-BE49-F238E27FC236}">
              <a16:creationId xmlns:a16="http://schemas.microsoft.com/office/drawing/2014/main" id="{00000000-0008-0000-0200-000043000000}"/>
            </a:ext>
          </a:extLst>
        </xdr:cNvPr>
        <xdr:cNvSpPr/>
      </xdr:nvSpPr>
      <xdr:spPr>
        <a:xfrm rot="10800000" flipV="1">
          <a:off x="4390345" y="29202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301649</xdr:colOff>
      <xdr:row>15</xdr:row>
      <xdr:rowOff>0</xdr:rowOff>
    </xdr:from>
    <xdr:to>
      <xdr:col>13</xdr:col>
      <xdr:colOff>301649</xdr:colOff>
      <xdr:row>22</xdr:row>
      <xdr:rowOff>82550</xdr:rowOff>
    </xdr:to>
    <xdr:cxnSp macro="">
      <xdr:nvCxnSpPr>
        <xdr:cNvPr id="69" name="Straight Connector 68">
          <a:extLst>
            <a:ext uri="{FF2B5EF4-FFF2-40B4-BE49-F238E27FC236}">
              <a16:creationId xmlns:a16="http://schemas.microsoft.com/office/drawing/2014/main" id="{00000000-0008-0000-0200-000045000000}"/>
            </a:ext>
          </a:extLst>
        </xdr:cNvPr>
        <xdr:cNvCxnSpPr/>
      </xdr:nvCxnSpPr>
      <xdr:spPr>
        <a:xfrm>
          <a:off x="4384699" y="2952750"/>
          <a:ext cx="0" cy="1460500"/>
        </a:xfrm>
        <a:prstGeom prst="line">
          <a:avLst/>
        </a:pr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198645</xdr:colOff>
      <xdr:row>14</xdr:row>
      <xdr:rowOff>155095</xdr:rowOff>
    </xdr:from>
    <xdr:to>
      <xdr:col>18</xdr:col>
      <xdr:colOff>30278</xdr:colOff>
      <xdr:row>15</xdr:row>
      <xdr:rowOff>133996</xdr:rowOff>
    </xdr:to>
    <xdr:sp macro="" textlink="">
      <xdr:nvSpPr>
        <xdr:cNvPr id="70" name="Arc 6">
          <a:extLst>
            <a:ext uri="{FF2B5EF4-FFF2-40B4-BE49-F238E27FC236}">
              <a16:creationId xmlns:a16="http://schemas.microsoft.com/office/drawing/2014/main" id="{00000000-0008-0000-0200-000046000000}"/>
            </a:ext>
          </a:extLst>
        </xdr:cNvPr>
        <xdr:cNvSpPr/>
      </xdr:nvSpPr>
      <xdr:spPr>
        <a:xfrm>
          <a:off x="6485145" y="2970262"/>
          <a:ext cx="191466" cy="17998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69528</xdr:colOff>
      <xdr:row>14</xdr:row>
      <xdr:rowOff>148746</xdr:rowOff>
    </xdr:from>
    <xdr:to>
      <xdr:col>13</xdr:col>
      <xdr:colOff>313911</xdr:colOff>
      <xdr:row>15</xdr:row>
      <xdr:rowOff>127647</xdr:rowOff>
    </xdr:to>
    <xdr:sp macro="" textlink="">
      <xdr:nvSpPr>
        <xdr:cNvPr id="74" name="Arc 6">
          <a:extLst>
            <a:ext uri="{FF2B5EF4-FFF2-40B4-BE49-F238E27FC236}">
              <a16:creationId xmlns:a16="http://schemas.microsoft.com/office/drawing/2014/main" id="{00000000-0008-0000-0200-00004A000000}"/>
            </a:ext>
          </a:extLst>
        </xdr:cNvPr>
        <xdr:cNvSpPr/>
      </xdr:nvSpPr>
      <xdr:spPr>
        <a:xfrm>
          <a:off x="4152578" y="2904646"/>
          <a:ext cx="2443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267969</xdr:colOff>
      <xdr:row>14</xdr:row>
      <xdr:rowOff>151622</xdr:rowOff>
    </xdr:from>
    <xdr:to>
      <xdr:col>10</xdr:col>
      <xdr:colOff>146049</xdr:colOff>
      <xdr:row>15</xdr:row>
      <xdr:rowOff>137652</xdr:rowOff>
    </xdr:to>
    <xdr:sp macro="" textlink="">
      <xdr:nvSpPr>
        <xdr:cNvPr id="75" name="Arc 6">
          <a:extLst>
            <a:ext uri="{FF2B5EF4-FFF2-40B4-BE49-F238E27FC236}">
              <a16:creationId xmlns:a16="http://schemas.microsoft.com/office/drawing/2014/main" id="{00000000-0008-0000-0200-00004B000000}"/>
            </a:ext>
          </a:extLst>
        </xdr:cNvPr>
        <xdr:cNvSpPr/>
      </xdr:nvSpPr>
      <xdr:spPr>
        <a:xfrm rot="10800000" flipV="1">
          <a:off x="2998469" y="29075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209228</xdr:colOff>
      <xdr:row>7</xdr:row>
      <xdr:rowOff>161445</xdr:rowOff>
    </xdr:from>
    <xdr:to>
      <xdr:col>9</xdr:col>
      <xdr:colOff>40861</xdr:colOff>
      <xdr:row>8</xdr:row>
      <xdr:rowOff>140346</xdr:rowOff>
    </xdr:to>
    <xdr:sp macro="" textlink="">
      <xdr:nvSpPr>
        <xdr:cNvPr id="77" name="Arc 6">
          <a:extLst>
            <a:ext uri="{FF2B5EF4-FFF2-40B4-BE49-F238E27FC236}">
              <a16:creationId xmlns:a16="http://schemas.microsoft.com/office/drawing/2014/main" id="{00000000-0008-0000-0200-00004D000000}"/>
            </a:ext>
          </a:extLst>
        </xdr:cNvPr>
        <xdr:cNvSpPr/>
      </xdr:nvSpPr>
      <xdr:spPr>
        <a:xfrm>
          <a:off x="3054028" y="1539395"/>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157776</xdr:colOff>
      <xdr:row>12</xdr:row>
      <xdr:rowOff>51348</xdr:rowOff>
    </xdr:from>
    <xdr:to>
      <xdr:col>9</xdr:col>
      <xdr:colOff>35856</xdr:colOff>
      <xdr:row>13</xdr:row>
      <xdr:rowOff>37378</xdr:rowOff>
    </xdr:to>
    <xdr:sp macro="" textlink="">
      <xdr:nvSpPr>
        <xdr:cNvPr id="78" name="Arc 6">
          <a:extLst>
            <a:ext uri="{FF2B5EF4-FFF2-40B4-BE49-F238E27FC236}">
              <a16:creationId xmlns:a16="http://schemas.microsoft.com/office/drawing/2014/main" id="{00000000-0008-0000-0200-00004E000000}"/>
            </a:ext>
          </a:extLst>
        </xdr:cNvPr>
        <xdr:cNvSpPr/>
      </xdr:nvSpPr>
      <xdr:spPr>
        <a:xfrm rot="5400000">
          <a:off x="2583476" y="2413548"/>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33564</xdr:colOff>
      <xdr:row>21</xdr:row>
      <xdr:rowOff>46016</xdr:rowOff>
    </xdr:from>
    <xdr:to>
      <xdr:col>5</xdr:col>
      <xdr:colOff>201085</xdr:colOff>
      <xdr:row>22</xdr:row>
      <xdr:rowOff>36466</xdr:rowOff>
    </xdr:to>
    <xdr:sp macro="" textlink="">
      <xdr:nvSpPr>
        <xdr:cNvPr id="49" name="Arc 6">
          <a:extLst>
            <a:ext uri="{FF2B5EF4-FFF2-40B4-BE49-F238E27FC236}">
              <a16:creationId xmlns:a16="http://schemas.microsoft.com/office/drawing/2014/main" id="{00000000-0008-0000-0200-000031000000}"/>
            </a:ext>
          </a:extLst>
        </xdr:cNvPr>
        <xdr:cNvSpPr/>
      </xdr:nvSpPr>
      <xdr:spPr>
        <a:xfrm rot="16200000" flipH="1">
          <a:off x="1655625" y="4189755"/>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257609</xdr:colOff>
      <xdr:row>21</xdr:row>
      <xdr:rowOff>45903</xdr:rowOff>
    </xdr:from>
    <xdr:to>
      <xdr:col>10</xdr:col>
      <xdr:colOff>135689</xdr:colOff>
      <xdr:row>22</xdr:row>
      <xdr:rowOff>31933</xdr:rowOff>
    </xdr:to>
    <xdr:sp macro="" textlink="">
      <xdr:nvSpPr>
        <xdr:cNvPr id="50" name="Arc 6">
          <a:extLst>
            <a:ext uri="{FF2B5EF4-FFF2-40B4-BE49-F238E27FC236}">
              <a16:creationId xmlns:a16="http://schemas.microsoft.com/office/drawing/2014/main" id="{00000000-0008-0000-0200-000032000000}"/>
            </a:ext>
          </a:extLst>
        </xdr:cNvPr>
        <xdr:cNvSpPr/>
      </xdr:nvSpPr>
      <xdr:spPr>
        <a:xfrm rot="16200000" flipH="1">
          <a:off x="3013509" y="417975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302057</xdr:colOff>
      <xdr:row>21</xdr:row>
      <xdr:rowOff>39672</xdr:rowOff>
    </xdr:from>
    <xdr:to>
      <xdr:col>14</xdr:col>
      <xdr:colOff>94928</xdr:colOff>
      <xdr:row>22</xdr:row>
      <xdr:rowOff>30122</xdr:rowOff>
    </xdr:to>
    <xdr:sp macro="" textlink="">
      <xdr:nvSpPr>
        <xdr:cNvPr id="51" name="Arc 6">
          <a:extLst>
            <a:ext uri="{FF2B5EF4-FFF2-40B4-BE49-F238E27FC236}">
              <a16:creationId xmlns:a16="http://schemas.microsoft.com/office/drawing/2014/main" id="{00000000-0008-0000-0200-000033000000}"/>
            </a:ext>
          </a:extLst>
        </xdr:cNvPr>
        <xdr:cNvSpPr/>
      </xdr:nvSpPr>
      <xdr:spPr>
        <a:xfrm rot="16200000" flipH="1">
          <a:off x="4375218" y="4183411"/>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38880</xdr:colOff>
      <xdr:row>21</xdr:row>
      <xdr:rowOff>43183</xdr:rowOff>
    </xdr:from>
    <xdr:to>
      <xdr:col>5</xdr:col>
      <xdr:colOff>31321</xdr:colOff>
      <xdr:row>22</xdr:row>
      <xdr:rowOff>33633</xdr:rowOff>
    </xdr:to>
    <xdr:sp macro="" textlink="">
      <xdr:nvSpPr>
        <xdr:cNvPr id="54" name="Arc 6">
          <a:extLst>
            <a:ext uri="{FF2B5EF4-FFF2-40B4-BE49-F238E27FC236}">
              <a16:creationId xmlns:a16="http://schemas.microsoft.com/office/drawing/2014/main" id="{00000000-0008-0000-0200-000036000000}"/>
            </a:ext>
          </a:extLst>
        </xdr:cNvPr>
        <xdr:cNvSpPr/>
      </xdr:nvSpPr>
      <xdr:spPr>
        <a:xfrm rot="5400000">
          <a:off x="1481326" y="4182387"/>
          <a:ext cx="187300" cy="1765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162314</xdr:colOff>
      <xdr:row>21</xdr:row>
      <xdr:rowOff>46815</xdr:rowOff>
    </xdr:from>
    <xdr:to>
      <xdr:col>9</xdr:col>
      <xdr:colOff>40394</xdr:colOff>
      <xdr:row>22</xdr:row>
      <xdr:rowOff>32845</xdr:rowOff>
    </xdr:to>
    <xdr:sp macro="" textlink="">
      <xdr:nvSpPr>
        <xdr:cNvPr id="59" name="Arc 6">
          <a:extLst>
            <a:ext uri="{FF2B5EF4-FFF2-40B4-BE49-F238E27FC236}">
              <a16:creationId xmlns:a16="http://schemas.microsoft.com/office/drawing/2014/main" id="{00000000-0008-0000-0200-00003B000000}"/>
            </a:ext>
          </a:extLst>
        </xdr:cNvPr>
        <xdr:cNvSpPr/>
      </xdr:nvSpPr>
      <xdr:spPr>
        <a:xfrm rot="5400000">
          <a:off x="2588014" y="4180665"/>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125968</xdr:colOff>
      <xdr:row>21</xdr:row>
      <xdr:rowOff>54078</xdr:rowOff>
    </xdr:from>
    <xdr:to>
      <xdr:col>13</xdr:col>
      <xdr:colOff>302560</xdr:colOff>
      <xdr:row>22</xdr:row>
      <xdr:rowOff>44528</xdr:rowOff>
    </xdr:to>
    <xdr:sp macro="" textlink="">
      <xdr:nvSpPr>
        <xdr:cNvPr id="60" name="Arc 6">
          <a:extLst>
            <a:ext uri="{FF2B5EF4-FFF2-40B4-BE49-F238E27FC236}">
              <a16:creationId xmlns:a16="http://schemas.microsoft.com/office/drawing/2014/main" id="{00000000-0008-0000-0200-00003C000000}"/>
            </a:ext>
          </a:extLst>
        </xdr:cNvPr>
        <xdr:cNvSpPr/>
      </xdr:nvSpPr>
      <xdr:spPr>
        <a:xfrm rot="5400000">
          <a:off x="4203664" y="4193282"/>
          <a:ext cx="187300" cy="176592"/>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19</xdr:col>
      <xdr:colOff>41504</xdr:colOff>
      <xdr:row>0</xdr:row>
      <xdr:rowOff>155855</xdr:rowOff>
    </xdr:from>
    <xdr:to>
      <xdr:col>20</xdr:col>
      <xdr:colOff>129134</xdr:colOff>
      <xdr:row>1</xdr:row>
      <xdr:rowOff>141885</xdr:rowOff>
    </xdr:to>
    <xdr:sp macro="" textlink="">
      <xdr:nvSpPr>
        <xdr:cNvPr id="73" name="Arc 6">
          <a:extLst>
            <a:ext uri="{FF2B5EF4-FFF2-40B4-BE49-F238E27FC236}">
              <a16:creationId xmlns:a16="http://schemas.microsoft.com/office/drawing/2014/main" id="{00000000-0008-0000-0200-000049000000}"/>
            </a:ext>
          </a:extLst>
        </xdr:cNvPr>
        <xdr:cNvSpPr/>
      </xdr:nvSpPr>
      <xdr:spPr>
        <a:xfrm rot="10800000" flipV="1">
          <a:off x="6010504" y="155855"/>
          <a:ext cx="1701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30</xdr:col>
      <xdr:colOff>139575</xdr:colOff>
      <xdr:row>23</xdr:row>
      <xdr:rowOff>46584</xdr:rowOff>
    </xdr:from>
    <xdr:to>
      <xdr:col>31</xdr:col>
      <xdr:colOff>35859</xdr:colOff>
      <xdr:row>24</xdr:row>
      <xdr:rowOff>37033</xdr:rowOff>
    </xdr:to>
    <xdr:sp macro="" textlink="">
      <xdr:nvSpPr>
        <xdr:cNvPr id="76" name="Arc 6">
          <a:extLst>
            <a:ext uri="{FF2B5EF4-FFF2-40B4-BE49-F238E27FC236}">
              <a16:creationId xmlns:a16="http://schemas.microsoft.com/office/drawing/2014/main" id="{00000000-0008-0000-0200-00004C000000}"/>
            </a:ext>
          </a:extLst>
        </xdr:cNvPr>
        <xdr:cNvSpPr/>
      </xdr:nvSpPr>
      <xdr:spPr>
        <a:xfrm rot="5400000">
          <a:off x="11420892" y="4659317"/>
          <a:ext cx="187299" cy="1693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19</xdr:col>
      <xdr:colOff>44757</xdr:colOff>
      <xdr:row>23</xdr:row>
      <xdr:rowOff>52072</xdr:rowOff>
    </xdr:from>
    <xdr:to>
      <xdr:col>20</xdr:col>
      <xdr:colOff>132387</xdr:colOff>
      <xdr:row>24</xdr:row>
      <xdr:rowOff>38102</xdr:rowOff>
    </xdr:to>
    <xdr:sp macro="" textlink="">
      <xdr:nvSpPr>
        <xdr:cNvPr id="79" name="Arc 6">
          <a:extLst>
            <a:ext uri="{FF2B5EF4-FFF2-40B4-BE49-F238E27FC236}">
              <a16:creationId xmlns:a16="http://schemas.microsoft.com/office/drawing/2014/main" id="{00000000-0008-0000-0200-00004F000000}"/>
            </a:ext>
          </a:extLst>
        </xdr:cNvPr>
        <xdr:cNvSpPr/>
      </xdr:nvSpPr>
      <xdr:spPr>
        <a:xfrm rot="16200000" flipH="1">
          <a:off x="6007407" y="4585972"/>
          <a:ext cx="182880" cy="1701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30</xdr:col>
      <xdr:colOff>133028</xdr:colOff>
      <xdr:row>0</xdr:row>
      <xdr:rowOff>161444</xdr:rowOff>
    </xdr:from>
    <xdr:to>
      <xdr:col>31</xdr:col>
      <xdr:colOff>40861</xdr:colOff>
      <xdr:row>1</xdr:row>
      <xdr:rowOff>140345</xdr:rowOff>
    </xdr:to>
    <xdr:sp macro="" textlink="">
      <xdr:nvSpPr>
        <xdr:cNvPr id="80" name="Arc 6">
          <a:extLst>
            <a:ext uri="{FF2B5EF4-FFF2-40B4-BE49-F238E27FC236}">
              <a16:creationId xmlns:a16="http://schemas.microsoft.com/office/drawing/2014/main" id="{00000000-0008-0000-0200-000050000000}"/>
            </a:ext>
          </a:extLst>
        </xdr:cNvPr>
        <xdr:cNvSpPr/>
      </xdr:nvSpPr>
      <xdr:spPr>
        <a:xfrm>
          <a:off x="11423328" y="161444"/>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0</xdr:colOff>
      <xdr:row>0</xdr:row>
      <xdr:rowOff>0</xdr:rowOff>
    </xdr:from>
    <xdr:to>
      <xdr:col>2</xdr:col>
      <xdr:colOff>50800</xdr:colOff>
      <xdr:row>1</xdr:row>
      <xdr:rowOff>50800</xdr:rowOff>
    </xdr:to>
    <xdr:sp macro="" textlink="">
      <xdr:nvSpPr>
        <xdr:cNvPr id="55" name="Rounded Rectangle 54">
          <a:hlinkClick xmlns:r="http://schemas.openxmlformats.org/officeDocument/2006/relationships" r:id="rId1"/>
          <a:extLst>
            <a:ext uri="{FF2B5EF4-FFF2-40B4-BE49-F238E27FC236}">
              <a16:creationId xmlns:a16="http://schemas.microsoft.com/office/drawing/2014/main" id="{00000000-0008-0000-0200-000037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xdr:col>
      <xdr:colOff>177800</xdr:colOff>
      <xdr:row>1</xdr:row>
      <xdr:rowOff>133350</xdr:rowOff>
    </xdr:from>
    <xdr:to>
      <xdr:col>5</xdr:col>
      <xdr:colOff>320221</xdr:colOff>
      <xdr:row>5</xdr:row>
      <xdr:rowOff>133350</xdr:rowOff>
    </xdr:to>
    <xdr:grpSp>
      <xdr:nvGrpSpPr>
        <xdr:cNvPr id="57" name="Group 56">
          <a:extLst>
            <a:ext uri="{FF2B5EF4-FFF2-40B4-BE49-F238E27FC236}">
              <a16:creationId xmlns:a16="http://schemas.microsoft.com/office/drawing/2014/main" id="{00000000-0008-0000-0200-000039000000}"/>
            </a:ext>
          </a:extLst>
        </xdr:cNvPr>
        <xdr:cNvGrpSpPr/>
      </xdr:nvGrpSpPr>
      <xdr:grpSpPr>
        <a:xfrm>
          <a:off x="317500" y="323850"/>
          <a:ext cx="1425121" cy="762000"/>
          <a:chOff x="8324850" y="374650"/>
          <a:chExt cx="1450521" cy="787400"/>
        </a:xfrm>
        <a:effectLst>
          <a:outerShdw blurRad="50800" dist="38100" dir="2700000" algn="tl" rotWithShape="0">
            <a:prstClr val="black">
              <a:alpha val="40000"/>
            </a:prstClr>
          </a:outerShdw>
        </a:effectLst>
      </xdr:grpSpPr>
      <xdr:cxnSp macro="">
        <xdr:nvCxnSpPr>
          <xdr:cNvPr id="58" name="Straight Connector 57">
            <a:extLst>
              <a:ext uri="{FF2B5EF4-FFF2-40B4-BE49-F238E27FC236}">
                <a16:creationId xmlns:a16="http://schemas.microsoft.com/office/drawing/2014/main" id="{00000000-0008-0000-0200-00003A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61" name="Straight Connector 60">
            <a:extLst>
              <a:ext uri="{FF2B5EF4-FFF2-40B4-BE49-F238E27FC236}">
                <a16:creationId xmlns:a16="http://schemas.microsoft.com/office/drawing/2014/main" id="{00000000-0008-0000-0200-00003D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Rounded Rectangle 62">
            <a:hlinkClick xmlns:r="http://schemas.openxmlformats.org/officeDocument/2006/relationships" r:id="rId2"/>
            <a:extLst>
              <a:ext uri="{FF2B5EF4-FFF2-40B4-BE49-F238E27FC236}">
                <a16:creationId xmlns:a16="http://schemas.microsoft.com/office/drawing/2014/main" id="{00000000-0008-0000-0200-00003F000000}"/>
              </a:ext>
            </a:extLst>
          </xdr:cNvPr>
          <xdr:cNvSpPr/>
        </xdr:nvSpPr>
        <xdr:spPr>
          <a:xfrm>
            <a:off x="8324850" y="839107"/>
            <a:ext cx="605971"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Loss Event Frequency</a:t>
            </a:r>
          </a:p>
        </xdr:txBody>
      </xdr:sp>
      <xdr:sp macro="" textlink="">
        <xdr:nvSpPr>
          <xdr:cNvPr id="65" name="Rounded Rectangle 64">
            <a:hlinkClick xmlns:r="http://schemas.openxmlformats.org/officeDocument/2006/relationships" r:id="rId3"/>
            <a:extLst>
              <a:ext uri="{FF2B5EF4-FFF2-40B4-BE49-F238E27FC236}">
                <a16:creationId xmlns:a16="http://schemas.microsoft.com/office/drawing/2014/main" id="{00000000-0008-0000-0200-000041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68" name="Rounded Rectangle 67">
            <a:hlinkClick xmlns:r="http://schemas.openxmlformats.org/officeDocument/2006/relationships" r:id="rId4"/>
            <a:extLst>
              <a:ext uri="{FF2B5EF4-FFF2-40B4-BE49-F238E27FC236}">
                <a16:creationId xmlns:a16="http://schemas.microsoft.com/office/drawing/2014/main" id="{00000000-0008-0000-0200-000044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20</xdr:col>
      <xdr:colOff>88900</xdr:colOff>
      <xdr:row>1</xdr:row>
      <xdr:rowOff>177800</xdr:rowOff>
    </xdr:from>
    <xdr:to>
      <xdr:col>27</xdr:col>
      <xdr:colOff>306584</xdr:colOff>
      <xdr:row>12</xdr:row>
      <xdr:rowOff>63776</xdr:rowOff>
    </xdr:to>
    <xdr:graphicFrame macro="">
      <xdr:nvGraphicFramePr>
        <xdr:cNvPr id="89" name="Chart 88">
          <a:extLst>
            <a:ext uri="{FF2B5EF4-FFF2-40B4-BE49-F238E27FC236}">
              <a16:creationId xmlns:a16="http://schemas.microsoft.com/office/drawing/2014/main" id="{00000000-0008-0000-02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88900</xdr:colOff>
      <xdr:row>13</xdr:row>
      <xdr:rowOff>2208</xdr:rowOff>
    </xdr:from>
    <xdr:to>
      <xdr:col>27</xdr:col>
      <xdr:colOff>377411</xdr:colOff>
      <xdr:row>23</xdr:row>
      <xdr:rowOff>148536</xdr:rowOff>
    </xdr:to>
    <xdr:graphicFrame macro="">
      <xdr:nvGraphicFramePr>
        <xdr:cNvPr id="90" name="Chart 89">
          <a:extLst>
            <a:ext uri="{FF2B5EF4-FFF2-40B4-BE49-F238E27FC236}">
              <a16:creationId xmlns:a16="http://schemas.microsoft.com/office/drawing/2014/main" id="{00000000-0008-0000-02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355600</xdr:colOff>
      <xdr:row>2</xdr:row>
      <xdr:rowOff>101600</xdr:rowOff>
    </xdr:from>
    <xdr:to>
      <xdr:col>15</xdr:col>
      <xdr:colOff>279400</xdr:colOff>
      <xdr:row>3</xdr:row>
      <xdr:rowOff>152400</xdr:rowOff>
    </xdr:to>
    <xdr:sp macro="" textlink="">
      <xdr:nvSpPr>
        <xdr:cNvPr id="72" name="Rounded Rectangle 71">
          <a:hlinkClick xmlns:r="http://schemas.openxmlformats.org/officeDocument/2006/relationships" r:id="rId7"/>
          <a:extLst>
            <a:ext uri="{FF2B5EF4-FFF2-40B4-BE49-F238E27FC236}">
              <a16:creationId xmlns:a16="http://schemas.microsoft.com/office/drawing/2014/main" id="{00000000-0008-0000-0200-000048000000}"/>
            </a:ext>
          </a:extLst>
        </xdr:cNvPr>
        <xdr:cNvSpPr/>
      </xdr:nvSpPr>
      <xdr:spPr>
        <a:xfrm>
          <a:off x="4394200" y="4953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editAs="oneCell">
        <xdr:from>
          <xdr:col>3</xdr:col>
          <xdr:colOff>76200</xdr:colOff>
          <xdr:row>11</xdr:row>
          <xdr:rowOff>101600</xdr:rowOff>
        </xdr:from>
        <xdr:to>
          <xdr:col>4</xdr:col>
          <xdr:colOff>12700</xdr:colOff>
          <xdr:row>13</xdr:row>
          <xdr:rowOff>12700</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200-00001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xdr:colOff>
          <xdr:row>11</xdr:row>
          <xdr:rowOff>101600</xdr:rowOff>
        </xdr:from>
        <xdr:to>
          <xdr:col>10</xdr:col>
          <xdr:colOff>165100</xdr:colOff>
          <xdr:row>13</xdr:row>
          <xdr:rowOff>12700</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200-00001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63500</xdr:colOff>
          <xdr:row>25</xdr:row>
          <xdr:rowOff>12700</xdr:rowOff>
        </xdr:from>
        <xdr:to>
          <xdr:col>29</xdr:col>
          <xdr:colOff>266700</xdr:colOff>
          <xdr:row>26</xdr:row>
          <xdr:rowOff>50800</xdr:rowOff>
        </xdr:to>
        <xdr:sp macro="" textlink="">
          <xdr:nvSpPr>
            <xdr:cNvPr id="3106" name="Drop Down 34" hidden="1">
              <a:extLst>
                <a:ext uri="{63B3BB69-23CF-44E3-9099-C40C66FF867C}">
                  <a14:compatExt spid="_x0000_s3106"/>
                </a:ext>
                <a:ext uri="{FF2B5EF4-FFF2-40B4-BE49-F238E27FC236}">
                  <a16:creationId xmlns:a16="http://schemas.microsoft.com/office/drawing/2014/main" id="{00000000-0008-0000-0200-000022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114300</xdr:colOff>
          <xdr:row>2</xdr:row>
          <xdr:rowOff>12700</xdr:rowOff>
        </xdr:from>
        <xdr:to>
          <xdr:col>27</xdr:col>
          <xdr:colOff>88900</xdr:colOff>
          <xdr:row>3</xdr:row>
          <xdr:rowOff>12700</xdr:rowOff>
        </xdr:to>
        <xdr:sp macro="" textlink="">
          <xdr:nvSpPr>
            <xdr:cNvPr id="3112" name="Drop Down 40" hidden="1">
              <a:extLst>
                <a:ext uri="{63B3BB69-23CF-44E3-9099-C40C66FF867C}">
                  <a14:compatExt spid="_x0000_s3112"/>
                </a:ext>
                <a:ext uri="{FF2B5EF4-FFF2-40B4-BE49-F238E27FC236}">
                  <a16:creationId xmlns:a16="http://schemas.microsoft.com/office/drawing/2014/main" id="{00000000-0008-0000-0200-000028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63500</xdr:colOff>
          <xdr:row>4</xdr:row>
          <xdr:rowOff>101600</xdr:rowOff>
        </xdr:from>
        <xdr:to>
          <xdr:col>6</xdr:col>
          <xdr:colOff>177800</xdr:colOff>
          <xdr:row>6</xdr:row>
          <xdr:rowOff>12700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200-00001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0</xdr:col>
      <xdr:colOff>0</xdr:colOff>
      <xdr:row>27</xdr:row>
      <xdr:rowOff>0</xdr:rowOff>
    </xdr:from>
    <xdr:ext cx="3179717" cy="490327"/>
    <xdr:sp macro="" textlink="">
      <xdr:nvSpPr>
        <xdr:cNvPr id="82" name="TextBox 81">
          <a:extLst>
            <a:ext uri="{FF2B5EF4-FFF2-40B4-BE49-F238E27FC236}">
              <a16:creationId xmlns:a16="http://schemas.microsoft.com/office/drawing/2014/main" id="{00000000-0008-0000-0200-000052000000}"/>
            </a:ext>
          </a:extLst>
        </xdr:cNvPr>
        <xdr:cNvSpPr txBox="1"/>
      </xdr:nvSpPr>
      <xdr:spPr>
        <a:xfrm>
          <a:off x="0" y="531495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xdr:from>
      <xdr:col>0</xdr:col>
      <xdr:colOff>93391</xdr:colOff>
      <xdr:row>14</xdr:row>
      <xdr:rowOff>158751</xdr:rowOff>
    </xdr:from>
    <xdr:to>
      <xdr:col>1</xdr:col>
      <xdr:colOff>134575</xdr:colOff>
      <xdr:row>15</xdr:row>
      <xdr:rowOff>137652</xdr:rowOff>
    </xdr:to>
    <xdr:sp macro="" textlink="">
      <xdr:nvSpPr>
        <xdr:cNvPr id="83" name="Arc 6">
          <a:extLst>
            <a:ext uri="{FF2B5EF4-FFF2-40B4-BE49-F238E27FC236}">
              <a16:creationId xmlns:a16="http://schemas.microsoft.com/office/drawing/2014/main" id="{00000000-0008-0000-0200-000053000000}"/>
            </a:ext>
          </a:extLst>
        </xdr:cNvPr>
        <xdr:cNvSpPr/>
      </xdr:nvSpPr>
      <xdr:spPr>
        <a:xfrm rot="10800000" flipV="1">
          <a:off x="93391" y="2914651"/>
          <a:ext cx="180884"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103414</xdr:colOff>
      <xdr:row>21</xdr:row>
      <xdr:rowOff>46016</xdr:rowOff>
    </xdr:from>
    <xdr:to>
      <xdr:col>1</xdr:col>
      <xdr:colOff>131235</xdr:colOff>
      <xdr:row>22</xdr:row>
      <xdr:rowOff>36466</xdr:rowOff>
    </xdr:to>
    <xdr:sp macro="" textlink="">
      <xdr:nvSpPr>
        <xdr:cNvPr id="84" name="Arc 6">
          <a:extLst>
            <a:ext uri="{FF2B5EF4-FFF2-40B4-BE49-F238E27FC236}">
              <a16:creationId xmlns:a16="http://schemas.microsoft.com/office/drawing/2014/main" id="{00000000-0008-0000-0200-000054000000}"/>
            </a:ext>
          </a:extLst>
        </xdr:cNvPr>
        <xdr:cNvSpPr/>
      </xdr:nvSpPr>
      <xdr:spPr>
        <a:xfrm rot="16200000" flipH="1">
          <a:off x="93525" y="4189755"/>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xdr:from>
          <xdr:col>29</xdr:col>
          <xdr:colOff>482600</xdr:colOff>
          <xdr:row>2</xdr:row>
          <xdr:rowOff>101600</xdr:rowOff>
        </xdr:from>
        <xdr:to>
          <xdr:col>30</xdr:col>
          <xdr:colOff>177800</xdr:colOff>
          <xdr:row>4</xdr:row>
          <xdr:rowOff>101600</xdr:rowOff>
        </xdr:to>
        <xdr:sp macro="" textlink="">
          <xdr:nvSpPr>
            <xdr:cNvPr id="3113" name="Spinner 41" hidden="1">
              <a:extLst>
                <a:ext uri="{63B3BB69-23CF-44E3-9099-C40C66FF867C}">
                  <a14:compatExt spid="_x0000_s3113"/>
                </a:ext>
                <a:ext uri="{FF2B5EF4-FFF2-40B4-BE49-F238E27FC236}">
                  <a16:creationId xmlns:a16="http://schemas.microsoft.com/office/drawing/2014/main" id="{00000000-0008-0000-0200-00002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24</xdr:col>
          <xdr:colOff>50800</xdr:colOff>
          <xdr:row>24</xdr:row>
          <xdr:rowOff>177800</xdr:rowOff>
        </xdr:from>
        <xdr:to>
          <xdr:col>24</xdr:col>
          <xdr:colOff>495300</xdr:colOff>
          <xdr:row>26</xdr:row>
          <xdr:rowOff>50800</xdr:rowOff>
        </xdr:to>
        <xdr:sp macro="" textlink="">
          <xdr:nvSpPr>
            <xdr:cNvPr id="3115" name="Spinner 43" hidden="1">
              <a:extLst>
                <a:ext uri="{63B3BB69-23CF-44E3-9099-C40C66FF867C}">
                  <a14:compatExt spid="_x0000_s3115"/>
                </a:ext>
                <a:ext uri="{FF2B5EF4-FFF2-40B4-BE49-F238E27FC236}">
                  <a16:creationId xmlns:a16="http://schemas.microsoft.com/office/drawing/2014/main" id="{00000000-0008-0000-0200-00002B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26</xdr:col>
          <xdr:colOff>63500</xdr:colOff>
          <xdr:row>24</xdr:row>
          <xdr:rowOff>177800</xdr:rowOff>
        </xdr:from>
        <xdr:to>
          <xdr:col>26</xdr:col>
          <xdr:colOff>520700</xdr:colOff>
          <xdr:row>26</xdr:row>
          <xdr:rowOff>50800</xdr:rowOff>
        </xdr:to>
        <xdr:sp macro="" textlink="">
          <xdr:nvSpPr>
            <xdr:cNvPr id="3116" name="Spinner 44" hidden="1">
              <a:extLst>
                <a:ext uri="{63B3BB69-23CF-44E3-9099-C40C66FF867C}">
                  <a14:compatExt spid="_x0000_s3116"/>
                </a:ext>
                <a:ext uri="{FF2B5EF4-FFF2-40B4-BE49-F238E27FC236}">
                  <a16:creationId xmlns:a16="http://schemas.microsoft.com/office/drawing/2014/main" id="{00000000-0008-0000-0200-00002C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14</xdr:col>
      <xdr:colOff>168504</xdr:colOff>
      <xdr:row>0</xdr:row>
      <xdr:rowOff>149505</xdr:rowOff>
    </xdr:from>
    <xdr:to>
      <xdr:col>15</xdr:col>
      <xdr:colOff>129134</xdr:colOff>
      <xdr:row>1</xdr:row>
      <xdr:rowOff>135535</xdr:rowOff>
    </xdr:to>
    <xdr:sp macro="" textlink="">
      <xdr:nvSpPr>
        <xdr:cNvPr id="7" name="Arc 6">
          <a:extLst>
            <a:ext uri="{FF2B5EF4-FFF2-40B4-BE49-F238E27FC236}">
              <a16:creationId xmlns:a16="http://schemas.microsoft.com/office/drawing/2014/main" id="{00000000-0008-0000-0300-000007000000}"/>
            </a:ext>
          </a:extLst>
        </xdr:cNvPr>
        <xdr:cNvSpPr/>
      </xdr:nvSpPr>
      <xdr:spPr>
        <a:xfrm rot="10800000" flipV="1">
          <a:off x="6023204" y="149505"/>
          <a:ext cx="17653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25</xdr:col>
      <xdr:colOff>139575</xdr:colOff>
      <xdr:row>23</xdr:row>
      <xdr:rowOff>46584</xdr:rowOff>
    </xdr:from>
    <xdr:to>
      <xdr:col>26</xdr:col>
      <xdr:colOff>35859</xdr:colOff>
      <xdr:row>24</xdr:row>
      <xdr:rowOff>37033</xdr:rowOff>
    </xdr:to>
    <xdr:sp macro="" textlink="">
      <xdr:nvSpPr>
        <xdr:cNvPr id="8" name="Arc 6">
          <a:extLst>
            <a:ext uri="{FF2B5EF4-FFF2-40B4-BE49-F238E27FC236}">
              <a16:creationId xmlns:a16="http://schemas.microsoft.com/office/drawing/2014/main" id="{00000000-0008-0000-0300-000008000000}"/>
            </a:ext>
          </a:extLst>
        </xdr:cNvPr>
        <xdr:cNvSpPr/>
      </xdr:nvSpPr>
      <xdr:spPr>
        <a:xfrm rot="5400000">
          <a:off x="11471692" y="4487867"/>
          <a:ext cx="187299" cy="3598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178107</xdr:colOff>
      <xdr:row>23</xdr:row>
      <xdr:rowOff>52072</xdr:rowOff>
    </xdr:from>
    <xdr:to>
      <xdr:col>15</xdr:col>
      <xdr:colOff>138737</xdr:colOff>
      <xdr:row>24</xdr:row>
      <xdr:rowOff>38102</xdr:rowOff>
    </xdr:to>
    <xdr:sp macro="" textlink="">
      <xdr:nvSpPr>
        <xdr:cNvPr id="9" name="Arc 6">
          <a:extLst>
            <a:ext uri="{FF2B5EF4-FFF2-40B4-BE49-F238E27FC236}">
              <a16:creationId xmlns:a16="http://schemas.microsoft.com/office/drawing/2014/main" id="{00000000-0008-0000-0300-000009000000}"/>
            </a:ext>
          </a:extLst>
        </xdr:cNvPr>
        <xdr:cNvSpPr/>
      </xdr:nvSpPr>
      <xdr:spPr>
        <a:xfrm rot="16200000" flipH="1">
          <a:off x="6029632" y="4582797"/>
          <a:ext cx="182880" cy="17653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25</xdr:col>
      <xdr:colOff>133028</xdr:colOff>
      <xdr:row>0</xdr:row>
      <xdr:rowOff>161444</xdr:rowOff>
    </xdr:from>
    <xdr:to>
      <xdr:col>26</xdr:col>
      <xdr:colOff>40861</xdr:colOff>
      <xdr:row>1</xdr:row>
      <xdr:rowOff>140345</xdr:rowOff>
    </xdr:to>
    <xdr:sp macro="" textlink="">
      <xdr:nvSpPr>
        <xdr:cNvPr id="10" name="Arc 6">
          <a:extLst>
            <a:ext uri="{FF2B5EF4-FFF2-40B4-BE49-F238E27FC236}">
              <a16:creationId xmlns:a16="http://schemas.microsoft.com/office/drawing/2014/main" id="{00000000-0008-0000-0300-00000A000000}"/>
            </a:ext>
          </a:extLst>
        </xdr:cNvPr>
        <xdr:cNvSpPr/>
      </xdr:nvSpPr>
      <xdr:spPr>
        <a:xfrm>
          <a:off x="11378878" y="161444"/>
          <a:ext cx="3713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332211</xdr:colOff>
      <xdr:row>0</xdr:row>
      <xdr:rowOff>159051</xdr:rowOff>
    </xdr:from>
    <xdr:to>
      <xdr:col>5</xdr:col>
      <xdr:colOff>143195</xdr:colOff>
      <xdr:row>1</xdr:row>
      <xdr:rowOff>138104</xdr:rowOff>
    </xdr:to>
    <xdr:sp macro="" textlink="">
      <xdr:nvSpPr>
        <xdr:cNvPr id="18" name="Arc 6">
          <a:extLst>
            <a:ext uri="{FF2B5EF4-FFF2-40B4-BE49-F238E27FC236}">
              <a16:creationId xmlns:a16="http://schemas.microsoft.com/office/drawing/2014/main" id="{00000000-0008-0000-0300-000012000000}"/>
            </a:ext>
          </a:extLst>
        </xdr:cNvPr>
        <xdr:cNvSpPr/>
      </xdr:nvSpPr>
      <xdr:spPr>
        <a:xfrm rot="10800000" flipV="1">
          <a:off x="1983211" y="159051"/>
          <a:ext cx="179284"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104375</xdr:colOff>
      <xdr:row>6</xdr:row>
      <xdr:rowOff>140001</xdr:rowOff>
    </xdr:from>
    <xdr:to>
      <xdr:col>1</xdr:col>
      <xdr:colOff>141894</xdr:colOff>
      <xdr:row>7</xdr:row>
      <xdr:rowOff>119054</xdr:rowOff>
    </xdr:to>
    <xdr:sp macro="" textlink="">
      <xdr:nvSpPr>
        <xdr:cNvPr id="23" name="Arc 6">
          <a:extLst>
            <a:ext uri="{FF2B5EF4-FFF2-40B4-BE49-F238E27FC236}">
              <a16:creationId xmlns:a16="http://schemas.microsoft.com/office/drawing/2014/main" id="{00000000-0008-0000-0300-000017000000}"/>
            </a:ext>
          </a:extLst>
        </xdr:cNvPr>
        <xdr:cNvSpPr/>
      </xdr:nvSpPr>
      <xdr:spPr>
        <a:xfrm rot="10800000" flipV="1">
          <a:off x="104375" y="1556051"/>
          <a:ext cx="183569"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108507</xdr:colOff>
      <xdr:row>23</xdr:row>
      <xdr:rowOff>46441</xdr:rowOff>
    </xdr:from>
    <xdr:to>
      <xdr:col>1</xdr:col>
      <xdr:colOff>146026</xdr:colOff>
      <xdr:row>24</xdr:row>
      <xdr:rowOff>30405</xdr:rowOff>
    </xdr:to>
    <xdr:sp macro="" textlink="">
      <xdr:nvSpPr>
        <xdr:cNvPr id="24" name="Arc 6">
          <a:extLst>
            <a:ext uri="{FF2B5EF4-FFF2-40B4-BE49-F238E27FC236}">
              <a16:creationId xmlns:a16="http://schemas.microsoft.com/office/drawing/2014/main" id="{00000000-0008-0000-0300-000018000000}"/>
            </a:ext>
          </a:extLst>
        </xdr:cNvPr>
        <xdr:cNvSpPr/>
      </xdr:nvSpPr>
      <xdr:spPr>
        <a:xfrm rot="16200000" flipH="1">
          <a:off x="108507" y="3068429"/>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178778</xdr:colOff>
      <xdr:row>6</xdr:row>
      <xdr:rowOff>156850</xdr:rowOff>
    </xdr:from>
    <xdr:to>
      <xdr:col>14</xdr:col>
      <xdr:colOff>34919</xdr:colOff>
      <xdr:row>7</xdr:row>
      <xdr:rowOff>140035</xdr:rowOff>
    </xdr:to>
    <xdr:sp macro="" textlink="">
      <xdr:nvSpPr>
        <xdr:cNvPr id="26" name="Arc 6">
          <a:extLst>
            <a:ext uri="{FF2B5EF4-FFF2-40B4-BE49-F238E27FC236}">
              <a16:creationId xmlns:a16="http://schemas.microsoft.com/office/drawing/2014/main" id="{00000000-0008-0000-0300-00001A000000}"/>
            </a:ext>
          </a:extLst>
        </xdr:cNvPr>
        <xdr:cNvSpPr/>
      </xdr:nvSpPr>
      <xdr:spPr>
        <a:xfrm>
          <a:off x="5792178" y="1572900"/>
          <a:ext cx="179991"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184248</xdr:colOff>
      <xdr:row>27</xdr:row>
      <xdr:rowOff>38630</xdr:rowOff>
    </xdr:from>
    <xdr:to>
      <xdr:col>14</xdr:col>
      <xdr:colOff>40389</xdr:colOff>
      <xdr:row>28</xdr:row>
      <xdr:rowOff>22594</xdr:rowOff>
    </xdr:to>
    <xdr:sp macro="" textlink="">
      <xdr:nvSpPr>
        <xdr:cNvPr id="33" name="Arc 6">
          <a:extLst>
            <a:ext uri="{FF2B5EF4-FFF2-40B4-BE49-F238E27FC236}">
              <a16:creationId xmlns:a16="http://schemas.microsoft.com/office/drawing/2014/main" id="{00000000-0008-0000-0300-000021000000}"/>
            </a:ext>
          </a:extLst>
        </xdr:cNvPr>
        <xdr:cNvSpPr/>
      </xdr:nvSpPr>
      <xdr:spPr>
        <a:xfrm rot="5400000">
          <a:off x="5797237" y="5627041"/>
          <a:ext cx="180814" cy="1799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7</xdr:col>
      <xdr:colOff>541761</xdr:colOff>
      <xdr:row>6</xdr:row>
      <xdr:rowOff>159051</xdr:rowOff>
    </xdr:from>
    <xdr:to>
      <xdr:col>8</xdr:col>
      <xdr:colOff>143195</xdr:colOff>
      <xdr:row>7</xdr:row>
      <xdr:rowOff>138104</xdr:rowOff>
    </xdr:to>
    <xdr:sp macro="" textlink="">
      <xdr:nvSpPr>
        <xdr:cNvPr id="34" name="Arc 6">
          <a:extLst>
            <a:ext uri="{FF2B5EF4-FFF2-40B4-BE49-F238E27FC236}">
              <a16:creationId xmlns:a16="http://schemas.microsoft.com/office/drawing/2014/main" id="{00000000-0008-0000-0300-000022000000}"/>
            </a:ext>
          </a:extLst>
        </xdr:cNvPr>
        <xdr:cNvSpPr/>
      </xdr:nvSpPr>
      <xdr:spPr>
        <a:xfrm rot="10800000" flipV="1">
          <a:off x="3259561" y="1340151"/>
          <a:ext cx="172934"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7</xdr:col>
      <xdr:colOff>546812</xdr:colOff>
      <xdr:row>27</xdr:row>
      <xdr:rowOff>40092</xdr:rowOff>
    </xdr:from>
    <xdr:to>
      <xdr:col>8</xdr:col>
      <xdr:colOff>148246</xdr:colOff>
      <xdr:row>28</xdr:row>
      <xdr:rowOff>24056</xdr:rowOff>
    </xdr:to>
    <xdr:sp macro="" textlink="">
      <xdr:nvSpPr>
        <xdr:cNvPr id="35" name="Arc 6">
          <a:extLst>
            <a:ext uri="{FF2B5EF4-FFF2-40B4-BE49-F238E27FC236}">
              <a16:creationId xmlns:a16="http://schemas.microsoft.com/office/drawing/2014/main" id="{00000000-0008-0000-0300-000023000000}"/>
            </a:ext>
          </a:extLst>
        </xdr:cNvPr>
        <xdr:cNvSpPr/>
      </xdr:nvSpPr>
      <xdr:spPr>
        <a:xfrm rot="16200000" flipH="1">
          <a:off x="3301947" y="5355807"/>
          <a:ext cx="180814" cy="17928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10</xdr:col>
      <xdr:colOff>231034</xdr:colOff>
      <xdr:row>0</xdr:row>
      <xdr:rowOff>150500</xdr:rowOff>
    </xdr:from>
    <xdr:to>
      <xdr:col>11</xdr:col>
      <xdr:colOff>35669</xdr:colOff>
      <xdr:row>1</xdr:row>
      <xdr:rowOff>133685</xdr:rowOff>
    </xdr:to>
    <xdr:sp macro="" textlink="">
      <xdr:nvSpPr>
        <xdr:cNvPr id="21" name="Arc 6">
          <a:extLst>
            <a:ext uri="{FF2B5EF4-FFF2-40B4-BE49-F238E27FC236}">
              <a16:creationId xmlns:a16="http://schemas.microsoft.com/office/drawing/2014/main" id="{00000000-0008-0000-0300-000015000000}"/>
            </a:ext>
          </a:extLst>
        </xdr:cNvPr>
        <xdr:cNvSpPr/>
      </xdr:nvSpPr>
      <xdr:spPr>
        <a:xfrm>
          <a:off x="4720484" y="150500"/>
          <a:ext cx="179285"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330759</xdr:colOff>
      <xdr:row>5</xdr:row>
      <xdr:rowOff>59142</xdr:rowOff>
    </xdr:from>
    <xdr:to>
      <xdr:col>5</xdr:col>
      <xdr:colOff>146028</xdr:colOff>
      <xdr:row>6</xdr:row>
      <xdr:rowOff>43106</xdr:rowOff>
    </xdr:to>
    <xdr:sp macro="" textlink="">
      <xdr:nvSpPr>
        <xdr:cNvPr id="29" name="Arc 6">
          <a:extLst>
            <a:ext uri="{FF2B5EF4-FFF2-40B4-BE49-F238E27FC236}">
              <a16:creationId xmlns:a16="http://schemas.microsoft.com/office/drawing/2014/main" id="{00000000-0008-0000-0300-00001D000000}"/>
            </a:ext>
          </a:extLst>
        </xdr:cNvPr>
        <xdr:cNvSpPr/>
      </xdr:nvSpPr>
      <xdr:spPr>
        <a:xfrm rot="16200000" flipH="1">
          <a:off x="2008537" y="1080114"/>
          <a:ext cx="180814" cy="183569"/>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10</xdr:col>
      <xdr:colOff>236506</xdr:colOff>
      <xdr:row>5</xdr:row>
      <xdr:rowOff>57680</xdr:rowOff>
    </xdr:from>
    <xdr:to>
      <xdr:col>11</xdr:col>
      <xdr:colOff>41141</xdr:colOff>
      <xdr:row>6</xdr:row>
      <xdr:rowOff>41644</xdr:rowOff>
    </xdr:to>
    <xdr:sp macro="" textlink="">
      <xdr:nvSpPr>
        <xdr:cNvPr id="30" name="Arc 6">
          <a:extLst>
            <a:ext uri="{FF2B5EF4-FFF2-40B4-BE49-F238E27FC236}">
              <a16:creationId xmlns:a16="http://schemas.microsoft.com/office/drawing/2014/main" id="{00000000-0008-0000-0300-00001E000000}"/>
            </a:ext>
          </a:extLst>
        </xdr:cNvPr>
        <xdr:cNvSpPr/>
      </xdr:nvSpPr>
      <xdr:spPr>
        <a:xfrm rot="5400000">
          <a:off x="4725192" y="1080794"/>
          <a:ext cx="180814" cy="17928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6</xdr:col>
      <xdr:colOff>191478</xdr:colOff>
      <xdr:row>6</xdr:row>
      <xdr:rowOff>156850</xdr:rowOff>
    </xdr:from>
    <xdr:to>
      <xdr:col>7</xdr:col>
      <xdr:colOff>34919</xdr:colOff>
      <xdr:row>7</xdr:row>
      <xdr:rowOff>140035</xdr:rowOff>
    </xdr:to>
    <xdr:sp macro="" textlink="">
      <xdr:nvSpPr>
        <xdr:cNvPr id="31" name="Arc 6">
          <a:extLst>
            <a:ext uri="{FF2B5EF4-FFF2-40B4-BE49-F238E27FC236}">
              <a16:creationId xmlns:a16="http://schemas.microsoft.com/office/drawing/2014/main" id="{00000000-0008-0000-0300-00001F000000}"/>
            </a:ext>
          </a:extLst>
        </xdr:cNvPr>
        <xdr:cNvSpPr/>
      </xdr:nvSpPr>
      <xdr:spPr>
        <a:xfrm>
          <a:off x="2610828" y="1572900"/>
          <a:ext cx="179991"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6</xdr:col>
      <xdr:colOff>196948</xdr:colOff>
      <xdr:row>23</xdr:row>
      <xdr:rowOff>44981</xdr:rowOff>
    </xdr:from>
    <xdr:to>
      <xdr:col>7</xdr:col>
      <xdr:colOff>40389</xdr:colOff>
      <xdr:row>24</xdr:row>
      <xdr:rowOff>28945</xdr:rowOff>
    </xdr:to>
    <xdr:sp macro="" textlink="">
      <xdr:nvSpPr>
        <xdr:cNvPr id="32" name="Arc 6">
          <a:extLst>
            <a:ext uri="{FF2B5EF4-FFF2-40B4-BE49-F238E27FC236}">
              <a16:creationId xmlns:a16="http://schemas.microsoft.com/office/drawing/2014/main" id="{00000000-0008-0000-0300-000020000000}"/>
            </a:ext>
          </a:extLst>
        </xdr:cNvPr>
        <xdr:cNvSpPr/>
      </xdr:nvSpPr>
      <xdr:spPr>
        <a:xfrm rot="5400000">
          <a:off x="2615887" y="4572942"/>
          <a:ext cx="180814" cy="1799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xdr:col>
      <xdr:colOff>114300</xdr:colOff>
      <xdr:row>1</xdr:row>
      <xdr:rowOff>139700</xdr:rowOff>
    </xdr:from>
    <xdr:to>
      <xdr:col>4</xdr:col>
      <xdr:colOff>34471</xdr:colOff>
      <xdr:row>5</xdr:row>
      <xdr:rowOff>139700</xdr:rowOff>
    </xdr:to>
    <xdr:grpSp>
      <xdr:nvGrpSpPr>
        <xdr:cNvPr id="44" name="Group 43">
          <a:extLst>
            <a:ext uri="{FF2B5EF4-FFF2-40B4-BE49-F238E27FC236}">
              <a16:creationId xmlns:a16="http://schemas.microsoft.com/office/drawing/2014/main" id="{00000000-0008-0000-0300-00002C000000}"/>
            </a:ext>
          </a:extLst>
        </xdr:cNvPr>
        <xdr:cNvGrpSpPr/>
      </xdr:nvGrpSpPr>
      <xdr:grpSpPr>
        <a:xfrm>
          <a:off x="254000" y="330200"/>
          <a:ext cx="1431471" cy="762000"/>
          <a:chOff x="8324850" y="374650"/>
          <a:chExt cx="1450521" cy="787400"/>
        </a:xfrm>
        <a:effectLst>
          <a:outerShdw blurRad="50800" dist="38100" dir="2700000" algn="tl" rotWithShape="0">
            <a:prstClr val="black">
              <a:alpha val="40000"/>
            </a:prstClr>
          </a:outerShdw>
        </a:effectLst>
      </xdr:grpSpPr>
      <xdr:cxnSp macro="">
        <xdr:nvCxnSpPr>
          <xdr:cNvPr id="45" name="Straight Connector 44">
            <a:extLst>
              <a:ext uri="{FF2B5EF4-FFF2-40B4-BE49-F238E27FC236}">
                <a16:creationId xmlns:a16="http://schemas.microsoft.com/office/drawing/2014/main" id="{00000000-0008-0000-0300-00002D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00000000-0008-0000-0300-00002E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47" name="Rounded Rectangle 46">
            <a:hlinkClick xmlns:r="http://schemas.openxmlformats.org/officeDocument/2006/relationships" r:id="rId1"/>
            <a:extLst>
              <a:ext uri="{FF2B5EF4-FFF2-40B4-BE49-F238E27FC236}">
                <a16:creationId xmlns:a16="http://schemas.microsoft.com/office/drawing/2014/main" id="{00000000-0008-0000-0300-00002F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48" name="Rounded Rectangle 47">
            <a:hlinkClick xmlns:r="http://schemas.openxmlformats.org/officeDocument/2006/relationships" r:id="rId2"/>
            <a:extLst>
              <a:ext uri="{FF2B5EF4-FFF2-40B4-BE49-F238E27FC236}">
                <a16:creationId xmlns:a16="http://schemas.microsoft.com/office/drawing/2014/main" id="{00000000-0008-0000-0300-000030000000}"/>
              </a:ext>
            </a:extLst>
          </xdr:cNvPr>
          <xdr:cNvSpPr/>
        </xdr:nvSpPr>
        <xdr:spPr>
          <a:xfrm>
            <a:off x="9174196" y="832757"/>
            <a:ext cx="601175"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Loss  Magnitude</a:t>
            </a:r>
          </a:p>
        </xdr:txBody>
      </xdr:sp>
      <xdr:sp macro="" textlink="">
        <xdr:nvSpPr>
          <xdr:cNvPr id="49" name="Rounded Rectangle 48">
            <a:hlinkClick xmlns:r="http://schemas.openxmlformats.org/officeDocument/2006/relationships" r:id="rId3"/>
            <a:extLst>
              <a:ext uri="{FF2B5EF4-FFF2-40B4-BE49-F238E27FC236}">
                <a16:creationId xmlns:a16="http://schemas.microsoft.com/office/drawing/2014/main" id="{00000000-0008-0000-0300-000031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381000</xdr:colOff>
      <xdr:row>1</xdr:row>
      <xdr:rowOff>50800</xdr:rowOff>
    </xdr:to>
    <xdr:sp macro="" textlink="">
      <xdr:nvSpPr>
        <xdr:cNvPr id="36" name="Rounded Rectangle 35">
          <a:hlinkClick xmlns:r="http://schemas.openxmlformats.org/officeDocument/2006/relationships" r:id="rId4"/>
          <a:extLst>
            <a:ext uri="{FF2B5EF4-FFF2-40B4-BE49-F238E27FC236}">
              <a16:creationId xmlns:a16="http://schemas.microsoft.com/office/drawing/2014/main" id="{00000000-0008-0000-0300-000024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15</xdr:col>
      <xdr:colOff>88900</xdr:colOff>
      <xdr:row>1</xdr:row>
      <xdr:rowOff>177800</xdr:rowOff>
    </xdr:from>
    <xdr:to>
      <xdr:col>22</xdr:col>
      <xdr:colOff>306584</xdr:colOff>
      <xdr:row>12</xdr:row>
      <xdr:rowOff>63776</xdr:rowOff>
    </xdr:to>
    <xdr:graphicFrame macro="">
      <xdr:nvGraphicFramePr>
        <xdr:cNvPr id="39" name="Chart 38">
          <a:extLst>
            <a:ext uri="{FF2B5EF4-FFF2-40B4-BE49-F238E27FC236}">
              <a16:creationId xmlns:a16="http://schemas.microsoft.com/office/drawing/2014/main" id="{00000000-0008-0000-03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88900</xdr:colOff>
      <xdr:row>13</xdr:row>
      <xdr:rowOff>2208</xdr:rowOff>
    </xdr:from>
    <xdr:to>
      <xdr:col>22</xdr:col>
      <xdr:colOff>377411</xdr:colOff>
      <xdr:row>23</xdr:row>
      <xdr:rowOff>148536</xdr:rowOff>
    </xdr:to>
    <xdr:graphicFrame macro="">
      <xdr:nvGraphicFramePr>
        <xdr:cNvPr id="40" name="Chart 39">
          <a:extLst>
            <a:ext uri="{FF2B5EF4-FFF2-40B4-BE49-F238E27FC236}">
              <a16:creationId xmlns:a16="http://schemas.microsoft.com/office/drawing/2014/main" id="{00000000-0008-0000-03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241300</xdr:colOff>
      <xdr:row>3</xdr:row>
      <xdr:rowOff>6350</xdr:rowOff>
    </xdr:from>
    <xdr:to>
      <xdr:col>13</xdr:col>
      <xdr:colOff>139700</xdr:colOff>
      <xdr:row>4</xdr:row>
      <xdr:rowOff>57150</xdr:rowOff>
    </xdr:to>
    <xdr:sp macro="" textlink="">
      <xdr:nvSpPr>
        <xdr:cNvPr id="37" name="Rounded Rectangle 36">
          <a:hlinkClick xmlns:r="http://schemas.openxmlformats.org/officeDocument/2006/relationships" r:id="rId7"/>
          <a:extLst>
            <a:ext uri="{FF2B5EF4-FFF2-40B4-BE49-F238E27FC236}">
              <a16:creationId xmlns:a16="http://schemas.microsoft.com/office/drawing/2014/main" id="{00000000-0008-0000-0300-000025000000}"/>
            </a:ext>
          </a:extLst>
        </xdr:cNvPr>
        <xdr:cNvSpPr/>
      </xdr:nvSpPr>
      <xdr:spPr>
        <a:xfrm>
          <a:off x="5041900" y="5969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xdr:from>
          <xdr:col>24</xdr:col>
          <xdr:colOff>482600</xdr:colOff>
          <xdr:row>2</xdr:row>
          <xdr:rowOff>101600</xdr:rowOff>
        </xdr:from>
        <xdr:to>
          <xdr:col>25</xdr:col>
          <xdr:colOff>177800</xdr:colOff>
          <xdr:row>4</xdr:row>
          <xdr:rowOff>101600</xdr:rowOff>
        </xdr:to>
        <xdr:sp macro="" textlink="">
          <xdr:nvSpPr>
            <xdr:cNvPr id="4098" name="Spinner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38100</xdr:colOff>
          <xdr:row>24</xdr:row>
          <xdr:rowOff>177800</xdr:rowOff>
        </xdr:from>
        <xdr:to>
          <xdr:col>19</xdr:col>
          <xdr:colOff>482600</xdr:colOff>
          <xdr:row>26</xdr:row>
          <xdr:rowOff>50800</xdr:rowOff>
        </xdr:to>
        <xdr:sp macro="" textlink="">
          <xdr:nvSpPr>
            <xdr:cNvPr id="4104" name="Spinner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21</xdr:col>
          <xdr:colOff>63500</xdr:colOff>
          <xdr:row>24</xdr:row>
          <xdr:rowOff>177800</xdr:rowOff>
        </xdr:from>
        <xdr:to>
          <xdr:col>21</xdr:col>
          <xdr:colOff>508000</xdr:colOff>
          <xdr:row>26</xdr:row>
          <xdr:rowOff>50800</xdr:rowOff>
        </xdr:to>
        <xdr:sp macro="" textlink="">
          <xdr:nvSpPr>
            <xdr:cNvPr id="4105" name="Spinner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76200</xdr:colOff>
          <xdr:row>25</xdr:row>
          <xdr:rowOff>12700</xdr:rowOff>
        </xdr:from>
        <xdr:to>
          <xdr:col>24</xdr:col>
          <xdr:colOff>279400</xdr:colOff>
          <xdr:row>26</xdr:row>
          <xdr:rowOff>50800</xdr:rowOff>
        </xdr:to>
        <xdr:sp macro="" textlink="">
          <xdr:nvSpPr>
            <xdr:cNvPr id="4100" name="Drop Down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114300</xdr:colOff>
          <xdr:row>2</xdr:row>
          <xdr:rowOff>12700</xdr:rowOff>
        </xdr:from>
        <xdr:to>
          <xdr:col>22</xdr:col>
          <xdr:colOff>88900</xdr:colOff>
          <xdr:row>3</xdr:row>
          <xdr:rowOff>12700</xdr:rowOff>
        </xdr:to>
        <xdr:sp macro="" textlink="">
          <xdr:nvSpPr>
            <xdr:cNvPr id="4107" name="Drop Down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63500</xdr:colOff>
          <xdr:row>4</xdr:row>
          <xdr:rowOff>101600</xdr:rowOff>
        </xdr:from>
        <xdr:to>
          <xdr:col>5</xdr:col>
          <xdr:colOff>177800</xdr:colOff>
          <xdr:row>6</xdr:row>
          <xdr:rowOff>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0</xdr:col>
      <xdr:colOff>0</xdr:colOff>
      <xdr:row>27</xdr:row>
      <xdr:rowOff>6350</xdr:rowOff>
    </xdr:from>
    <xdr:ext cx="3179717" cy="490327"/>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0" y="532130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12</xdr:col>
      <xdr:colOff>296333</xdr:colOff>
      <xdr:row>18</xdr:row>
      <xdr:rowOff>98777</xdr:rowOff>
    </xdr:from>
    <xdr:to>
      <xdr:col>15</xdr:col>
      <xdr:colOff>733780</xdr:colOff>
      <xdr:row>31</xdr:row>
      <xdr:rowOff>141113</xdr:rowOff>
    </xdr:to>
    <xdr:cxnSp macro="">
      <xdr:nvCxnSpPr>
        <xdr:cNvPr id="24" name="Elbow Connector 23">
          <a:extLst>
            <a:ext uri="{FF2B5EF4-FFF2-40B4-BE49-F238E27FC236}">
              <a16:creationId xmlns:a16="http://schemas.microsoft.com/office/drawing/2014/main" id="{00000000-0008-0000-0400-000018000000}"/>
            </a:ext>
          </a:extLst>
        </xdr:cNvPr>
        <xdr:cNvCxnSpPr/>
      </xdr:nvCxnSpPr>
      <xdr:spPr>
        <a:xfrm rot="16200000" flipV="1">
          <a:off x="9419167" y="4536721"/>
          <a:ext cx="2610558" cy="2032003"/>
        </a:xfrm>
        <a:prstGeom prst="bentConnector3">
          <a:avLst>
            <a:gd name="adj1" fmla="val 100270"/>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25400</xdr:colOff>
      <xdr:row>24</xdr:row>
      <xdr:rowOff>114300</xdr:rowOff>
    </xdr:from>
    <xdr:to>
      <xdr:col>13</xdr:col>
      <xdr:colOff>419100</xdr:colOff>
      <xdr:row>31</xdr:row>
      <xdr:rowOff>0</xdr:rowOff>
    </xdr:to>
    <xdr:cxnSp macro="">
      <xdr:nvCxnSpPr>
        <xdr:cNvPr id="34" name="Elbow Connector 33">
          <a:extLst>
            <a:ext uri="{FF2B5EF4-FFF2-40B4-BE49-F238E27FC236}">
              <a16:creationId xmlns:a16="http://schemas.microsoft.com/office/drawing/2014/main" id="{00000000-0008-0000-0400-000022000000}"/>
            </a:ext>
          </a:extLst>
        </xdr:cNvPr>
        <xdr:cNvCxnSpPr/>
      </xdr:nvCxnSpPr>
      <xdr:spPr>
        <a:xfrm rot="16200000" flipV="1">
          <a:off x="9423400" y="5575300"/>
          <a:ext cx="1308100" cy="774700"/>
        </a:xfrm>
        <a:prstGeom prst="bentConnector3">
          <a:avLst>
            <a:gd name="adj1" fmla="val 99515"/>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80136</xdr:colOff>
      <xdr:row>29</xdr:row>
      <xdr:rowOff>113430</xdr:rowOff>
    </xdr:from>
    <xdr:to>
      <xdr:col>11</xdr:col>
      <xdr:colOff>239075</xdr:colOff>
      <xdr:row>31</xdr:row>
      <xdr:rowOff>283265</xdr:rowOff>
    </xdr:to>
    <xdr:sp macro="" textlink="">
      <xdr:nvSpPr>
        <xdr:cNvPr id="52" name="Bent Arrow 51">
          <a:extLst>
            <a:ext uri="{FF2B5EF4-FFF2-40B4-BE49-F238E27FC236}">
              <a16:creationId xmlns:a16="http://schemas.microsoft.com/office/drawing/2014/main" id="{00000000-0008-0000-0400-000034000000}"/>
            </a:ext>
          </a:extLst>
        </xdr:cNvPr>
        <xdr:cNvSpPr>
          <a:spLocks noChangeAspect="1"/>
        </xdr:cNvSpPr>
      </xdr:nvSpPr>
      <xdr:spPr>
        <a:xfrm rot="18794127">
          <a:off x="7783588" y="6341878"/>
          <a:ext cx="576235" cy="539939"/>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53" name="Bent Arrow 52">
          <a:extLst>
            <a:ext uri="{FF2B5EF4-FFF2-40B4-BE49-F238E27FC236}">
              <a16:creationId xmlns:a16="http://schemas.microsoft.com/office/drawing/2014/main" id="{00000000-0008-0000-0400-000035000000}"/>
            </a:ext>
          </a:extLst>
        </xdr:cNvPr>
        <xdr:cNvSpPr>
          <a:spLocks noChangeAspect="1"/>
        </xdr:cNvSpPr>
      </xdr:nvSpPr>
      <xdr:spPr>
        <a:xfrm rot="18794127">
          <a:off x="7848842" y="4694918"/>
          <a:ext cx="413551" cy="38750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88900</xdr:colOff>
      <xdr:row>19</xdr:row>
      <xdr:rowOff>101600</xdr:rowOff>
    </xdr:from>
    <xdr:to>
      <xdr:col>15</xdr:col>
      <xdr:colOff>431800</xdr:colOff>
      <xdr:row>30</xdr:row>
      <xdr:rowOff>25400</xdr:rowOff>
    </xdr:to>
    <xdr:cxnSp macro="">
      <xdr:nvCxnSpPr>
        <xdr:cNvPr id="2" name="Elbow Connector 1">
          <a:extLst>
            <a:ext uri="{FF2B5EF4-FFF2-40B4-BE49-F238E27FC236}">
              <a16:creationId xmlns:a16="http://schemas.microsoft.com/office/drawing/2014/main" id="{00000000-0008-0000-0500-000002000000}"/>
            </a:ext>
          </a:extLst>
        </xdr:cNvPr>
        <xdr:cNvCxnSpPr/>
      </xdr:nvCxnSpPr>
      <xdr:spPr>
        <a:xfrm rot="16200000" flipV="1">
          <a:off x="9410700" y="4718050"/>
          <a:ext cx="2095500" cy="1930400"/>
        </a:xfrm>
        <a:prstGeom prst="bentConnector3">
          <a:avLst>
            <a:gd name="adj1" fmla="val 98824"/>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xdr:colOff>
      <xdr:row>25</xdr:row>
      <xdr:rowOff>12700</xdr:rowOff>
    </xdr:from>
    <xdr:to>
      <xdr:col>13</xdr:col>
      <xdr:colOff>431800</xdr:colOff>
      <xdr:row>31</xdr:row>
      <xdr:rowOff>101600</xdr:rowOff>
    </xdr:to>
    <xdr:cxnSp macro="">
      <xdr:nvCxnSpPr>
        <xdr:cNvPr id="3" name="Elbow Connector 2">
          <a:extLst>
            <a:ext uri="{FF2B5EF4-FFF2-40B4-BE49-F238E27FC236}">
              <a16:creationId xmlns:a16="http://schemas.microsoft.com/office/drawing/2014/main" id="{00000000-0008-0000-0500-000003000000}"/>
            </a:ext>
          </a:extLst>
        </xdr:cNvPr>
        <xdr:cNvCxnSpPr/>
      </xdr:nvCxnSpPr>
      <xdr:spPr>
        <a:xfrm rot="16200000" flipV="1">
          <a:off x="9156700" y="6096000"/>
          <a:ext cx="1308100" cy="774700"/>
        </a:xfrm>
        <a:prstGeom prst="bentConnector3">
          <a:avLst>
            <a:gd name="adj1" fmla="val 99515"/>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147177</xdr:colOff>
      <xdr:row>25</xdr:row>
      <xdr:rowOff>89026</xdr:rowOff>
    </xdr:from>
    <xdr:to>
      <xdr:col>11</xdr:col>
      <xdr:colOff>154242</xdr:colOff>
      <xdr:row>27</xdr:row>
      <xdr:rowOff>96778</xdr:rowOff>
    </xdr:to>
    <xdr:sp macro="" textlink="">
      <xdr:nvSpPr>
        <xdr:cNvPr id="4" name="Bent Arrow 3">
          <a:extLst>
            <a:ext uri="{FF2B5EF4-FFF2-40B4-BE49-F238E27FC236}">
              <a16:creationId xmlns:a16="http://schemas.microsoft.com/office/drawing/2014/main" id="{00000000-0008-0000-0500-000004000000}"/>
            </a:ext>
          </a:extLst>
        </xdr:cNvPr>
        <xdr:cNvSpPr>
          <a:spLocks noChangeAspect="1"/>
        </xdr:cNvSpPr>
      </xdr:nvSpPr>
      <xdr:spPr>
        <a:xfrm rot="18794127">
          <a:off x="7541409" y="5553544"/>
          <a:ext cx="401452" cy="508715"/>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80136</xdr:colOff>
      <xdr:row>28</xdr:row>
      <xdr:rowOff>113430</xdr:rowOff>
    </xdr:from>
    <xdr:to>
      <xdr:col>11</xdr:col>
      <xdr:colOff>239075</xdr:colOff>
      <xdr:row>30</xdr:row>
      <xdr:rowOff>283265</xdr:rowOff>
    </xdr:to>
    <xdr:sp macro="" textlink="">
      <xdr:nvSpPr>
        <xdr:cNvPr id="5" name="Bent Arrow 4">
          <a:extLst>
            <a:ext uri="{FF2B5EF4-FFF2-40B4-BE49-F238E27FC236}">
              <a16:creationId xmlns:a16="http://schemas.microsoft.com/office/drawing/2014/main" id="{00000000-0008-0000-0500-000005000000}"/>
            </a:ext>
          </a:extLst>
        </xdr:cNvPr>
        <xdr:cNvSpPr>
          <a:spLocks noChangeAspect="1"/>
        </xdr:cNvSpPr>
      </xdr:nvSpPr>
      <xdr:spPr>
        <a:xfrm rot="18794127">
          <a:off x="7510538" y="6329178"/>
          <a:ext cx="480985" cy="660589"/>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6" name="Bent Arrow 5">
          <a:extLst>
            <a:ext uri="{FF2B5EF4-FFF2-40B4-BE49-F238E27FC236}">
              <a16:creationId xmlns:a16="http://schemas.microsoft.com/office/drawing/2014/main" id="{00000000-0008-0000-0500-000006000000}"/>
            </a:ext>
          </a:extLst>
        </xdr:cNvPr>
        <xdr:cNvSpPr>
          <a:spLocks noChangeAspect="1"/>
        </xdr:cNvSpPr>
      </xdr:nvSpPr>
      <xdr:spPr>
        <a:xfrm rot="18794127">
          <a:off x="7534517" y="4774293"/>
          <a:ext cx="400851" cy="50815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8" name="Bent Arrow 7">
          <a:extLst>
            <a:ext uri="{FF2B5EF4-FFF2-40B4-BE49-F238E27FC236}">
              <a16:creationId xmlns:a16="http://schemas.microsoft.com/office/drawing/2014/main" id="{00000000-0008-0000-0500-000008000000}"/>
            </a:ext>
          </a:extLst>
        </xdr:cNvPr>
        <xdr:cNvSpPr>
          <a:spLocks noChangeAspect="1"/>
        </xdr:cNvSpPr>
      </xdr:nvSpPr>
      <xdr:spPr>
        <a:xfrm rot="18794127">
          <a:off x="7518642" y="4802868"/>
          <a:ext cx="400851" cy="50180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19050</xdr:colOff>
      <xdr:row>0</xdr:row>
      <xdr:rowOff>0</xdr:rowOff>
    </xdr:from>
    <xdr:to>
      <xdr:col>3</xdr:col>
      <xdr:colOff>304076</xdr:colOff>
      <xdr:row>0</xdr:row>
      <xdr:rowOff>524301</xdr:rowOff>
    </xdr:to>
    <xdr:pic>
      <xdr:nvPicPr>
        <xdr:cNvPr id="2" name="PM Logo">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stretch>
          <a:fillRect/>
        </a:stretch>
      </xdr:blipFill>
      <xdr:spPr>
        <a:xfrm>
          <a:off x="679450" y="0"/>
          <a:ext cx="1605826" cy="52430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10</xdr:col>
      <xdr:colOff>0</xdr:colOff>
      <xdr:row>2</xdr:row>
      <xdr:rowOff>0</xdr:rowOff>
    </xdr:from>
    <xdr:to>
      <xdr:col>15</xdr:col>
      <xdr:colOff>316523</xdr:colOff>
      <xdr:row>12</xdr:row>
      <xdr:rowOff>63500</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17</xdr:row>
      <xdr:rowOff>0</xdr:rowOff>
    </xdr:from>
    <xdr:to>
      <xdr:col>11</xdr:col>
      <xdr:colOff>635000</xdr:colOff>
      <xdr:row>22</xdr:row>
      <xdr:rowOff>19050</xdr:rowOff>
    </xdr:to>
    <xdr:graphicFrame macro="">
      <xdr:nvGraphicFramePr>
        <xdr:cNvPr id="3" name="Chart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2</xdr:row>
      <xdr:rowOff>0</xdr:rowOff>
    </xdr:from>
    <xdr:to>
      <xdr:col>23</xdr:col>
      <xdr:colOff>316523</xdr:colOff>
      <xdr:row>12</xdr:row>
      <xdr:rowOff>63500</xdr:rowOff>
    </xdr:to>
    <xdr:graphicFrame macro="">
      <xdr:nvGraphicFramePr>
        <xdr:cNvPr id="5" name="Chart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12</xdr:row>
      <xdr:rowOff>154608</xdr:rowOff>
    </xdr:from>
    <xdr:to>
      <xdr:col>23</xdr:col>
      <xdr:colOff>387350</xdr:colOff>
      <xdr:row>23</xdr:row>
      <xdr:rowOff>82828</xdr:rowOff>
    </xdr:to>
    <xdr:graphicFrame macro="">
      <xdr:nvGraphicFramePr>
        <xdr:cNvPr id="6" name="Chart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22</xdr:col>
          <xdr:colOff>25400</xdr:colOff>
          <xdr:row>2</xdr:row>
          <xdr:rowOff>12700</xdr:rowOff>
        </xdr:from>
        <xdr:to>
          <xdr:col>23</xdr:col>
          <xdr:colOff>101600</xdr:colOff>
          <xdr:row>3</xdr:row>
          <xdr:rowOff>12700</xdr:rowOff>
        </xdr:to>
        <xdr:sp macro="" textlink="">
          <xdr:nvSpPr>
            <xdr:cNvPr id="17409" name="Drop Down 1" hidden="1">
              <a:extLst>
                <a:ext uri="{63B3BB69-23CF-44E3-9099-C40C66FF867C}">
                  <a14:compatExt spid="_x0000_s17409"/>
                </a:ext>
                <a:ext uri="{FF2B5EF4-FFF2-40B4-BE49-F238E27FC236}">
                  <a16:creationId xmlns:a16="http://schemas.microsoft.com/office/drawing/2014/main" id="{00000000-0008-0000-0900-000001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1</xdr:col>
      <xdr:colOff>135467</xdr:colOff>
      <xdr:row>2</xdr:row>
      <xdr:rowOff>101601</xdr:rowOff>
    </xdr:from>
    <xdr:to>
      <xdr:col>8</xdr:col>
      <xdr:colOff>237066</xdr:colOff>
      <xdr:row>19</xdr:row>
      <xdr:rowOff>131999</xdr:rowOff>
    </xdr:to>
    <xdr:pic>
      <xdr:nvPicPr>
        <xdr:cNvPr id="10" name="Picture 9">
          <a:extLst>
            <a:ext uri="{FF2B5EF4-FFF2-40B4-BE49-F238E27FC236}">
              <a16:creationId xmlns:a16="http://schemas.microsoft.com/office/drawing/2014/main" id="{00000000-0008-0000-0A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4200" y="626534"/>
          <a:ext cx="4665133" cy="3484798"/>
        </a:xfrm>
        <a:prstGeom prst="rect">
          <a:avLst/>
        </a:prstGeom>
      </xdr:spPr>
    </xdr:pic>
    <xdr:clientData/>
  </xdr:twoCellAnchor>
  <xdr:twoCellAnchor>
    <xdr:from>
      <xdr:col>0</xdr:col>
      <xdr:colOff>0</xdr:colOff>
      <xdr:row>2</xdr:row>
      <xdr:rowOff>82550</xdr:rowOff>
    </xdr:from>
    <xdr:to>
      <xdr:col>2</xdr:col>
      <xdr:colOff>332921</xdr:colOff>
      <xdr:row>6</xdr:row>
      <xdr:rowOff>152400</xdr:rowOff>
    </xdr:to>
    <xdr:grpSp>
      <xdr:nvGrpSpPr>
        <xdr:cNvPr id="5" name="Group 4">
          <a:extLst>
            <a:ext uri="{FF2B5EF4-FFF2-40B4-BE49-F238E27FC236}">
              <a16:creationId xmlns:a16="http://schemas.microsoft.com/office/drawing/2014/main" id="{00000000-0008-0000-0A00-000005000000}"/>
            </a:ext>
          </a:extLst>
        </xdr:cNvPr>
        <xdr:cNvGrpSpPr/>
      </xdr:nvGrpSpPr>
      <xdr:grpSpPr>
        <a:xfrm>
          <a:off x="0" y="603250"/>
          <a:ext cx="1425121" cy="882650"/>
          <a:chOff x="8324850" y="374650"/>
          <a:chExt cx="1450521" cy="787400"/>
        </a:xfrm>
        <a:effectLst>
          <a:outerShdw blurRad="50800" dist="38100" dir="2700000" algn="tl" rotWithShape="0">
            <a:prstClr val="black">
              <a:alpha val="40000"/>
            </a:prstClr>
          </a:outerShdw>
        </a:effectLst>
      </xdr:grpSpPr>
      <xdr:cxnSp macro="">
        <xdr:nvCxnSpPr>
          <xdr:cNvPr id="6" name="Straight Connector 5">
            <a:extLst>
              <a:ext uri="{FF2B5EF4-FFF2-40B4-BE49-F238E27FC236}">
                <a16:creationId xmlns:a16="http://schemas.microsoft.com/office/drawing/2014/main" id="{00000000-0008-0000-0A00-000006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7" name="Straight Connector 6">
            <a:extLst>
              <a:ext uri="{FF2B5EF4-FFF2-40B4-BE49-F238E27FC236}">
                <a16:creationId xmlns:a16="http://schemas.microsoft.com/office/drawing/2014/main" id="{00000000-0008-0000-0A00-000007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8" name="Rounded Rectangle 7">
            <a:hlinkClick xmlns:r="http://schemas.openxmlformats.org/officeDocument/2006/relationships" r:id="rId2"/>
            <a:extLst>
              <a:ext uri="{FF2B5EF4-FFF2-40B4-BE49-F238E27FC236}">
                <a16:creationId xmlns:a16="http://schemas.microsoft.com/office/drawing/2014/main" id="{00000000-0008-0000-0A00-000008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9" name="Rounded Rectangle 8">
            <a:hlinkClick xmlns:r="http://schemas.openxmlformats.org/officeDocument/2006/relationships" r:id="rId3"/>
            <a:extLst>
              <a:ext uri="{FF2B5EF4-FFF2-40B4-BE49-F238E27FC236}">
                <a16:creationId xmlns:a16="http://schemas.microsoft.com/office/drawing/2014/main" id="{00000000-0008-0000-0A00-000009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12" name="Rounded Rectangle 11">
            <a:hlinkClick xmlns:r="http://schemas.openxmlformats.org/officeDocument/2006/relationships" r:id="rId4"/>
            <a:extLst>
              <a:ext uri="{FF2B5EF4-FFF2-40B4-BE49-F238E27FC236}">
                <a16:creationId xmlns:a16="http://schemas.microsoft.com/office/drawing/2014/main" id="{00000000-0008-0000-0A00-00000C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425450</xdr:colOff>
      <xdr:row>7</xdr:row>
      <xdr:rowOff>152400</xdr:rowOff>
    </xdr:from>
    <xdr:to>
      <xdr:col>1</xdr:col>
      <xdr:colOff>581615</xdr:colOff>
      <xdr:row>9</xdr:row>
      <xdr:rowOff>110291</xdr:rowOff>
    </xdr:to>
    <xdr:sp macro="" textlink="">
      <xdr:nvSpPr>
        <xdr:cNvPr id="14" name="Right Arrow 13">
          <a:hlinkClick xmlns:r="http://schemas.openxmlformats.org/officeDocument/2006/relationships" r:id="rId5"/>
          <a:extLst>
            <a:ext uri="{FF2B5EF4-FFF2-40B4-BE49-F238E27FC236}">
              <a16:creationId xmlns:a16="http://schemas.microsoft.com/office/drawing/2014/main" id="{00000000-0008-0000-0A00-00000E000000}"/>
            </a:ext>
          </a:extLst>
        </xdr:cNvPr>
        <xdr:cNvSpPr/>
      </xdr:nvSpPr>
      <xdr:spPr>
        <a:xfrm>
          <a:off x="425450" y="1651000"/>
          <a:ext cx="600665" cy="351591"/>
        </a:xfrm>
        <a:prstGeom prst="righ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Next</a:t>
          </a:r>
        </a:p>
      </xdr:txBody>
    </xdr:sp>
    <xdr:clientData/>
  </xdr:twoCellAnchor>
  <xdr:twoCellAnchor>
    <xdr:from>
      <xdr:col>0</xdr:col>
      <xdr:colOff>0</xdr:colOff>
      <xdr:row>0</xdr:row>
      <xdr:rowOff>0</xdr:rowOff>
    </xdr:from>
    <xdr:to>
      <xdr:col>1</xdr:col>
      <xdr:colOff>76200</xdr:colOff>
      <xdr:row>1</xdr:row>
      <xdr:rowOff>50800</xdr:rowOff>
    </xdr:to>
    <xdr:sp macro="" textlink="">
      <xdr:nvSpPr>
        <xdr:cNvPr id="16" name="Rounded Rectangle 15">
          <a:hlinkClick xmlns:r="http://schemas.openxmlformats.org/officeDocument/2006/relationships" r:id="rId6"/>
          <a:extLst>
            <a:ext uri="{FF2B5EF4-FFF2-40B4-BE49-F238E27FC236}">
              <a16:creationId xmlns:a16="http://schemas.microsoft.com/office/drawing/2014/main" id="{00000000-0008-0000-0A00-000010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oneCellAnchor>
    <xdr:from>
      <xdr:col>1</xdr:col>
      <xdr:colOff>133350</xdr:colOff>
      <xdr:row>0</xdr:row>
      <xdr:rowOff>141817</xdr:rowOff>
    </xdr:from>
    <xdr:ext cx="4750859" cy="343958"/>
    <xdr:sp macro="" textlink="">
      <xdr:nvSpPr>
        <xdr:cNvPr id="11" name="TextBox 10">
          <a:extLst>
            <a:ext uri="{FF2B5EF4-FFF2-40B4-BE49-F238E27FC236}">
              <a16:creationId xmlns:a16="http://schemas.microsoft.com/office/drawing/2014/main" id="{00000000-0008-0000-0A00-00000B000000}"/>
            </a:ext>
          </a:extLst>
        </xdr:cNvPr>
        <xdr:cNvSpPr txBox="1"/>
      </xdr:nvSpPr>
      <xdr:spPr>
        <a:xfrm>
          <a:off x="581025" y="141817"/>
          <a:ext cx="4750859" cy="3439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noAutofit/>
        </a:bodyPr>
        <a:lstStyle/>
        <a:p>
          <a:r>
            <a:rPr lang="en-US" sz="1600" b="1">
              <a:latin typeface="Arial" pitchFamily="34" charset="0"/>
              <a:cs typeface="Arial" pitchFamily="34" charset="0"/>
            </a:rPr>
            <a:t>Open FAIR™ Risk Analysis Tool User’s Manual</a:t>
          </a:r>
        </a:p>
      </xdr:txBody>
    </xdr:sp>
    <xdr:clientData/>
  </xdr:oneCellAnchor>
  <xdr:oneCellAnchor>
    <xdr:from>
      <xdr:col>0</xdr:col>
      <xdr:colOff>42335</xdr:colOff>
      <xdr:row>19</xdr:row>
      <xdr:rowOff>194733</xdr:rowOff>
    </xdr:from>
    <xdr:ext cx="5300132" cy="799834"/>
    <xdr:sp macro="" textlink="">
      <xdr:nvSpPr>
        <xdr:cNvPr id="90" name="TextBox 89">
          <a:extLst>
            <a:ext uri="{FF2B5EF4-FFF2-40B4-BE49-F238E27FC236}">
              <a16:creationId xmlns:a16="http://schemas.microsoft.com/office/drawing/2014/main" id="{00000000-0008-0000-0A00-00005A000000}"/>
            </a:ext>
          </a:extLst>
        </xdr:cNvPr>
        <xdr:cNvSpPr txBox="1"/>
      </xdr:nvSpPr>
      <xdr:spPr>
        <a:xfrm>
          <a:off x="42335" y="4119033"/>
          <a:ext cx="5300132" cy="799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800">
              <a:latin typeface="Arial" panose="020B0604020202020204" pitchFamily="34" charset="0"/>
              <a:cs typeface="Arial" panose="020B0604020202020204" pitchFamily="34" charset="0"/>
            </a:rPr>
            <a:t>The Open FAIR™ Risk Analysis Tool, based on the Open FAIR™ Risk Analysis (O-RA) standard, a standard of The Open Group, lets analysts perform a probabilistic comparison of two risk states: the “current” (</a:t>
          </a:r>
          <a:r>
            <a:rPr lang="en-US" sz="800" i="1">
              <a:latin typeface="Arial" panose="020B0604020202020204" pitchFamily="34" charset="0"/>
              <a:cs typeface="Arial" panose="020B0604020202020204" pitchFamily="34" charset="0"/>
            </a:rPr>
            <a:t>status quo</a:t>
          </a:r>
          <a:r>
            <a:rPr lang="en-US" sz="800">
              <a:latin typeface="Arial" panose="020B0604020202020204" pitchFamily="34" charset="0"/>
              <a:cs typeface="Arial" panose="020B0604020202020204" pitchFamily="34" charset="0"/>
            </a:rPr>
            <a:t>) state and a “proposed” (mitigated) state. It performs interactive Monte Carlo Simulation, with 100 trials run instantaneously per keystroke to provide a “gut feel” for the impact of the inputs on the distributions of Loss Events and Loss Magnitude. Larger numbers of trials may be specified, with 10,000 requiring about 20 seconds on a typical computer.</a:t>
          </a:r>
        </a:p>
      </xdr:txBody>
    </xdr:sp>
    <xdr:clientData/>
  </xdr:oneCellAnchor>
  <xdr:oneCellAnchor>
    <xdr:from>
      <xdr:col>8</xdr:col>
      <xdr:colOff>567270</xdr:colOff>
      <xdr:row>1</xdr:row>
      <xdr:rowOff>270933</xdr:rowOff>
    </xdr:from>
    <xdr:ext cx="4580464" cy="1297518"/>
    <xdr:sp macro="" textlink="">
      <xdr:nvSpPr>
        <xdr:cNvPr id="91" name="TextBox 90">
          <a:extLst>
            <a:ext uri="{FF2B5EF4-FFF2-40B4-BE49-F238E27FC236}">
              <a16:creationId xmlns:a16="http://schemas.microsoft.com/office/drawing/2014/main" id="{00000000-0008-0000-0A00-00005B000000}"/>
            </a:ext>
          </a:extLst>
        </xdr:cNvPr>
        <xdr:cNvSpPr txBox="1"/>
      </xdr:nvSpPr>
      <xdr:spPr>
        <a:xfrm>
          <a:off x="5552020" y="474133"/>
          <a:ext cx="4580464" cy="1297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spcBef>
              <a:spcPts val="800"/>
            </a:spcBef>
          </a:pPr>
          <a:r>
            <a:rPr lang="en-US" sz="800">
              <a:latin typeface="Arial" panose="020B0604020202020204" pitchFamily="34" charset="0"/>
              <a:cs typeface="Arial" panose="020B0604020202020204" pitchFamily="34" charset="0"/>
            </a:rPr>
            <a:t>The Tool is built on the open SIPmath™ Standard from ProbabilityManagement.org, which communicates uncertainties as auditable data, and which may be used across such platforms as Microsoft</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Excel</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Matlab</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JavaScript™, and R. The tool is extensible, in that an experienced user can make changes to the distributional assumptions with freely available tools. It is auditable, in that individual Monte Carlo trials as well as all formulas may be inspected. Furthermore, the results of multiple analyses may be rolled up to create a probabilistic analysis of total risk across various units of an enterprise.</a:t>
          </a:r>
        </a:p>
        <a:p>
          <a:pPr>
            <a:spcBef>
              <a:spcPts val="800"/>
            </a:spcBef>
          </a:pPr>
          <a:r>
            <a:rPr lang="en-US" sz="800">
              <a:latin typeface="Arial" panose="020B0604020202020204" pitchFamily="34" charset="0"/>
              <a:cs typeface="Arial" panose="020B0604020202020204" pitchFamily="34" charset="0"/>
            </a:rPr>
            <a:t>This document describes the functions of the Risk Analysis Tool. It is recommended that you make a back-up of the Tool before proceeding.</a:t>
          </a:r>
        </a:p>
        <a:p>
          <a:endParaRPr lang="en-US" sz="1100"/>
        </a:p>
      </xdr:txBody>
    </xdr:sp>
    <xdr:clientData/>
  </xdr:oneCellAnchor>
  <xdr:twoCellAnchor editAs="oneCell">
    <xdr:from>
      <xdr:col>9</xdr:col>
      <xdr:colOff>7876</xdr:colOff>
      <xdr:row>8</xdr:row>
      <xdr:rowOff>38100</xdr:rowOff>
    </xdr:from>
    <xdr:to>
      <xdr:col>16</xdr:col>
      <xdr:colOff>381000</xdr:colOff>
      <xdr:row>25</xdr:row>
      <xdr:rowOff>141425</xdr:rowOff>
    </xdr:to>
    <xdr:pic>
      <xdr:nvPicPr>
        <xdr:cNvPr id="20481" name="Picture 1">
          <a:extLst>
            <a:ext uri="{FF2B5EF4-FFF2-40B4-BE49-F238E27FC236}">
              <a16:creationId xmlns:a16="http://schemas.microsoft.com/office/drawing/2014/main" id="{00000000-0008-0000-0A00-000001500000}"/>
            </a:ext>
          </a:extLst>
        </xdr:cNvPr>
        <xdr:cNvPicPr>
          <a:picLocks noChangeAspect="1" noChangeArrowheads="1"/>
        </xdr:cNvPicPr>
      </xdr:nvPicPr>
      <xdr:blipFill>
        <a:blip xmlns:r="http://schemas.openxmlformats.org/officeDocument/2006/relationships" r:embed="rId7" cstate="print"/>
        <a:srcRect b="7343"/>
        <a:stretch>
          <a:fillRect/>
        </a:stretch>
      </xdr:blipFill>
      <xdr:spPr bwMode="auto">
        <a:xfrm>
          <a:off x="5637151" y="1762125"/>
          <a:ext cx="4907024" cy="3503750"/>
        </a:xfrm>
        <a:prstGeom prst="rect">
          <a:avLst/>
        </a:prstGeom>
        <a:noFill/>
      </xdr:spPr>
    </xdr:pic>
    <xdr:clientData/>
  </xdr:twoCellAnchor>
  <xdr:oneCellAnchor>
    <xdr:from>
      <xdr:col>2</xdr:col>
      <xdr:colOff>482600</xdr:colOff>
      <xdr:row>24</xdr:row>
      <xdr:rowOff>152400</xdr:rowOff>
    </xdr:from>
    <xdr:ext cx="3148939" cy="490327"/>
    <xdr:sp macro="" textlink="">
      <xdr:nvSpPr>
        <xdr:cNvPr id="18" name="TextBox 17">
          <a:extLst>
            <a:ext uri="{FF2B5EF4-FFF2-40B4-BE49-F238E27FC236}">
              <a16:creationId xmlns:a16="http://schemas.microsoft.com/office/drawing/2014/main" id="{00000000-0008-0000-0A00-000012000000}"/>
            </a:ext>
          </a:extLst>
        </xdr:cNvPr>
        <xdr:cNvSpPr txBox="1"/>
      </xdr:nvSpPr>
      <xdr:spPr>
        <a:xfrm>
          <a:off x="1574800" y="49974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8</xdr:col>
      <xdr:colOff>520701</xdr:colOff>
      <xdr:row>11</xdr:row>
      <xdr:rowOff>44450</xdr:rowOff>
    </xdr:from>
    <xdr:to>
      <xdr:col>15</xdr:col>
      <xdr:colOff>420742</xdr:colOff>
      <xdr:row>27</xdr:row>
      <xdr:rowOff>58690</xdr:rowOff>
    </xdr:to>
    <xdr:pic>
      <xdr:nvPicPr>
        <xdr:cNvPr id="22" name="Picture 21">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18151" y="2209800"/>
          <a:ext cx="4433941" cy="3163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177800</xdr:colOff>
      <xdr:row>11</xdr:row>
      <xdr:rowOff>44451</xdr:rowOff>
    </xdr:from>
    <xdr:to>
      <xdr:col>8</xdr:col>
      <xdr:colOff>342244</xdr:colOff>
      <xdr:row>32</xdr:row>
      <xdr:rowOff>172556</xdr:rowOff>
    </xdr:to>
    <xdr:pic>
      <xdr:nvPicPr>
        <xdr:cNvPr id="21" name="Picture 20">
          <a:extLst>
            <a:ext uri="{FF2B5EF4-FFF2-40B4-BE49-F238E27FC236}">
              <a16:creationId xmlns:a16="http://schemas.microsoft.com/office/drawing/2014/main" id="{00000000-0008-0000-0B00-00001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7800" y="2209801"/>
          <a:ext cx="5161894" cy="42619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101600</xdr:rowOff>
    </xdr:from>
    <xdr:to>
      <xdr:col>2</xdr:col>
      <xdr:colOff>301171</xdr:colOff>
      <xdr:row>6</xdr:row>
      <xdr:rowOff>171450</xdr:rowOff>
    </xdr:to>
    <xdr:grpSp>
      <xdr:nvGrpSpPr>
        <xdr:cNvPr id="4" name="Group 3">
          <a:extLst>
            <a:ext uri="{FF2B5EF4-FFF2-40B4-BE49-F238E27FC236}">
              <a16:creationId xmlns:a16="http://schemas.microsoft.com/office/drawing/2014/main" id="{00000000-0008-0000-0B00-000004000000}"/>
            </a:ext>
          </a:extLst>
        </xdr:cNvPr>
        <xdr:cNvGrpSpPr/>
      </xdr:nvGrpSpPr>
      <xdr:grpSpPr>
        <a:xfrm>
          <a:off x="0" y="508000"/>
          <a:ext cx="1418771" cy="882650"/>
          <a:chOff x="8324850" y="374650"/>
          <a:chExt cx="1450521" cy="787400"/>
        </a:xfrm>
        <a:effectLst>
          <a:outerShdw blurRad="50800" dist="38100" dir="2700000" algn="tl" rotWithShape="0">
            <a:prstClr val="black">
              <a:alpha val="40000"/>
            </a:prstClr>
          </a:outerShdw>
        </a:effectLst>
      </xdr:grpSpPr>
      <xdr:cxnSp macro="">
        <xdr:nvCxnSpPr>
          <xdr:cNvPr id="5" name="Straight Connector 4">
            <a:extLst>
              <a:ext uri="{FF2B5EF4-FFF2-40B4-BE49-F238E27FC236}">
                <a16:creationId xmlns:a16="http://schemas.microsoft.com/office/drawing/2014/main" id="{00000000-0008-0000-0B00-000005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00000000-0008-0000-0B00-000006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7" name="Rounded Rectangle 6">
            <a:hlinkClick xmlns:r="http://schemas.openxmlformats.org/officeDocument/2006/relationships" r:id="rId3"/>
            <a:extLst>
              <a:ext uri="{FF2B5EF4-FFF2-40B4-BE49-F238E27FC236}">
                <a16:creationId xmlns:a16="http://schemas.microsoft.com/office/drawing/2014/main" id="{00000000-0008-0000-0B00-000007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8" name="Rounded Rectangle 7">
            <a:hlinkClick xmlns:r="http://schemas.openxmlformats.org/officeDocument/2006/relationships" r:id="rId4"/>
            <a:extLst>
              <a:ext uri="{FF2B5EF4-FFF2-40B4-BE49-F238E27FC236}">
                <a16:creationId xmlns:a16="http://schemas.microsoft.com/office/drawing/2014/main" id="{00000000-0008-0000-0B00-000008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9" name="Rounded Rectangle 8">
            <a:hlinkClick xmlns:r="http://schemas.openxmlformats.org/officeDocument/2006/relationships" r:id="rId5"/>
            <a:extLst>
              <a:ext uri="{FF2B5EF4-FFF2-40B4-BE49-F238E27FC236}">
                <a16:creationId xmlns:a16="http://schemas.microsoft.com/office/drawing/2014/main" id="{00000000-0008-0000-0B00-000009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44450</xdr:colOff>
      <xdr:row>1</xdr:row>
      <xdr:rowOff>50800</xdr:rowOff>
    </xdr:to>
    <xdr:sp macro="" textlink="">
      <xdr:nvSpPr>
        <xdr:cNvPr id="10" name="Rounded Rectangle 9">
          <a:hlinkClick xmlns:r="http://schemas.openxmlformats.org/officeDocument/2006/relationships" r:id="rId6"/>
          <a:extLst>
            <a:ext uri="{FF2B5EF4-FFF2-40B4-BE49-F238E27FC236}">
              <a16:creationId xmlns:a16="http://schemas.microsoft.com/office/drawing/2014/main" id="{00000000-0008-0000-0B00-00000A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xdr:col>
      <xdr:colOff>355600</xdr:colOff>
      <xdr:row>7</xdr:row>
      <xdr:rowOff>57150</xdr:rowOff>
    </xdr:from>
    <xdr:to>
      <xdr:col>2</xdr:col>
      <xdr:colOff>295865</xdr:colOff>
      <xdr:row>9</xdr:row>
      <xdr:rowOff>15041</xdr:rowOff>
    </xdr:to>
    <xdr:sp macro="" textlink="">
      <xdr:nvSpPr>
        <xdr:cNvPr id="11" name="Right Arrow 10">
          <a:hlinkClick xmlns:r="http://schemas.openxmlformats.org/officeDocument/2006/relationships" r:id="rId7"/>
          <a:extLst>
            <a:ext uri="{FF2B5EF4-FFF2-40B4-BE49-F238E27FC236}">
              <a16:creationId xmlns:a16="http://schemas.microsoft.com/office/drawing/2014/main" id="{00000000-0008-0000-0B00-00000B000000}"/>
            </a:ext>
          </a:extLst>
        </xdr:cNvPr>
        <xdr:cNvSpPr/>
      </xdr:nvSpPr>
      <xdr:spPr>
        <a:xfrm>
          <a:off x="831850" y="1435100"/>
          <a:ext cx="600665" cy="351591"/>
        </a:xfrm>
        <a:prstGeom prst="righ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Next</a:t>
          </a:r>
        </a:p>
      </xdr:txBody>
    </xdr:sp>
    <xdr:clientData/>
  </xdr:twoCellAnchor>
  <xdr:twoCellAnchor>
    <xdr:from>
      <xdr:col>0</xdr:col>
      <xdr:colOff>6350</xdr:colOff>
      <xdr:row>7</xdr:row>
      <xdr:rowOff>50800</xdr:rowOff>
    </xdr:from>
    <xdr:to>
      <xdr:col>1</xdr:col>
      <xdr:colOff>130765</xdr:colOff>
      <xdr:row>9</xdr:row>
      <xdr:rowOff>8691</xdr:rowOff>
    </xdr:to>
    <xdr:sp macro="" textlink="">
      <xdr:nvSpPr>
        <xdr:cNvPr id="12" name="Left Arrow 11">
          <a:hlinkClick xmlns:r="http://schemas.openxmlformats.org/officeDocument/2006/relationships" r:id="rId8"/>
          <a:extLst>
            <a:ext uri="{FF2B5EF4-FFF2-40B4-BE49-F238E27FC236}">
              <a16:creationId xmlns:a16="http://schemas.microsoft.com/office/drawing/2014/main" id="{00000000-0008-0000-0B00-00000C000000}"/>
            </a:ext>
          </a:extLst>
        </xdr:cNvPr>
        <xdr:cNvSpPr/>
      </xdr:nvSpPr>
      <xdr:spPr>
        <a:xfrm>
          <a:off x="6350" y="1428750"/>
          <a:ext cx="600665" cy="351591"/>
        </a:xfrm>
        <a:prstGeom prst="lef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Previous</a:t>
          </a:r>
        </a:p>
      </xdr:txBody>
    </xdr:sp>
    <xdr:clientData/>
  </xdr:twoCellAnchor>
  <xdr:twoCellAnchor editAs="oneCell">
    <xdr:from>
      <xdr:col>3</xdr:col>
      <xdr:colOff>212273</xdr:colOff>
      <xdr:row>0</xdr:row>
      <xdr:rowOff>75746</xdr:rowOff>
    </xdr:from>
    <xdr:to>
      <xdr:col>8</xdr:col>
      <xdr:colOff>411843</xdr:colOff>
      <xdr:row>10</xdr:row>
      <xdr:rowOff>166461</xdr:rowOff>
    </xdr:to>
    <xdr:pic>
      <xdr:nvPicPr>
        <xdr:cNvPr id="14" name="Picture 13">
          <a:extLst>
            <a:ext uri="{FF2B5EF4-FFF2-40B4-BE49-F238E27FC236}">
              <a16:creationId xmlns:a16="http://schemas.microsoft.com/office/drawing/2014/main" id="{00000000-0008-0000-0B00-00000E000000}"/>
            </a:ext>
          </a:extLst>
        </xdr:cNvPr>
        <xdr:cNvPicPr/>
      </xdr:nvPicPr>
      <xdr:blipFill>
        <a:blip xmlns:r="http://schemas.openxmlformats.org/officeDocument/2006/relationships" r:embed="rId9" cstate="print"/>
        <a:srcRect/>
        <a:stretch>
          <a:fillRect/>
        </a:stretch>
      </xdr:blipFill>
      <xdr:spPr bwMode="auto">
        <a:xfrm>
          <a:off x="1974398" y="75746"/>
          <a:ext cx="3438070" cy="2090965"/>
        </a:xfrm>
        <a:prstGeom prst="rect">
          <a:avLst/>
        </a:prstGeom>
        <a:noFill/>
        <a:ln w="9525">
          <a:noFill/>
          <a:miter lim="800000"/>
          <a:headEnd/>
          <a:tailEnd/>
        </a:ln>
      </xdr:spPr>
    </xdr:pic>
    <xdr:clientData/>
  </xdr:twoCellAnchor>
  <xdr:oneCellAnchor>
    <xdr:from>
      <xdr:col>1</xdr:col>
      <xdr:colOff>90714</xdr:colOff>
      <xdr:row>0</xdr:row>
      <xdr:rowOff>117929</xdr:rowOff>
    </xdr:from>
    <xdr:ext cx="1728807" cy="254557"/>
    <xdr:sp macro="" textlink="">
      <xdr:nvSpPr>
        <xdr:cNvPr id="15" name="TextBox 14">
          <a:extLst>
            <a:ext uri="{FF2B5EF4-FFF2-40B4-BE49-F238E27FC236}">
              <a16:creationId xmlns:a16="http://schemas.microsoft.com/office/drawing/2014/main" id="{00000000-0008-0000-0B00-00000F000000}"/>
            </a:ext>
          </a:extLst>
        </xdr:cNvPr>
        <xdr:cNvSpPr txBox="1"/>
      </xdr:nvSpPr>
      <xdr:spPr>
        <a:xfrm>
          <a:off x="557439" y="117929"/>
          <a:ext cx="172880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rgbClr val="00B0F0"/>
              </a:solidFill>
              <a:latin typeface="Arial" pitchFamily="34" charset="0"/>
              <a:cs typeface="Arial" pitchFamily="34" charset="0"/>
            </a:rPr>
            <a:t>Risk Module Functions</a:t>
          </a:r>
        </a:p>
      </xdr:txBody>
    </xdr:sp>
    <xdr:clientData/>
  </xdr:oneCellAnchor>
  <xdr:twoCellAnchor editAs="oneCell">
    <xdr:from>
      <xdr:col>12</xdr:col>
      <xdr:colOff>34579</xdr:colOff>
      <xdr:row>0</xdr:row>
      <xdr:rowOff>123825</xdr:rowOff>
    </xdr:from>
    <xdr:to>
      <xdr:col>16</xdr:col>
      <xdr:colOff>106082</xdr:colOff>
      <xdr:row>11</xdr:row>
      <xdr:rowOff>53627</xdr:rowOff>
    </xdr:to>
    <xdr:pic>
      <xdr:nvPicPr>
        <xdr:cNvPr id="19" name="Picture 18">
          <a:extLst>
            <a:ext uri="{FF2B5EF4-FFF2-40B4-BE49-F238E27FC236}">
              <a16:creationId xmlns:a16="http://schemas.microsoft.com/office/drawing/2014/main" id="{00000000-0008-0000-0B00-000013000000}"/>
            </a:ext>
          </a:extLst>
        </xdr:cNvPr>
        <xdr:cNvPicPr/>
      </xdr:nvPicPr>
      <xdr:blipFill>
        <a:blip xmlns:r="http://schemas.openxmlformats.org/officeDocument/2006/relationships" r:embed="rId10" cstate="print"/>
        <a:srcRect b="4488"/>
        <a:stretch>
          <a:fillRect/>
        </a:stretch>
      </xdr:blipFill>
      <xdr:spPr bwMode="auto">
        <a:xfrm>
          <a:off x="7626004" y="123825"/>
          <a:ext cx="2662303" cy="2130077"/>
        </a:xfrm>
        <a:prstGeom prst="rect">
          <a:avLst/>
        </a:prstGeom>
        <a:noFill/>
        <a:ln w="9525">
          <a:noFill/>
          <a:miter lim="800000"/>
          <a:headEnd/>
          <a:tailEnd/>
        </a:ln>
      </xdr:spPr>
    </xdr:pic>
    <xdr:clientData/>
  </xdr:twoCellAnchor>
  <xdr:oneCellAnchor>
    <xdr:from>
      <xdr:col>8</xdr:col>
      <xdr:colOff>616859</xdr:colOff>
      <xdr:row>4</xdr:row>
      <xdr:rowOff>45356</xdr:rowOff>
    </xdr:from>
    <xdr:ext cx="2403287" cy="254557"/>
    <xdr:sp macro="" textlink="">
      <xdr:nvSpPr>
        <xdr:cNvPr id="20" name="TextBox 19">
          <a:extLst>
            <a:ext uri="{FF2B5EF4-FFF2-40B4-BE49-F238E27FC236}">
              <a16:creationId xmlns:a16="http://schemas.microsoft.com/office/drawing/2014/main" id="{00000000-0008-0000-0B00-000014000000}"/>
            </a:ext>
          </a:extLst>
        </xdr:cNvPr>
        <xdr:cNvSpPr txBox="1"/>
      </xdr:nvSpPr>
      <xdr:spPr>
        <a:xfrm>
          <a:off x="5617484" y="845456"/>
          <a:ext cx="240328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rgbClr val="00B0F0"/>
              </a:solidFill>
              <a:latin typeface="Arial" pitchFamily="34" charset="0"/>
              <a:cs typeface="Arial" pitchFamily="34" charset="0"/>
            </a:rPr>
            <a:t>Loss Event Frequency Functions</a:t>
          </a:r>
        </a:p>
      </xdr:txBody>
    </xdr:sp>
    <xdr:clientData/>
  </xdr:oneCellAnchor>
  <xdr:oneCellAnchor>
    <xdr:from>
      <xdr:col>11</xdr:col>
      <xdr:colOff>120650</xdr:colOff>
      <xdr:row>28</xdr:row>
      <xdr:rowOff>19050</xdr:rowOff>
    </xdr:from>
    <xdr:ext cx="3148939" cy="490327"/>
    <xdr:sp macro="" textlink="">
      <xdr:nvSpPr>
        <xdr:cNvPr id="18" name="TextBox 17">
          <a:extLst>
            <a:ext uri="{FF2B5EF4-FFF2-40B4-BE49-F238E27FC236}">
              <a16:creationId xmlns:a16="http://schemas.microsoft.com/office/drawing/2014/main" id="{00000000-0008-0000-0B00-000012000000}"/>
            </a:ext>
          </a:extLst>
        </xdr:cNvPr>
        <xdr:cNvSpPr txBox="1"/>
      </xdr:nvSpPr>
      <xdr:spPr>
        <a:xfrm>
          <a:off x="7061200" y="55308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330200</xdr:colOff>
      <xdr:row>11</xdr:row>
      <xdr:rowOff>139700</xdr:rowOff>
    </xdr:from>
    <xdr:to>
      <xdr:col>9</xdr:col>
      <xdr:colOff>501650</xdr:colOff>
      <xdr:row>16</xdr:row>
      <xdr:rowOff>184150</xdr:rowOff>
    </xdr:to>
    <xdr:pic>
      <xdr:nvPicPr>
        <xdr:cNvPr id="21" name="Picture 20">
          <a:extLst>
            <a:ext uri="{FF2B5EF4-FFF2-40B4-BE49-F238E27FC236}">
              <a16:creationId xmlns:a16="http://schemas.microsoft.com/office/drawing/2014/main" id="{00000000-0008-0000-0C00-00001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200" y="2336800"/>
          <a:ext cx="634365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63500</xdr:rowOff>
    </xdr:from>
    <xdr:to>
      <xdr:col>2</xdr:col>
      <xdr:colOff>269421</xdr:colOff>
      <xdr:row>6</xdr:row>
      <xdr:rowOff>133350</xdr:rowOff>
    </xdr:to>
    <xdr:grpSp>
      <xdr:nvGrpSpPr>
        <xdr:cNvPr id="2" name="Group 1">
          <a:extLst>
            <a:ext uri="{FF2B5EF4-FFF2-40B4-BE49-F238E27FC236}">
              <a16:creationId xmlns:a16="http://schemas.microsoft.com/office/drawing/2014/main" id="{00000000-0008-0000-0C00-000002000000}"/>
            </a:ext>
          </a:extLst>
        </xdr:cNvPr>
        <xdr:cNvGrpSpPr/>
      </xdr:nvGrpSpPr>
      <xdr:grpSpPr>
        <a:xfrm>
          <a:off x="0" y="469900"/>
          <a:ext cx="1641021" cy="908050"/>
          <a:chOff x="8324850" y="374650"/>
          <a:chExt cx="1450521" cy="787400"/>
        </a:xfrm>
        <a:effectLst>
          <a:outerShdw blurRad="50800" dist="38100" dir="2700000" algn="tl" rotWithShape="0">
            <a:prstClr val="black">
              <a:alpha val="40000"/>
            </a:prstClr>
          </a:outerShdw>
        </a:effectLst>
      </xdr:grpSpPr>
      <xdr:cxnSp macro="">
        <xdr:nvCxnSpPr>
          <xdr:cNvPr id="3" name="Straight Connector 2">
            <a:extLst>
              <a:ext uri="{FF2B5EF4-FFF2-40B4-BE49-F238E27FC236}">
                <a16:creationId xmlns:a16="http://schemas.microsoft.com/office/drawing/2014/main" id="{00000000-0008-0000-0C00-000003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4" name="Straight Connector 3">
            <a:extLst>
              <a:ext uri="{FF2B5EF4-FFF2-40B4-BE49-F238E27FC236}">
                <a16:creationId xmlns:a16="http://schemas.microsoft.com/office/drawing/2014/main" id="{00000000-0008-0000-0C00-000004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5" name="Rounded Rectangle 4">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6" name="Rounded Rectangle 5">
            <a:hlinkClick xmlns:r="http://schemas.openxmlformats.org/officeDocument/2006/relationships" r:id="rId3"/>
            <a:extLst>
              <a:ext uri="{FF2B5EF4-FFF2-40B4-BE49-F238E27FC236}">
                <a16:creationId xmlns:a16="http://schemas.microsoft.com/office/drawing/2014/main" id="{00000000-0008-0000-0C00-000006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7" name="Rounded Rectangle 6">
            <a:hlinkClick xmlns:r="http://schemas.openxmlformats.org/officeDocument/2006/relationships" r:id="rId4"/>
            <a:extLst>
              <a:ext uri="{FF2B5EF4-FFF2-40B4-BE49-F238E27FC236}">
                <a16:creationId xmlns:a16="http://schemas.microsoft.com/office/drawing/2014/main" id="{00000000-0008-0000-0C00-000007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12700</xdr:colOff>
      <xdr:row>1</xdr:row>
      <xdr:rowOff>50800</xdr:rowOff>
    </xdr:to>
    <xdr:sp macro="" textlink="">
      <xdr:nvSpPr>
        <xdr:cNvPr id="8" name="Rounded Rectangle 7">
          <a:hlinkClick xmlns:r="http://schemas.openxmlformats.org/officeDocument/2006/relationships" r:id="rId5"/>
          <a:extLst>
            <a:ext uri="{FF2B5EF4-FFF2-40B4-BE49-F238E27FC236}">
              <a16:creationId xmlns:a16="http://schemas.microsoft.com/office/drawing/2014/main" id="{00000000-0008-0000-0C00-000008000000}"/>
            </a:ext>
          </a:extLst>
        </xdr:cNvPr>
        <xdr:cNvSpPr/>
      </xdr:nvSpPr>
      <xdr:spPr>
        <a:xfrm>
          <a:off x="0" y="0"/>
          <a:ext cx="508000" cy="250825"/>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0</xdr:col>
      <xdr:colOff>406400</xdr:colOff>
      <xdr:row>7</xdr:row>
      <xdr:rowOff>95250</xdr:rowOff>
    </xdr:from>
    <xdr:to>
      <xdr:col>1</xdr:col>
      <xdr:colOff>499065</xdr:colOff>
      <xdr:row>9</xdr:row>
      <xdr:rowOff>53141</xdr:rowOff>
    </xdr:to>
    <xdr:sp macro="" textlink="">
      <xdr:nvSpPr>
        <xdr:cNvPr id="9" name="Left Arrow 8">
          <a:hlinkClick xmlns:r="http://schemas.openxmlformats.org/officeDocument/2006/relationships" r:id="rId6"/>
          <a:extLst>
            <a:ext uri="{FF2B5EF4-FFF2-40B4-BE49-F238E27FC236}">
              <a16:creationId xmlns:a16="http://schemas.microsoft.com/office/drawing/2014/main" id="{00000000-0008-0000-0C00-000009000000}"/>
            </a:ext>
          </a:extLst>
        </xdr:cNvPr>
        <xdr:cNvSpPr/>
      </xdr:nvSpPr>
      <xdr:spPr>
        <a:xfrm>
          <a:off x="406400" y="1524000"/>
          <a:ext cx="587965" cy="357941"/>
        </a:xfrm>
        <a:prstGeom prst="lef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Previous</a:t>
          </a:r>
        </a:p>
      </xdr:txBody>
    </xdr:sp>
    <xdr:clientData/>
  </xdr:twoCellAnchor>
  <xdr:oneCellAnchor>
    <xdr:from>
      <xdr:col>2</xdr:col>
      <xdr:colOff>79375</xdr:colOff>
      <xdr:row>2</xdr:row>
      <xdr:rowOff>88900</xdr:rowOff>
    </xdr:from>
    <xdr:ext cx="2458365" cy="298800"/>
    <xdr:sp macro="" textlink="">
      <xdr:nvSpPr>
        <xdr:cNvPr id="10" name="TextBox 9">
          <a:extLst>
            <a:ext uri="{FF2B5EF4-FFF2-40B4-BE49-F238E27FC236}">
              <a16:creationId xmlns:a16="http://schemas.microsoft.com/office/drawing/2014/main" id="{00000000-0008-0000-0C00-00000A000000}"/>
            </a:ext>
          </a:extLst>
        </xdr:cNvPr>
        <xdr:cNvSpPr txBox="1"/>
      </xdr:nvSpPr>
      <xdr:spPr>
        <a:xfrm>
          <a:off x="1450975" y="488950"/>
          <a:ext cx="2458365"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rgbClr val="00B0F0"/>
              </a:solidFill>
              <a:latin typeface="Arial" pitchFamily="34" charset="0"/>
              <a:cs typeface="Arial" pitchFamily="34" charset="0"/>
            </a:rPr>
            <a:t>Loss Magnitude Functions</a:t>
          </a:r>
        </a:p>
      </xdr:txBody>
    </xdr:sp>
    <xdr:clientData/>
  </xdr:oneCellAnchor>
  <xdr:twoCellAnchor editAs="oneCell">
    <xdr:from>
      <xdr:col>5</xdr:col>
      <xdr:colOff>617220</xdr:colOff>
      <xdr:row>0</xdr:row>
      <xdr:rowOff>59690</xdr:rowOff>
    </xdr:from>
    <xdr:to>
      <xdr:col>10</xdr:col>
      <xdr:colOff>0</xdr:colOff>
      <xdr:row>11</xdr:row>
      <xdr:rowOff>149225</xdr:rowOff>
    </xdr:to>
    <xdr:pic>
      <xdr:nvPicPr>
        <xdr:cNvPr id="11" name="Picture 10">
          <a:extLst>
            <a:ext uri="{FF2B5EF4-FFF2-40B4-BE49-F238E27FC236}">
              <a16:creationId xmlns:a16="http://schemas.microsoft.com/office/drawing/2014/main" id="{00000000-0008-0000-0C00-00000B000000}"/>
            </a:ext>
          </a:extLst>
        </xdr:cNvPr>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1565" t="2871" r="2064"/>
        <a:stretch/>
      </xdr:blipFill>
      <xdr:spPr bwMode="auto">
        <a:xfrm>
          <a:off x="3703320" y="59690"/>
          <a:ext cx="2621280" cy="234696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7</xdr:col>
      <xdr:colOff>200025</xdr:colOff>
      <xdr:row>12</xdr:row>
      <xdr:rowOff>38100</xdr:rowOff>
    </xdr:from>
    <xdr:to>
      <xdr:col>10</xdr:col>
      <xdr:colOff>9525</xdr:colOff>
      <xdr:row>15</xdr:row>
      <xdr:rowOff>12700</xdr:rowOff>
    </xdr:to>
    <xdr:pic>
      <xdr:nvPicPr>
        <xdr:cNvPr id="13" name="Picture 12">
          <a:extLst>
            <a:ext uri="{FF2B5EF4-FFF2-40B4-BE49-F238E27FC236}">
              <a16:creationId xmlns:a16="http://schemas.microsoft.com/office/drawing/2014/main" id="{00000000-0008-0000-0C00-00000D000000}"/>
            </a:ext>
          </a:extLst>
        </xdr:cNvPr>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5000625" y="2466975"/>
          <a:ext cx="1866900" cy="574675"/>
        </a:xfrm>
        <a:prstGeom prst="rect">
          <a:avLst/>
        </a:prstGeom>
        <a:noFill/>
        <a:ln>
          <a:noFill/>
        </a:ln>
      </xdr:spPr>
    </xdr:pic>
    <xdr:clientData/>
  </xdr:twoCellAnchor>
  <xdr:twoCellAnchor editAs="oneCell">
    <xdr:from>
      <xdr:col>8</xdr:col>
      <xdr:colOff>3175</xdr:colOff>
      <xdr:row>15</xdr:row>
      <xdr:rowOff>101600</xdr:rowOff>
    </xdr:from>
    <xdr:to>
      <xdr:col>9</xdr:col>
      <xdr:colOff>295275</xdr:colOff>
      <xdr:row>21</xdr:row>
      <xdr:rowOff>190500</xdr:rowOff>
    </xdr:to>
    <xdr:pic>
      <xdr:nvPicPr>
        <xdr:cNvPr id="14" name="Picture 13">
          <a:extLst>
            <a:ext uri="{FF2B5EF4-FFF2-40B4-BE49-F238E27FC236}">
              <a16:creationId xmlns:a16="http://schemas.microsoft.com/office/drawing/2014/main" id="{00000000-0008-0000-0C00-00000E000000}"/>
            </a:ext>
          </a:extLst>
        </xdr:cNvPr>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489575" y="3130550"/>
          <a:ext cx="977900" cy="1289050"/>
        </a:xfrm>
        <a:prstGeom prst="rect">
          <a:avLst/>
        </a:prstGeom>
        <a:noFill/>
        <a:ln>
          <a:noFill/>
        </a:ln>
      </xdr:spPr>
    </xdr:pic>
    <xdr:clientData/>
  </xdr:twoCellAnchor>
  <xdr:twoCellAnchor editAs="oneCell">
    <xdr:from>
      <xdr:col>8</xdr:col>
      <xdr:colOff>1680</xdr:colOff>
      <xdr:row>22</xdr:row>
      <xdr:rowOff>53337</xdr:rowOff>
    </xdr:from>
    <xdr:to>
      <xdr:col>9</xdr:col>
      <xdr:colOff>295275</xdr:colOff>
      <xdr:row>29</xdr:row>
      <xdr:rowOff>63500</xdr:rowOff>
    </xdr:to>
    <xdr:pic>
      <xdr:nvPicPr>
        <xdr:cNvPr id="15" name="Picture 14">
          <a:extLst>
            <a:ext uri="{FF2B5EF4-FFF2-40B4-BE49-F238E27FC236}">
              <a16:creationId xmlns:a16="http://schemas.microsoft.com/office/drawing/2014/main" id="{00000000-0008-0000-0C00-00000F000000}"/>
            </a:ext>
          </a:extLst>
        </xdr:cNvPr>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488080" y="4482462"/>
          <a:ext cx="979395" cy="1410338"/>
        </a:xfrm>
        <a:prstGeom prst="rect">
          <a:avLst/>
        </a:prstGeom>
        <a:noFill/>
        <a:ln>
          <a:noFill/>
        </a:ln>
      </xdr:spPr>
    </xdr:pic>
    <xdr:clientData/>
  </xdr:twoCellAnchor>
  <xdr:twoCellAnchor editAs="oneCell">
    <xdr:from>
      <xdr:col>13</xdr:col>
      <xdr:colOff>514985</xdr:colOff>
      <xdr:row>7</xdr:row>
      <xdr:rowOff>124777</xdr:rowOff>
    </xdr:from>
    <xdr:to>
      <xdr:col>15</xdr:col>
      <xdr:colOff>419101</xdr:colOff>
      <xdr:row>12</xdr:row>
      <xdr:rowOff>98425</xdr:rowOff>
    </xdr:to>
    <xdr:pic>
      <xdr:nvPicPr>
        <xdr:cNvPr id="17" name="Picture 16">
          <a:extLst>
            <a:ext uri="{FF2B5EF4-FFF2-40B4-BE49-F238E27FC236}">
              <a16:creationId xmlns:a16="http://schemas.microsoft.com/office/drawing/2014/main" id="{00000000-0008-0000-0C00-000011000000}"/>
            </a:ext>
          </a:extLst>
        </xdr:cNvPr>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a:stretch/>
      </xdr:blipFill>
      <xdr:spPr>
        <a:xfrm>
          <a:off x="9389110" y="1545590"/>
          <a:ext cx="1269366" cy="965835"/>
        </a:xfrm>
        <a:prstGeom prst="rect">
          <a:avLst/>
        </a:prstGeom>
        <a:ln>
          <a:noFill/>
        </a:ln>
        <a:effectLst>
          <a:outerShdw blurRad="292100" dist="139700" dir="2700000" algn="tl" rotWithShape="0">
            <a:srgbClr val="333333">
              <a:alpha val="65000"/>
            </a:srgbClr>
          </a:outerShdw>
        </a:effectLst>
      </xdr:spPr>
    </xdr:pic>
    <xdr:clientData/>
  </xdr:twoCellAnchor>
  <xdr:oneCellAnchor>
    <xdr:from>
      <xdr:col>11</xdr:col>
      <xdr:colOff>303921</xdr:colOff>
      <xdr:row>24</xdr:row>
      <xdr:rowOff>150813</xdr:rowOff>
    </xdr:from>
    <xdr:ext cx="3148939" cy="490327"/>
    <xdr:sp macro="" textlink="">
      <xdr:nvSpPr>
        <xdr:cNvPr id="19" name="TextBox 18">
          <a:extLst>
            <a:ext uri="{FF2B5EF4-FFF2-40B4-BE49-F238E27FC236}">
              <a16:creationId xmlns:a16="http://schemas.microsoft.com/office/drawing/2014/main" id="{00000000-0008-0000-0C00-000013000000}"/>
            </a:ext>
          </a:extLst>
        </xdr:cNvPr>
        <xdr:cNvSpPr txBox="1"/>
      </xdr:nvSpPr>
      <xdr:spPr>
        <a:xfrm>
          <a:off x="7847721" y="4906963"/>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editAs="oneCell">
    <xdr:from>
      <xdr:col>10</xdr:col>
      <xdr:colOff>314325</xdr:colOff>
      <xdr:row>1</xdr:row>
      <xdr:rowOff>190500</xdr:rowOff>
    </xdr:from>
    <xdr:to>
      <xdr:col>16</xdr:col>
      <xdr:colOff>362397</xdr:colOff>
      <xdr:row>6</xdr:row>
      <xdr:rowOff>125867</xdr:rowOff>
    </xdr:to>
    <xdr:pic>
      <xdr:nvPicPr>
        <xdr:cNvPr id="18433" name="Picture 1">
          <a:extLst>
            <a:ext uri="{FF2B5EF4-FFF2-40B4-BE49-F238E27FC236}">
              <a16:creationId xmlns:a16="http://schemas.microsoft.com/office/drawing/2014/main" id="{00000000-0008-0000-0C00-000001480000}"/>
            </a:ext>
          </a:extLst>
        </xdr:cNvPr>
        <xdr:cNvPicPr>
          <a:picLocks noChangeAspect="1" noChangeArrowheads="1"/>
        </xdr:cNvPicPr>
      </xdr:nvPicPr>
      <xdr:blipFill>
        <a:blip xmlns:r="http://schemas.openxmlformats.org/officeDocument/2006/relationships" r:embed="rId12" cstate="print"/>
        <a:srcRect r="32241" b="27184"/>
        <a:stretch>
          <a:fillRect/>
        </a:stretch>
      </xdr:blipFill>
      <xdr:spPr bwMode="auto">
        <a:xfrm>
          <a:off x="7172325" y="390525"/>
          <a:ext cx="4162872" cy="964067"/>
        </a:xfrm>
        <a:prstGeom prst="rect">
          <a:avLst/>
        </a:prstGeom>
        <a:noFill/>
      </xdr:spPr>
    </xdr:pic>
    <xdr:clientData/>
  </xdr:twoCellAnchor>
  <xdr:twoCellAnchor editAs="oneCell">
    <xdr:from>
      <xdr:col>0</xdr:col>
      <xdr:colOff>323850</xdr:colOff>
      <xdr:row>16</xdr:row>
      <xdr:rowOff>57150</xdr:rowOff>
    </xdr:from>
    <xdr:to>
      <xdr:col>6</xdr:col>
      <xdr:colOff>371914</xdr:colOff>
      <xdr:row>19</xdr:row>
      <xdr:rowOff>127356</xdr:rowOff>
    </xdr:to>
    <xdr:pic>
      <xdr:nvPicPr>
        <xdr:cNvPr id="18436" name="Picture 4">
          <a:extLst>
            <a:ext uri="{FF2B5EF4-FFF2-40B4-BE49-F238E27FC236}">
              <a16:creationId xmlns:a16="http://schemas.microsoft.com/office/drawing/2014/main" id="{00000000-0008-0000-0C00-000004480000}"/>
            </a:ext>
          </a:extLst>
        </xdr:cNvPr>
        <xdr:cNvPicPr>
          <a:picLocks noChangeAspect="1" noChangeArrowheads="1"/>
        </xdr:cNvPicPr>
      </xdr:nvPicPr>
      <xdr:blipFill>
        <a:blip xmlns:r="http://schemas.openxmlformats.org/officeDocument/2006/relationships" r:embed="rId13" cstate="print"/>
        <a:srcRect r="32241" b="34842"/>
        <a:stretch>
          <a:fillRect/>
        </a:stretch>
      </xdr:blipFill>
      <xdr:spPr bwMode="auto">
        <a:xfrm>
          <a:off x="323850" y="3286125"/>
          <a:ext cx="4162864" cy="670281"/>
        </a:xfrm>
        <a:prstGeom prst="rect">
          <a:avLst/>
        </a:prstGeom>
        <a:noFill/>
      </xdr:spPr>
    </xdr:pic>
    <xdr:clientData/>
  </xdr:twoCellAnchor>
  <xdr:twoCellAnchor editAs="oneCell">
    <xdr:from>
      <xdr:col>0</xdr:col>
      <xdr:colOff>323850</xdr:colOff>
      <xdr:row>22</xdr:row>
      <xdr:rowOff>123825</xdr:rowOff>
    </xdr:from>
    <xdr:to>
      <xdr:col>6</xdr:col>
      <xdr:colOff>371914</xdr:colOff>
      <xdr:row>25</xdr:row>
      <xdr:rowOff>50026</xdr:rowOff>
    </xdr:to>
    <xdr:pic>
      <xdr:nvPicPr>
        <xdr:cNvPr id="18437" name="Picture 5">
          <a:extLst>
            <a:ext uri="{FF2B5EF4-FFF2-40B4-BE49-F238E27FC236}">
              <a16:creationId xmlns:a16="http://schemas.microsoft.com/office/drawing/2014/main" id="{00000000-0008-0000-0C00-000005480000}"/>
            </a:ext>
          </a:extLst>
        </xdr:cNvPr>
        <xdr:cNvPicPr>
          <a:picLocks noChangeAspect="1" noChangeArrowheads="1"/>
        </xdr:cNvPicPr>
      </xdr:nvPicPr>
      <xdr:blipFill>
        <a:blip xmlns:r="http://schemas.openxmlformats.org/officeDocument/2006/relationships" r:embed="rId14" cstate="print"/>
        <a:srcRect r="32241" b="40589"/>
        <a:stretch>
          <a:fillRect/>
        </a:stretch>
      </xdr:blipFill>
      <xdr:spPr bwMode="auto">
        <a:xfrm>
          <a:off x="323850" y="4552950"/>
          <a:ext cx="4162864" cy="526276"/>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etalogdistributions.com/" TargetMode="External"/><Relationship Id="rId2" Type="http://schemas.openxmlformats.org/officeDocument/2006/relationships/hyperlink" Target="http://probabilitymanagement.org/" TargetMode="External"/><Relationship Id="rId1" Type="http://schemas.openxmlformats.org/officeDocument/2006/relationships/hyperlink" Target="https://www.hubbardresearch.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sjsu.edu/economics"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0.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omments" Target="../comments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8.xml"/><Relationship Id="rId3" Type="http://schemas.openxmlformats.org/officeDocument/2006/relationships/vmlDrawing" Target="../drawings/vmlDrawing3.vml"/><Relationship Id="rId7" Type="http://schemas.openxmlformats.org/officeDocument/2006/relationships/ctrlProp" Target="../ctrlProps/ctrlProp1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16.xml"/><Relationship Id="rId5" Type="http://schemas.openxmlformats.org/officeDocument/2006/relationships/ctrlProp" Target="../ctrlProps/ctrlProp15.xml"/><Relationship Id="rId10" Type="http://schemas.openxmlformats.org/officeDocument/2006/relationships/comments" Target="../comments3.xml"/><Relationship Id="rId4" Type="http://schemas.openxmlformats.org/officeDocument/2006/relationships/ctrlProp" Target="../ctrlProps/ctrlProp14.xml"/><Relationship Id="rId9" Type="http://schemas.openxmlformats.org/officeDocument/2006/relationships/ctrlProp" Target="../ctrlProps/ctrlProp1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20.xml"/><Relationship Id="rId2" Type="http://schemas.openxmlformats.org/officeDocument/2006/relationships/vmlDrawing" Target="../drawings/vmlDrawing4.v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showRowColHeaders="0" zoomScaleNormal="100" workbookViewId="0"/>
  </sheetViews>
  <sheetFormatPr baseColWidth="10" defaultColWidth="8.5" defaultRowHeight="16" x14ac:dyDescent="0.2"/>
  <cols>
    <col min="1" max="1" width="8.5" style="252"/>
    <col min="2" max="2" width="10.1640625" style="252" bestFit="1" customWidth="1"/>
    <col min="3" max="16384" width="8.5" style="252"/>
  </cols>
  <sheetData>
    <row r="1" spans="1:15" ht="20" x14ac:dyDescent="0.2">
      <c r="H1" s="330" t="s">
        <v>19</v>
      </c>
    </row>
    <row r="2" spans="1:15" ht="20" x14ac:dyDescent="0.2">
      <c r="M2" s="313"/>
      <c r="O2" s="331" t="s">
        <v>137</v>
      </c>
    </row>
    <row r="3" spans="1:15" x14ac:dyDescent="0.2">
      <c r="C3" s="181"/>
    </row>
    <row r="6" spans="1:15" x14ac:dyDescent="0.2">
      <c r="A6" s="305" t="s">
        <v>212</v>
      </c>
    </row>
    <row r="7" spans="1:15" x14ac:dyDescent="0.2">
      <c r="B7" s="327"/>
    </row>
    <row r="12" spans="1:15" x14ac:dyDescent="0.2">
      <c r="C12" s="302"/>
    </row>
    <row r="13" spans="1:15" ht="20" x14ac:dyDescent="0.2">
      <c r="G13" s="331" t="s">
        <v>117</v>
      </c>
    </row>
    <row r="26" spans="7:12" s="208" customFormat="1" ht="11.5" customHeight="1" x14ac:dyDescent="0.2">
      <c r="G26" s="332" t="s">
        <v>185</v>
      </c>
    </row>
    <row r="27" spans="7:12" s="208" customFormat="1" ht="11.5" customHeight="1" x14ac:dyDescent="0.2">
      <c r="G27" s="332" t="s">
        <v>184</v>
      </c>
      <c r="L27" s="344" t="s">
        <v>186</v>
      </c>
    </row>
    <row r="28" spans="7:12" s="208" customFormat="1" ht="11.5" customHeight="1" x14ac:dyDescent="0.2">
      <c r="G28" s="332" t="s">
        <v>209</v>
      </c>
      <c r="L28" s="344" t="s">
        <v>186</v>
      </c>
    </row>
    <row r="29" spans="7:12" s="208" customFormat="1" ht="11.5" customHeight="1" x14ac:dyDescent="0.2">
      <c r="G29" s="332" t="s">
        <v>210</v>
      </c>
      <c r="L29" s="344" t="s">
        <v>186</v>
      </c>
    </row>
    <row r="30" spans="7:12" s="208" customFormat="1" ht="11.5" customHeight="1" x14ac:dyDescent="0.2">
      <c r="G30" s="332" t="s">
        <v>191</v>
      </c>
      <c r="L30" s="344" t="s">
        <v>186</v>
      </c>
    </row>
  </sheetData>
  <sheetProtection sheet="1" objects="1" scenarios="1"/>
  <hyperlinks>
    <hyperlink ref="L28" r:id="rId1" display="https://www.hubbardresearch.com/" xr:uid="{00000000-0004-0000-0000-000000000000}"/>
    <hyperlink ref="L27" r:id="rId2" xr:uid="{00000000-0004-0000-0000-000001000000}"/>
    <hyperlink ref="L29" r:id="rId3" xr:uid="{00000000-0004-0000-0000-000002000000}"/>
    <hyperlink ref="L30" r:id="rId4" xr:uid="{00000000-0004-0000-0000-000003000000}"/>
  </hyperlinks>
  <pageMargins left="0.7" right="0.7" top="0.75" bottom="0.75" header="0.3" footer="0.3"/>
  <pageSetup paperSize="9" orientation="portrait" horizontalDpi="4294967292" verticalDpi="0" r:id="rId5"/>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AY32"/>
  <sheetViews>
    <sheetView showRowColHeaders="0" zoomScaleNormal="100" workbookViewId="0"/>
  </sheetViews>
  <sheetFormatPr baseColWidth="10" defaultColWidth="8.83203125" defaultRowHeight="16" x14ac:dyDescent="0.2"/>
  <cols>
    <col min="1" max="1" width="2.83203125" style="175" customWidth="1"/>
    <col min="2" max="12" width="8.83203125" style="175"/>
    <col min="13" max="14" width="14.33203125" style="175" customWidth="1"/>
    <col min="15" max="16384" width="8.83203125" style="175"/>
  </cols>
  <sheetData>
    <row r="1" spans="5:51" x14ac:dyDescent="0.2">
      <c r="E1" s="173"/>
      <c r="F1" s="311" t="str">
        <f>'Loss Magnitude'!$Z$26</f>
        <v/>
      </c>
      <c r="G1" s="173"/>
      <c r="H1" s="173"/>
      <c r="I1" s="173"/>
      <c r="J1" s="173"/>
      <c r="K1" s="173"/>
      <c r="L1" s="173"/>
      <c r="M1" s="173"/>
      <c r="N1" s="173"/>
      <c r="O1" s="173"/>
    </row>
    <row r="2" spans="5:51" ht="19" x14ac:dyDescent="0.2">
      <c r="E2" s="189"/>
      <c r="F2" s="189"/>
      <c r="G2" s="253" t="str">
        <f>'SIPmath Chart Data'!$Z$2</f>
        <v>Loss Magnitude/yr. $000s</v>
      </c>
      <c r="H2" s="189"/>
      <c r="I2" s="189"/>
      <c r="J2" s="189"/>
      <c r="K2" s="189"/>
      <c r="L2" s="189"/>
      <c r="M2" s="189"/>
      <c r="N2" s="189"/>
      <c r="O2" s="189"/>
    </row>
    <row r="3" spans="5:51" x14ac:dyDescent="0.2">
      <c r="E3" s="189"/>
      <c r="F3" s="230"/>
      <c r="G3" s="215"/>
      <c r="H3" s="188"/>
      <c r="I3" s="215"/>
      <c r="J3" s="215"/>
      <c r="K3" s="188"/>
      <c r="L3" s="188"/>
      <c r="M3" s="235" t="str">
        <f>"Simulated "&amp;Metric</f>
        <v>Simulated Loss</v>
      </c>
      <c r="N3" s="187"/>
      <c r="O3" s="189"/>
    </row>
    <row r="4" spans="5:51" x14ac:dyDescent="0.2">
      <c r="E4" s="189"/>
      <c r="F4" s="188"/>
      <c r="G4" s="215"/>
      <c r="H4" s="188"/>
      <c r="I4" s="215"/>
      <c r="J4" s="215"/>
      <c r="K4" s="188"/>
      <c r="L4" s="188"/>
      <c r="M4" s="215"/>
      <c r="N4" s="236" t="str">
        <f>"Trial "&amp;PM_Index&amp;"/"&amp;PM_Trials</f>
        <v>Trial 1/100</v>
      </c>
      <c r="O4" s="189"/>
    </row>
    <row r="5" spans="5:51" ht="19" x14ac:dyDescent="0.25">
      <c r="E5" s="189"/>
      <c r="F5" s="215"/>
      <c r="G5" s="215"/>
      <c r="H5" s="215"/>
      <c r="I5" s="215"/>
      <c r="J5" s="215"/>
      <c r="K5" s="215"/>
      <c r="L5" s="215"/>
      <c r="M5" s="318" t="s">
        <v>131</v>
      </c>
      <c r="N5" s="318" t="s">
        <v>158</v>
      </c>
      <c r="O5" s="189"/>
      <c r="Q5" s="252"/>
      <c r="R5" s="252"/>
    </row>
    <row r="6" spans="5:51" ht="19" x14ac:dyDescent="0.25">
      <c r="E6" s="189"/>
      <c r="F6" s="215"/>
      <c r="G6" s="215"/>
      <c r="H6" s="215"/>
      <c r="I6" s="215"/>
      <c r="J6" s="215"/>
      <c r="K6" s="215"/>
      <c r="L6" s="215"/>
      <c r="M6" s="319">
        <f>INDEX(AX7:AX8,Mag_Event)</f>
        <v>106.13151616017062</v>
      </c>
      <c r="N6" s="320">
        <f>INDEX(AY7:AY8,Mag_Event)</f>
        <v>106.13151616017062</v>
      </c>
      <c r="O6" s="189"/>
    </row>
    <row r="7" spans="5:51" ht="19" x14ac:dyDescent="0.25">
      <c r="E7" s="189"/>
      <c r="F7" s="215"/>
      <c r="G7" s="215"/>
      <c r="H7" s="215"/>
      <c r="I7" s="215"/>
      <c r="J7" s="215"/>
      <c r="K7" s="215"/>
      <c r="L7" s="215"/>
      <c r="M7" s="321" t="s">
        <v>157</v>
      </c>
      <c r="N7" s="321">
        <f>M6-N6</f>
        <v>0</v>
      </c>
      <c r="O7" s="189"/>
      <c r="AX7" s="275">
        <f>Current_Calc!$E$5</f>
        <v>106.13151616017062</v>
      </c>
      <c r="AY7" s="275">
        <f>Proposed_Calc!$E$5</f>
        <v>106.13151616017062</v>
      </c>
    </row>
    <row r="8" spans="5:51" x14ac:dyDescent="0.2">
      <c r="E8" s="189"/>
      <c r="F8" s="215"/>
      <c r="G8" s="215"/>
      <c r="H8" s="215"/>
      <c r="I8" s="215"/>
      <c r="J8" s="215"/>
      <c r="K8" s="215"/>
      <c r="L8" s="215"/>
      <c r="M8" s="215"/>
      <c r="N8" s="215"/>
      <c r="O8" s="189"/>
      <c r="AX8" s="275">
        <f>Current_Calc!$L$12</f>
        <v>2</v>
      </c>
      <c r="AY8" s="275">
        <f>Proposed_Calc!L12</f>
        <v>2</v>
      </c>
    </row>
    <row r="9" spans="5:51" x14ac:dyDescent="0.2">
      <c r="E9" s="189"/>
      <c r="F9" s="215"/>
      <c r="G9" s="215"/>
      <c r="H9" s="215"/>
      <c r="I9" s="215"/>
      <c r="J9" s="215"/>
      <c r="K9" s="215"/>
      <c r="L9" s="215"/>
      <c r="M9" s="237" t="str">
        <f>"Average "&amp;Metric</f>
        <v>Average Loss</v>
      </c>
      <c r="N9" s="235"/>
      <c r="O9" s="189"/>
      <c r="AX9" s="275"/>
      <c r="AY9" s="275"/>
    </row>
    <row r="10" spans="5:51" ht="19" x14ac:dyDescent="0.25">
      <c r="E10" s="189"/>
      <c r="F10" s="215"/>
      <c r="G10" s="215"/>
      <c r="H10" s="215"/>
      <c r="I10" s="215"/>
      <c r="J10" s="215"/>
      <c r="K10" s="215"/>
      <c r="L10" s="215"/>
      <c r="M10" s="318" t="s">
        <v>131</v>
      </c>
      <c r="N10" s="318" t="s">
        <v>158</v>
      </c>
      <c r="O10" s="189"/>
      <c r="AX10" s="275"/>
      <c r="AY10" s="275"/>
    </row>
    <row r="11" spans="5:51" ht="19" x14ac:dyDescent="0.25">
      <c r="E11" s="189"/>
      <c r="F11" s="215"/>
      <c r="G11" s="215"/>
      <c r="H11" s="215"/>
      <c r="I11" s="215"/>
      <c r="J11" s="215"/>
      <c r="K11" s="215"/>
      <c r="L11" s="215"/>
      <c r="M11" s="319">
        <f>INDEX(AX12:AX13,Mag_Event)</f>
        <v>95.708910743972453</v>
      </c>
      <c r="N11" s="320">
        <f>INDEX(AY12:AY13,Mag_Event)</f>
        <v>95.708910743972453</v>
      </c>
      <c r="O11" s="189"/>
      <c r="AX11" s="275"/>
      <c r="AY11" s="275"/>
    </row>
    <row r="12" spans="5:51" ht="19" x14ac:dyDescent="0.25">
      <c r="E12" s="189"/>
      <c r="F12" s="215"/>
      <c r="G12" s="215"/>
      <c r="H12" s="215"/>
      <c r="I12" s="215"/>
      <c r="J12" s="215"/>
      <c r="K12" s="215"/>
      <c r="L12" s="215"/>
      <c r="M12" s="321" t="s">
        <v>157</v>
      </c>
      <c r="N12" s="321">
        <f>M11-N11</f>
        <v>0</v>
      </c>
      <c r="O12" s="189"/>
      <c r="AX12" s="275">
        <f>AVERAGE(Risk)</f>
        <v>95.708910743972453</v>
      </c>
      <c r="AY12" s="275">
        <f>AVERAGE(What_If)</f>
        <v>95.708910743972453</v>
      </c>
    </row>
    <row r="13" spans="5:51" x14ac:dyDescent="0.2">
      <c r="E13" s="189"/>
      <c r="F13" s="215"/>
      <c r="G13" s="189"/>
      <c r="H13" s="189"/>
      <c r="I13" s="189"/>
      <c r="J13" s="189"/>
      <c r="K13" s="189"/>
      <c r="L13" s="189"/>
      <c r="M13" s="215"/>
      <c r="N13" s="215"/>
      <c r="O13" s="189"/>
      <c r="AX13" s="275">
        <f>AVERAGE(Current_Loss_Events)</f>
        <v>1.41</v>
      </c>
      <c r="AY13" s="275">
        <f>AVERAGE(Proposed_Loss_Events)</f>
        <v>1.41</v>
      </c>
    </row>
    <row r="14" spans="5:51" ht="19" x14ac:dyDescent="0.25">
      <c r="E14" s="189"/>
      <c r="F14" s="215"/>
      <c r="G14" s="189"/>
      <c r="H14" s="189"/>
      <c r="I14" s="189"/>
      <c r="J14" s="189"/>
      <c r="K14" s="189"/>
      <c r="L14" s="189"/>
      <c r="M14" s="314" t="str">
        <f>"Percentile "&amp;Metric</f>
        <v>Percentile Loss</v>
      </c>
      <c r="N14" s="322">
        <v>0.95</v>
      </c>
      <c r="O14" s="189"/>
      <c r="AX14" s="275"/>
      <c r="AY14" s="275"/>
    </row>
    <row r="15" spans="5:51" ht="19" x14ac:dyDescent="0.25">
      <c r="E15" s="189"/>
      <c r="F15" s="215"/>
      <c r="G15" s="188"/>
      <c r="H15" s="215"/>
      <c r="I15" s="231"/>
      <c r="J15" s="231"/>
      <c r="K15" s="231"/>
      <c r="L15" s="215"/>
      <c r="M15" s="318" t="s">
        <v>131</v>
      </c>
      <c r="N15" s="318" t="s">
        <v>158</v>
      </c>
      <c r="O15" s="189"/>
      <c r="AX15" s="275"/>
      <c r="AY15" s="275"/>
    </row>
    <row r="16" spans="5:51" ht="19" x14ac:dyDescent="0.25">
      <c r="E16" s="189"/>
      <c r="F16" s="215"/>
      <c r="G16" s="188"/>
      <c r="H16" s="232"/>
      <c r="I16" s="215"/>
      <c r="J16" s="232"/>
      <c r="K16" s="233"/>
      <c r="L16" s="215"/>
      <c r="M16" s="319">
        <f>INDEX(AX17:AX18,Mag_Event)</f>
        <v>258.41589998405334</v>
      </c>
      <c r="N16" s="320">
        <f>INDEX(AY17:AY18,Mag_Event)</f>
        <v>258.41589998405334</v>
      </c>
      <c r="O16" s="189"/>
      <c r="AX16" s="275"/>
      <c r="AY16" s="275"/>
    </row>
    <row r="17" spans="3:51" ht="19" x14ac:dyDescent="0.25">
      <c r="E17" s="189"/>
      <c r="F17" s="215"/>
      <c r="G17" s="215"/>
      <c r="H17" s="215"/>
      <c r="I17" s="234"/>
      <c r="J17" s="215"/>
      <c r="K17" s="215"/>
      <c r="L17" s="215"/>
      <c r="M17" s="321" t="s">
        <v>157</v>
      </c>
      <c r="N17" s="321">
        <f>M16-N16</f>
        <v>0</v>
      </c>
      <c r="O17" s="189"/>
      <c r="AX17" s="275">
        <f>PERCENTILE(Risk,$N$14)</f>
        <v>258.41589998405334</v>
      </c>
      <c r="AY17" s="275">
        <f>PERCENTILE(What_If,$N$14)</f>
        <v>258.41589998405334</v>
      </c>
    </row>
    <row r="18" spans="3:51" x14ac:dyDescent="0.2">
      <c r="E18" s="189"/>
      <c r="F18" s="215"/>
      <c r="G18" s="215"/>
      <c r="H18" s="215"/>
      <c r="I18" s="215"/>
      <c r="J18" s="215"/>
      <c r="K18" s="215"/>
      <c r="L18" s="215"/>
      <c r="M18" s="215"/>
      <c r="N18" s="215"/>
      <c r="O18" s="189"/>
      <c r="AX18" s="275">
        <f>PERCENTILE(Current_Loss_Events,$N$14)</f>
        <v>4</v>
      </c>
      <c r="AY18" s="275">
        <f>PERCENTILE(Proposed_Loss_Events,$N$14)</f>
        <v>4</v>
      </c>
    </row>
    <row r="19" spans="3:51" x14ac:dyDescent="0.2">
      <c r="E19" s="189"/>
      <c r="F19" s="189"/>
      <c r="G19" s="189"/>
      <c r="H19" s="189"/>
      <c r="I19" s="189"/>
      <c r="J19" s="189"/>
      <c r="K19" s="189"/>
      <c r="L19" s="189"/>
      <c r="M19" s="235" t="str">
        <f>"Chance "&amp;Metric</f>
        <v>Chance Loss</v>
      </c>
      <c r="N19" s="235"/>
      <c r="O19" s="189"/>
      <c r="AX19" s="275"/>
      <c r="AY19" s="275"/>
    </row>
    <row r="20" spans="3:51" ht="19" x14ac:dyDescent="0.25">
      <c r="E20" s="189"/>
      <c r="F20" s="189"/>
      <c r="G20" s="189"/>
      <c r="H20" s="189"/>
      <c r="I20" s="231"/>
      <c r="J20" s="231"/>
      <c r="K20" s="231"/>
      <c r="L20" s="231"/>
      <c r="M20" s="235" t="s">
        <v>159</v>
      </c>
      <c r="N20" s="323">
        <v>5</v>
      </c>
      <c r="O20" s="189"/>
      <c r="AX20" s="275"/>
      <c r="AY20" s="275"/>
    </row>
    <row r="21" spans="3:51" ht="19" x14ac:dyDescent="0.25">
      <c r="E21" s="189"/>
      <c r="F21" s="189"/>
      <c r="G21" s="189"/>
      <c r="H21" s="189"/>
      <c r="I21" s="189"/>
      <c r="J21" s="189"/>
      <c r="K21" s="189"/>
      <c r="L21" s="189"/>
      <c r="M21" s="318" t="s">
        <v>131</v>
      </c>
      <c r="N21" s="318" t="s">
        <v>158</v>
      </c>
      <c r="O21" s="189"/>
      <c r="AX21" s="275"/>
      <c r="AY21" s="275"/>
    </row>
    <row r="22" spans="3:51" ht="19" x14ac:dyDescent="0.25">
      <c r="E22" s="189"/>
      <c r="F22" s="189"/>
      <c r="G22" s="189"/>
      <c r="H22" s="189"/>
      <c r="I22" s="189"/>
      <c r="J22" s="189"/>
      <c r="K22" s="189"/>
      <c r="L22" s="189"/>
      <c r="M22" s="324">
        <f>INDEX(AX23:AX24,Mag_Event)</f>
        <v>0.73</v>
      </c>
      <c r="N22" s="325">
        <f>INDEX(AY23:AY24,Mag_Event)</f>
        <v>0.73</v>
      </c>
      <c r="O22" s="189"/>
      <c r="AX22" s="275"/>
      <c r="AY22" s="275"/>
    </row>
    <row r="23" spans="3:51" ht="19" x14ac:dyDescent="0.25">
      <c r="E23" s="189"/>
      <c r="F23" s="189"/>
      <c r="G23" s="189"/>
      <c r="H23" s="189"/>
      <c r="I23" s="189"/>
      <c r="J23" s="189"/>
      <c r="K23" s="189"/>
      <c r="L23" s="189"/>
      <c r="M23" s="321" t="s">
        <v>157</v>
      </c>
      <c r="N23" s="326">
        <f>M22-N22</f>
        <v>0</v>
      </c>
      <c r="O23" s="189"/>
      <c r="AX23" s="275">
        <f>COUNTIF(Risk,"&gt;"&amp;$N$20)/PM_Trials</f>
        <v>0.73</v>
      </c>
      <c r="AY23" s="275">
        <f>COUNTIF(What_If,"&gt;"&amp;$N$20)/PM_Trials</f>
        <v>0.73</v>
      </c>
    </row>
    <row r="24" spans="3:51" x14ac:dyDescent="0.2">
      <c r="E24" s="189"/>
      <c r="F24" s="189"/>
      <c r="G24" s="189"/>
      <c r="H24" s="189"/>
      <c r="I24" s="189"/>
      <c r="J24" s="189"/>
      <c r="K24" s="189"/>
      <c r="L24" s="189"/>
      <c r="M24" s="189"/>
      <c r="N24" s="189"/>
      <c r="O24" s="189"/>
      <c r="X24" s="173"/>
      <c r="AX24" s="275">
        <f>COUNTIF(Current_Loss_Events,"&gt;"&amp;$N$20)/PM_Trials</f>
        <v>0</v>
      </c>
      <c r="AY24" s="275">
        <f>COUNTIF(Proposed_Loss_Events,"&gt;"&amp;$N$20)/PM_Trials</f>
        <v>0</v>
      </c>
    </row>
    <row r="25" spans="3:51" x14ac:dyDescent="0.2">
      <c r="E25" s="341" t="s">
        <v>170</v>
      </c>
      <c r="F25" s="341" t="s">
        <v>208</v>
      </c>
      <c r="I25" s="340" t="s">
        <v>37</v>
      </c>
      <c r="J25" s="173"/>
      <c r="K25" s="340" t="s">
        <v>38</v>
      </c>
      <c r="L25" s="173"/>
      <c r="M25" s="339" t="s">
        <v>182</v>
      </c>
      <c r="N25" s="251"/>
      <c r="O25" s="251"/>
      <c r="P25" s="251"/>
      <c r="X25" s="173"/>
    </row>
    <row r="26" spans="3:51" x14ac:dyDescent="0.2">
      <c r="E26" s="301" t="s">
        <v>171</v>
      </c>
      <c r="F26" s="262" t="s">
        <v>172</v>
      </c>
      <c r="I26" s="263">
        <f>'Loss Magnitude'!$BQ$15</f>
        <v>10</v>
      </c>
      <c r="K26" s="263">
        <f>'Loss Magnitude'!$BR$15*5</f>
        <v>50</v>
      </c>
      <c r="M26" s="174"/>
      <c r="N26" s="172"/>
      <c r="O26" s="172"/>
      <c r="P26" s="311" t="str">
        <f>'Loss Magnitude'!$Z$26</f>
        <v/>
      </c>
    </row>
    <row r="27" spans="3:51" x14ac:dyDescent="0.2">
      <c r="M27" s="345" t="str">
        <f>INDEX('Loss Magnitude'!$BC$2:$BC$5,'Loss Magnitude'!$AZ$1)</f>
        <v>Sums Primary and Secondary Risk across all potential events</v>
      </c>
      <c r="N27" s="345"/>
      <c r="O27" s="345"/>
      <c r="P27" s="304"/>
      <c r="U27" s="203"/>
    </row>
    <row r="28" spans="3:51" x14ac:dyDescent="0.2">
      <c r="M28" s="345"/>
      <c r="N28" s="345"/>
      <c r="O28" s="345"/>
      <c r="P28" s="304"/>
    </row>
    <row r="29" spans="3:51" x14ac:dyDescent="0.2">
      <c r="M29" s="345"/>
      <c r="N29" s="345"/>
      <c r="O29" s="345"/>
      <c r="P29" s="304"/>
    </row>
    <row r="31" spans="3:51" x14ac:dyDescent="0.2">
      <c r="C31" s="333"/>
    </row>
    <row r="32" spans="3:51" x14ac:dyDescent="0.2">
      <c r="C32" s="252"/>
    </row>
  </sheetData>
  <sheetProtection sheet="1" objects="1" scenarios="1"/>
  <mergeCells count="1">
    <mergeCell ref="M27:O2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Spinner 1">
              <controlPr defaultSize="0" autoPict="0">
                <anchor moveWithCells="1" sizeWithCells="1">
                  <from>
                    <xdr:col>14</xdr:col>
                    <xdr:colOff>76200</xdr:colOff>
                    <xdr:row>2</xdr:row>
                    <xdr:rowOff>50800</xdr:rowOff>
                  </from>
                  <to>
                    <xdr:col>14</xdr:col>
                    <xdr:colOff>266700</xdr:colOff>
                    <xdr:row>4</xdr:row>
                    <xdr:rowOff>63500</xdr:rowOff>
                  </to>
                </anchor>
              </controlPr>
            </control>
          </mc:Choice>
        </mc:AlternateContent>
        <mc:AlternateContent xmlns:mc="http://schemas.openxmlformats.org/markup-compatibility/2006">
          <mc:Choice Requires="x14">
            <control shapeId="11271" r:id="rId5" name="Spinner 7">
              <controlPr defaultSize="0" autoPict="0">
                <anchor moveWithCells="1" sizeWithCells="1">
                  <from>
                    <xdr:col>9</xdr:col>
                    <xdr:colOff>25400</xdr:colOff>
                    <xdr:row>24</xdr:row>
                    <xdr:rowOff>165100</xdr:rowOff>
                  </from>
                  <to>
                    <xdr:col>9</xdr:col>
                    <xdr:colOff>609600</xdr:colOff>
                    <xdr:row>26</xdr:row>
                    <xdr:rowOff>25400</xdr:rowOff>
                  </to>
                </anchor>
              </controlPr>
            </control>
          </mc:Choice>
        </mc:AlternateContent>
        <mc:AlternateContent xmlns:mc="http://schemas.openxmlformats.org/markup-compatibility/2006">
          <mc:Choice Requires="x14">
            <control shapeId="11272" r:id="rId6" name="Spinner 8">
              <controlPr defaultSize="0" autoPict="0">
                <anchor moveWithCells="1" sizeWithCells="1">
                  <from>
                    <xdr:col>11</xdr:col>
                    <xdr:colOff>12700</xdr:colOff>
                    <xdr:row>24</xdr:row>
                    <xdr:rowOff>152400</xdr:rowOff>
                  </from>
                  <to>
                    <xdr:col>11</xdr:col>
                    <xdr:colOff>596900</xdr:colOff>
                    <xdr:row>26</xdr:row>
                    <xdr:rowOff>25400</xdr:rowOff>
                  </to>
                </anchor>
              </controlPr>
            </control>
          </mc:Choice>
        </mc:AlternateContent>
        <mc:AlternateContent xmlns:mc="http://schemas.openxmlformats.org/markup-compatibility/2006">
          <mc:Choice Requires="x14">
            <control shapeId="11274" r:id="rId7" name="Drop Down 10">
              <controlPr defaultSize="0" autoLine="0" autoPict="0">
                <anchor moveWithCells="1">
                  <from>
                    <xdr:col>12</xdr:col>
                    <xdr:colOff>25400</xdr:colOff>
                    <xdr:row>24</xdr:row>
                    <xdr:rowOff>165100</xdr:rowOff>
                  </from>
                  <to>
                    <xdr:col>13</xdr:col>
                    <xdr:colOff>228600</xdr:colOff>
                    <xdr:row>26</xdr:row>
                    <xdr:rowOff>63500</xdr:rowOff>
                  </to>
                </anchor>
              </controlPr>
            </control>
          </mc:Choice>
        </mc:AlternateContent>
        <mc:AlternateContent xmlns:mc="http://schemas.openxmlformats.org/markup-compatibility/2006">
          <mc:Choice Requires="x14">
            <control shapeId="11280" r:id="rId8" name="Drop Down 16">
              <controlPr defaultSize="0" autoLine="0" autoPict="0">
                <anchor moveWithCells="1">
                  <from>
                    <xdr:col>10</xdr:col>
                    <xdr:colOff>63500</xdr:colOff>
                    <xdr:row>2</xdr:row>
                    <xdr:rowOff>25400</xdr:rowOff>
                  </from>
                  <to>
                    <xdr:col>11</xdr:col>
                    <xdr:colOff>228600</xdr:colOff>
                    <xdr:row>3</xdr:row>
                    <xdr:rowOff>25400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2" id="{E156B28F-69FE-49E5-86EA-7F087156F498}">
            <xm:f>'SIPmath Chart Data'!$AB$2=2</xm:f>
            <x14:dxf>
              <font>
                <color theme="0" tint="-4.9989318521683403E-2"/>
              </font>
              <fill>
                <patternFill>
                  <bgColor theme="0" tint="-4.9989318521683403E-2"/>
                </patternFill>
              </fill>
            </x14:dxf>
          </x14:cfRule>
          <xm:sqref>K25:K26</xm:sqref>
        </x14:conditionalFormatting>
        <x14:conditionalFormatting xmlns:xm="http://schemas.microsoft.com/office/excel/2006/main">
          <x14:cfRule type="expression" priority="1" id="{5980598F-0D7C-4C92-B31C-B68CE797EB19}">
            <xm:f>'SIPmath Chart Data'!$AB$2=2</xm:f>
            <x14:dxf>
              <font>
                <color theme="0" tint="-4.9989318521683403E-2"/>
              </font>
              <fill>
                <patternFill>
                  <bgColor theme="0" tint="-4.9989318521683403E-2"/>
                </patternFill>
              </fill>
            </x14:dxf>
          </x14:cfRule>
          <xm:sqref>I25:I26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CA49"/>
  <sheetViews>
    <sheetView showRowColHeaders="0" tabSelected="1" zoomScaleNormal="100" zoomScalePageLayoutView="60" workbookViewId="0"/>
  </sheetViews>
  <sheetFormatPr baseColWidth="10" defaultColWidth="8.83203125" defaultRowHeight="16" x14ac:dyDescent="0.2"/>
  <cols>
    <col min="1" max="1" width="1.83203125" style="173" customWidth="1"/>
    <col min="2" max="2" width="5.5" style="173" customWidth="1"/>
    <col min="3" max="4" width="4.5" style="173" customWidth="1"/>
    <col min="5" max="5" width="2.33203125" style="173" customWidth="1"/>
    <col min="6" max="6" width="5" style="173" customWidth="1"/>
    <col min="7" max="8" width="4.5" style="173" customWidth="1"/>
    <col min="9" max="10" width="4" style="173" customWidth="1"/>
    <col min="11" max="11" width="4.33203125" style="173" customWidth="1"/>
    <col min="12" max="12" width="4" style="173" customWidth="1"/>
    <col min="13" max="13" width="4.5" style="173" customWidth="1"/>
    <col min="14" max="14" width="4.83203125" style="173" customWidth="1"/>
    <col min="15" max="15" width="4.5" style="173" customWidth="1"/>
    <col min="16" max="17" width="4" style="173" customWidth="1"/>
    <col min="18" max="18" width="4.5" style="173" customWidth="1"/>
    <col min="19" max="19" width="3" style="173" customWidth="1"/>
    <col min="20" max="20" width="1.1640625" style="173" customWidth="1"/>
    <col min="21" max="21" width="3.5" style="173" customWidth="1"/>
    <col min="22" max="28" width="7" style="173" customWidth="1"/>
    <col min="29" max="29" width="7.5" style="173" customWidth="1"/>
    <col min="30" max="30" width="7" style="173" customWidth="1"/>
    <col min="31" max="31" width="3.5" style="173" customWidth="1"/>
    <col min="32" max="16384" width="8.83203125" style="173"/>
  </cols>
  <sheetData>
    <row r="1" spans="1:79" ht="15.75" customHeight="1" x14ac:dyDescent="0.2">
      <c r="A1" s="173" t="s">
        <v>214</v>
      </c>
      <c r="C1" s="172"/>
      <c r="M1" s="172"/>
      <c r="N1" s="172"/>
      <c r="W1" s="312" t="str">
        <f>'Loss Magnitude'!R1</f>
        <v/>
      </c>
      <c r="AF1" s="175"/>
    </row>
    <row r="2" spans="1:79" ht="15.75" customHeight="1" x14ac:dyDescent="0.2">
      <c r="G2" s="239" t="s">
        <v>162</v>
      </c>
      <c r="H2" s="187"/>
      <c r="I2" s="188"/>
      <c r="J2" s="188"/>
      <c r="K2" s="188"/>
      <c r="L2" s="188"/>
      <c r="M2" s="172"/>
      <c r="N2" s="172"/>
      <c r="U2" s="189"/>
      <c r="V2" s="189"/>
      <c r="W2" s="254" t="str">
        <f>'Loss Magnitude'!R2</f>
        <v>Loss Magnitude/yr. $000s</v>
      </c>
      <c r="X2" s="189"/>
      <c r="Y2" s="189"/>
      <c r="Z2" s="189"/>
      <c r="AA2" s="189"/>
      <c r="AB2" s="189"/>
      <c r="AC2" s="189"/>
      <c r="AD2" s="189"/>
      <c r="AE2" s="189"/>
      <c r="AF2" s="175"/>
      <c r="BU2" s="265"/>
      <c r="BV2" s="265"/>
      <c r="BW2" s="265"/>
      <c r="BX2" s="265"/>
      <c r="BY2" s="265"/>
      <c r="BZ2" s="265"/>
    </row>
    <row r="3" spans="1:79" ht="15.75" customHeight="1" x14ac:dyDescent="0.2">
      <c r="G3" s="189"/>
      <c r="H3" s="188"/>
      <c r="I3" s="192" t="str">
        <f>IF(OR(BV4,BV5),BY3,BW3)</f>
        <v>Min     ML    Max</v>
      </c>
      <c r="J3" s="191"/>
      <c r="K3" s="210"/>
      <c r="L3" s="210"/>
      <c r="M3" s="172"/>
      <c r="N3" s="172"/>
      <c r="U3" s="189"/>
      <c r="V3" s="230"/>
      <c r="W3" s="215"/>
      <c r="X3" s="188"/>
      <c r="Y3" s="215"/>
      <c r="Z3" s="215"/>
      <c r="AA3" s="188"/>
      <c r="AB3" s="188"/>
      <c r="AC3" s="235" t="str">
        <f>"Simulated "&amp;Metric</f>
        <v>Simulated Loss</v>
      </c>
      <c r="AD3" s="187"/>
      <c r="AE3" s="189"/>
      <c r="AF3" s="175"/>
      <c r="AH3" s="177"/>
      <c r="AI3" s="174"/>
      <c r="BF3" s="178" t="s">
        <v>121</v>
      </c>
      <c r="BG3" s="172">
        <f>IF(I5="",I4,I5)</f>
        <v>0</v>
      </c>
      <c r="BH3" s="172">
        <f>IF(J5="",J4,J5)</f>
        <v>1</v>
      </c>
      <c r="BI3" s="172">
        <f>IF(K5="",K4,K5)</f>
        <v>3</v>
      </c>
      <c r="BK3" s="173" t="s">
        <v>150</v>
      </c>
      <c r="BM3" s="173">
        <f>IF(M12="",M11,M12)</f>
        <v>0.3</v>
      </c>
      <c r="BN3" s="173">
        <f>IF(N12="",N11,N12)</f>
        <v>0.4</v>
      </c>
      <c r="BO3" s="173">
        <f>IF(O12="",O11,O12)</f>
        <v>0.6</v>
      </c>
      <c r="BT3" s="173" t="s">
        <v>122</v>
      </c>
      <c r="BU3" s="265"/>
      <c r="BV3" s="265" t="b">
        <v>0</v>
      </c>
      <c r="BW3" s="266" t="s">
        <v>138</v>
      </c>
      <c r="BX3" s="265"/>
      <c r="BY3" s="267" t="s">
        <v>155</v>
      </c>
      <c r="BZ3" s="265"/>
      <c r="CA3" s="176"/>
    </row>
    <row r="4" spans="1:79" ht="15.75" customHeight="1" x14ac:dyDescent="0.2">
      <c r="G4" s="189"/>
      <c r="H4" s="190" t="s">
        <v>115</v>
      </c>
      <c r="I4" s="269">
        <v>0</v>
      </c>
      <c r="J4" s="269">
        <v>1</v>
      </c>
      <c r="K4" s="269">
        <v>3</v>
      </c>
      <c r="L4" s="188"/>
      <c r="M4" s="238" t="s">
        <v>165</v>
      </c>
      <c r="N4" s="172"/>
      <c r="O4" s="178"/>
      <c r="U4" s="189"/>
      <c r="V4" s="188"/>
      <c r="W4" s="215"/>
      <c r="X4" s="188"/>
      <c r="Y4" s="215"/>
      <c r="Z4" s="215"/>
      <c r="AA4" s="188"/>
      <c r="AB4" s="188"/>
      <c r="AC4" s="240" t="str">
        <f>"    Trial "&amp;PM_Index&amp;"/"&amp;PM_Trials</f>
        <v xml:space="preserve">    Trial 1/100</v>
      </c>
      <c r="AD4" s="187"/>
      <c r="AE4" s="189"/>
      <c r="AF4" s="175"/>
      <c r="AG4" s="175"/>
      <c r="AH4" s="179"/>
      <c r="AI4" s="175"/>
      <c r="BF4" s="178" t="s">
        <v>147</v>
      </c>
      <c r="BG4" s="173">
        <f>IF(F12="",F11,F12)</f>
        <v>0</v>
      </c>
      <c r="BH4" s="173">
        <f>IF(G12="",G11,G12)</f>
        <v>6</v>
      </c>
      <c r="BI4" s="173">
        <f>IF(H12="",H11,H12)</f>
        <v>12</v>
      </c>
      <c r="BT4" s="173" t="s">
        <v>119</v>
      </c>
      <c r="BU4" s="265"/>
      <c r="BV4" s="268" t="b">
        <f>OR(B1&lt;&gt;"",BV3)</f>
        <v>0</v>
      </c>
      <c r="BW4" s="266" t="s">
        <v>118</v>
      </c>
      <c r="BX4" s="265"/>
      <c r="BY4" s="267" t="s">
        <v>155</v>
      </c>
      <c r="BZ4" s="265"/>
      <c r="CA4" s="176"/>
    </row>
    <row r="5" spans="1:79" ht="15.75" customHeight="1" x14ac:dyDescent="0.2">
      <c r="G5" s="189"/>
      <c r="H5" s="190" t="s">
        <v>116</v>
      </c>
      <c r="I5" s="269"/>
      <c r="J5" s="269"/>
      <c r="K5" s="269"/>
      <c r="L5" s="188"/>
      <c r="M5" s="238" t="s">
        <v>165</v>
      </c>
      <c r="N5" s="172"/>
      <c r="U5" s="189"/>
      <c r="V5" s="215"/>
      <c r="W5" s="215"/>
      <c r="X5" s="215"/>
      <c r="Y5" s="215"/>
      <c r="Z5" s="215"/>
      <c r="AA5" s="215"/>
      <c r="AB5" s="215"/>
      <c r="AC5" s="191" t="s">
        <v>131</v>
      </c>
      <c r="AD5" s="191" t="s">
        <v>158</v>
      </c>
      <c r="AE5" s="189"/>
      <c r="AF5" s="175"/>
      <c r="BT5" s="173" t="s">
        <v>120</v>
      </c>
      <c r="BU5" s="265"/>
      <c r="BV5" s="265" t="b">
        <f>BV4</f>
        <v>0</v>
      </c>
      <c r="BW5" s="266" t="s">
        <v>118</v>
      </c>
      <c r="BX5" s="265"/>
      <c r="BY5" s="267" t="s">
        <v>155</v>
      </c>
      <c r="BZ5" s="265"/>
      <c r="CA5" s="194"/>
    </row>
    <row r="6" spans="1:79" ht="15.75" customHeight="1" x14ac:dyDescent="0.2">
      <c r="G6" s="189"/>
      <c r="H6" s="243" t="s">
        <v>130</v>
      </c>
      <c r="I6" s="188"/>
      <c r="J6" s="188"/>
      <c r="K6" s="188"/>
      <c r="L6" s="188"/>
      <c r="M6" s="172"/>
      <c r="N6" s="172"/>
      <c r="U6" s="189"/>
      <c r="V6" s="215"/>
      <c r="W6" s="215"/>
      <c r="X6" s="215"/>
      <c r="Y6" s="215"/>
      <c r="Z6" s="215"/>
      <c r="AA6" s="215"/>
      <c r="AB6" s="215"/>
      <c r="AC6" s="255">
        <f>INDEX(BA6:BA7,Mag_Event)</f>
        <v>106.13151616017062</v>
      </c>
      <c r="AD6" s="257">
        <f>INDEX(BB6:BB7,Mag_Event)</f>
        <v>106.13151616017062</v>
      </c>
      <c r="AE6" s="189"/>
      <c r="AF6" s="175"/>
      <c r="BA6" s="275">
        <f>Current_Calc!$E$5</f>
        <v>106.13151616017062</v>
      </c>
      <c r="BB6" s="275">
        <f>Proposed_Calc!$E$5</f>
        <v>106.13151616017062</v>
      </c>
      <c r="BT6" s="173" t="s">
        <v>123</v>
      </c>
      <c r="BU6" s="265"/>
      <c r="BV6" s="265" t="b">
        <v>1</v>
      </c>
      <c r="BW6" s="265"/>
      <c r="BX6" s="265"/>
      <c r="BY6" s="265"/>
      <c r="BZ6" s="265"/>
    </row>
    <row r="7" spans="1:79" ht="15.75" customHeight="1" x14ac:dyDescent="0.2">
      <c r="C7" s="172"/>
      <c r="L7" s="174"/>
      <c r="M7" s="172"/>
      <c r="N7" s="172"/>
      <c r="U7" s="189"/>
      <c r="V7" s="215"/>
      <c r="W7" s="215"/>
      <c r="X7" s="215"/>
      <c r="Y7" s="215"/>
      <c r="Z7" s="215"/>
      <c r="AA7" s="215"/>
      <c r="AB7" s="215"/>
      <c r="AC7" s="278" t="s">
        <v>157</v>
      </c>
      <c r="AD7" s="256">
        <f>AC6-AD6</f>
        <v>0</v>
      </c>
      <c r="AE7" s="189"/>
      <c r="AF7" s="175"/>
      <c r="BA7" s="275">
        <f>Current_Calc!$L$12</f>
        <v>2</v>
      </c>
      <c r="BB7" s="275">
        <f>Proposed_Calc!AB12</f>
        <v>0</v>
      </c>
      <c r="BT7" s="173" t="s">
        <v>124</v>
      </c>
      <c r="BU7" s="265"/>
      <c r="BV7" s="265" t="b">
        <f>TEF_CF</f>
        <v>1</v>
      </c>
      <c r="BW7" s="265"/>
      <c r="BX7" s="265"/>
      <c r="BY7" s="265"/>
      <c r="BZ7" s="265"/>
    </row>
    <row r="8" spans="1:79" ht="15.75" customHeight="1" x14ac:dyDescent="0.2">
      <c r="U8" s="189"/>
      <c r="V8" s="215"/>
      <c r="W8" s="215"/>
      <c r="X8" s="215"/>
      <c r="Y8" s="215"/>
      <c r="Z8" s="215"/>
      <c r="AA8" s="215"/>
      <c r="AB8" s="215"/>
      <c r="AC8" s="215"/>
      <c r="AD8" s="215"/>
      <c r="AE8" s="189"/>
      <c r="AF8" s="175"/>
      <c r="BA8" s="275"/>
      <c r="BB8" s="275"/>
      <c r="BD8" s="173" t="s">
        <v>35</v>
      </c>
      <c r="BT8" s="173" t="s">
        <v>128</v>
      </c>
      <c r="BU8" s="265"/>
      <c r="BV8" s="265" t="b">
        <v>1</v>
      </c>
      <c r="BW8" s="265"/>
      <c r="BX8" s="265"/>
      <c r="BY8" s="265"/>
      <c r="BZ8" s="265"/>
    </row>
    <row r="9" spans="1:79" ht="15.75" customHeight="1" x14ac:dyDescent="0.25">
      <c r="D9" s="237" t="s">
        <v>152</v>
      </c>
      <c r="E9" s="188"/>
      <c r="F9" s="188"/>
      <c r="G9" s="188"/>
      <c r="H9" s="188"/>
      <c r="I9" s="282"/>
      <c r="K9" s="217"/>
      <c r="L9" s="237" t="s">
        <v>36</v>
      </c>
      <c r="M9" s="188"/>
      <c r="N9" s="188"/>
      <c r="O9" s="188"/>
      <c r="P9" s="188"/>
      <c r="U9" s="189"/>
      <c r="V9" s="215"/>
      <c r="W9" s="215"/>
      <c r="X9" s="215"/>
      <c r="Y9" s="215"/>
      <c r="Z9" s="215"/>
      <c r="AA9" s="215"/>
      <c r="AB9" s="215"/>
      <c r="AC9" s="237" t="str">
        <f>"Average "&amp;Metric</f>
        <v>Average Loss</v>
      </c>
      <c r="AD9" s="235"/>
      <c r="AE9" s="189"/>
      <c r="AF9" s="175"/>
      <c r="BA9" s="275"/>
      <c r="BB9" s="275"/>
      <c r="BD9" s="173" t="s">
        <v>16</v>
      </c>
      <c r="BF9" s="173" t="s">
        <v>27</v>
      </c>
      <c r="BH9" s="182"/>
      <c r="BT9" s="173" t="s">
        <v>129</v>
      </c>
      <c r="BU9" s="265"/>
      <c r="BV9" s="265" t="b">
        <f>Vul_TC</f>
        <v>1</v>
      </c>
      <c r="BW9" s="265"/>
      <c r="BX9" s="265"/>
      <c r="BY9" s="265"/>
      <c r="BZ9" s="265"/>
    </row>
    <row r="10" spans="1:79" ht="15.75" customHeight="1" x14ac:dyDescent="0.2">
      <c r="D10" s="189"/>
      <c r="E10" s="188"/>
      <c r="F10" s="192" t="str">
        <f>IF(TEF_CF,BY4,BW4)</f>
        <v>Calculated Below</v>
      </c>
      <c r="G10" s="191"/>
      <c r="H10" s="191"/>
      <c r="I10" s="187"/>
      <c r="K10" s="189"/>
      <c r="L10" s="188"/>
      <c r="M10" s="192" t="str">
        <f>IF(BV8,BY5,BW5)</f>
        <v>Calculated Below</v>
      </c>
      <c r="N10" s="191"/>
      <c r="O10" s="202"/>
      <c r="P10" s="202"/>
      <c r="U10" s="189"/>
      <c r="V10" s="215"/>
      <c r="W10" s="215"/>
      <c r="X10" s="215"/>
      <c r="Y10" s="215"/>
      <c r="Z10" s="215"/>
      <c r="AA10" s="215"/>
      <c r="AB10" s="215"/>
      <c r="AC10" s="191" t="s">
        <v>131</v>
      </c>
      <c r="AD10" s="191" t="s">
        <v>158</v>
      </c>
      <c r="AE10" s="189"/>
      <c r="AF10" s="175"/>
      <c r="BA10" s="275"/>
      <c r="BB10" s="275"/>
      <c r="BD10" s="178" t="s">
        <v>115</v>
      </c>
      <c r="BE10" s="184">
        <v>5</v>
      </c>
      <c r="BF10" s="180">
        <v>0.5</v>
      </c>
      <c r="BH10" s="185"/>
      <c r="BT10" s="178" t="s">
        <v>133</v>
      </c>
      <c r="BU10" s="265"/>
      <c r="BV10" s="265" t="b">
        <f>NOT(AND($BV$4,TEF_CF))</f>
        <v>1</v>
      </c>
      <c r="BW10" s="265"/>
      <c r="BX10" s="265"/>
      <c r="BY10" s="265"/>
      <c r="BZ10" s="265"/>
    </row>
    <row r="11" spans="1:79" ht="15.75" customHeight="1" x14ac:dyDescent="0.2">
      <c r="D11" s="287"/>
      <c r="E11" s="283" t="s">
        <v>131</v>
      </c>
      <c r="F11" s="292">
        <v>0</v>
      </c>
      <c r="G11" s="292">
        <v>10</v>
      </c>
      <c r="H11" s="292">
        <v>20</v>
      </c>
      <c r="I11" s="282"/>
      <c r="J11" s="288" t="s">
        <v>165</v>
      </c>
      <c r="K11" s="287"/>
      <c r="L11" s="283" t="s">
        <v>131</v>
      </c>
      <c r="M11" s="284">
        <v>0.3</v>
      </c>
      <c r="N11" s="284">
        <v>0.4</v>
      </c>
      <c r="O11" s="284">
        <v>0.6</v>
      </c>
      <c r="P11" s="282"/>
      <c r="Q11" s="238" t="s">
        <v>165</v>
      </c>
      <c r="U11" s="189"/>
      <c r="V11" s="215"/>
      <c r="W11" s="215"/>
      <c r="X11" s="215"/>
      <c r="Y11" s="215"/>
      <c r="Z11" s="215"/>
      <c r="AA11" s="215"/>
      <c r="AB11" s="215"/>
      <c r="AC11" s="279">
        <f>INDEX(BA11:BA12,Mag_Event)</f>
        <v>95.708910743972453</v>
      </c>
      <c r="AD11" s="257">
        <f>INDEX(BB11:BB12,Mag_Event)</f>
        <v>95.708910743972453</v>
      </c>
      <c r="AE11" s="189"/>
      <c r="AF11" s="175"/>
      <c r="BA11" s="275">
        <f>AVERAGE(Risk)</f>
        <v>95.708910743972453</v>
      </c>
      <c r="BB11" s="275">
        <f>AVERAGE(What_If)</f>
        <v>95.708910743972453</v>
      </c>
      <c r="BD11" s="178"/>
      <c r="BH11" s="185"/>
      <c r="BT11" s="178" t="s">
        <v>134</v>
      </c>
      <c r="BU11" s="265"/>
      <c r="BV11" s="265" t="b">
        <f>NOT(AND($BV$4,Vul_TC))</f>
        <v>1</v>
      </c>
      <c r="BW11" s="265"/>
      <c r="BX11" s="265"/>
      <c r="BY11" s="265"/>
      <c r="BZ11" s="265"/>
    </row>
    <row r="12" spans="1:79" ht="15.75" customHeight="1" x14ac:dyDescent="0.2">
      <c r="D12" s="287"/>
      <c r="E12" s="283" t="s">
        <v>158</v>
      </c>
      <c r="F12" s="281">
        <v>0</v>
      </c>
      <c r="G12" s="281">
        <v>6</v>
      </c>
      <c r="H12" s="281">
        <v>12</v>
      </c>
      <c r="I12" s="282"/>
      <c r="J12" s="288" t="s">
        <v>165</v>
      </c>
      <c r="K12" s="287"/>
      <c r="L12" s="283" t="s">
        <v>158</v>
      </c>
      <c r="M12" s="284"/>
      <c r="N12" s="284"/>
      <c r="O12" s="284"/>
      <c r="P12" s="282"/>
      <c r="Q12" s="238" t="s">
        <v>165</v>
      </c>
      <c r="U12" s="189"/>
      <c r="V12" s="215"/>
      <c r="W12" s="215"/>
      <c r="X12" s="215"/>
      <c r="Y12" s="215"/>
      <c r="Z12" s="215"/>
      <c r="AA12" s="215"/>
      <c r="AB12" s="215"/>
      <c r="AC12" s="278" t="s">
        <v>157</v>
      </c>
      <c r="AD12" s="278">
        <f>AC11-AD11</f>
        <v>0</v>
      </c>
      <c r="AE12" s="189"/>
      <c r="AF12" s="175"/>
      <c r="BA12" s="275">
        <f>AVERAGE(Current_Loss_Events)</f>
        <v>1.41</v>
      </c>
      <c r="BB12" s="275">
        <f>AVERAGE(Proposed_Loss_Events)</f>
        <v>1.41</v>
      </c>
      <c r="BD12" s="178" t="s">
        <v>116</v>
      </c>
      <c r="BE12" s="184"/>
      <c r="BF12" s="180"/>
      <c r="BH12" s="185"/>
      <c r="BU12" s="265"/>
      <c r="BV12" s="265"/>
      <c r="BW12" s="265"/>
      <c r="BX12" s="265"/>
      <c r="BY12" s="265"/>
      <c r="BZ12" s="265"/>
    </row>
    <row r="13" spans="1:79" ht="15.75" customHeight="1" x14ac:dyDescent="0.2">
      <c r="D13" s="287"/>
      <c r="E13" s="289" t="s">
        <v>130</v>
      </c>
      <c r="F13" s="282"/>
      <c r="G13" s="282"/>
      <c r="H13" s="282"/>
      <c r="I13" s="282"/>
      <c r="J13" s="285"/>
      <c r="K13" s="287"/>
      <c r="L13" s="289" t="s">
        <v>130</v>
      </c>
      <c r="M13" s="282"/>
      <c r="N13" s="282"/>
      <c r="O13" s="282"/>
      <c r="P13" s="282"/>
      <c r="U13" s="189"/>
      <c r="V13" s="215"/>
      <c r="W13" s="189"/>
      <c r="X13" s="189"/>
      <c r="Y13" s="189"/>
      <c r="Z13" s="189"/>
      <c r="AA13" s="189"/>
      <c r="AB13" s="189"/>
      <c r="AC13" s="215"/>
      <c r="AD13" s="215"/>
      <c r="AE13" s="189"/>
      <c r="AF13" s="175"/>
      <c r="BA13" s="275"/>
      <c r="BB13" s="275"/>
    </row>
    <row r="14" spans="1:79" ht="15.75" customHeight="1" x14ac:dyDescent="0.2">
      <c r="I14" s="174"/>
      <c r="P14" s="174"/>
      <c r="U14" s="189"/>
      <c r="V14" s="215"/>
      <c r="W14" s="189"/>
      <c r="X14" s="189"/>
      <c r="Y14" s="189"/>
      <c r="Z14" s="189"/>
      <c r="AA14" s="189"/>
      <c r="AB14" s="189"/>
      <c r="AC14" s="314" t="str">
        <f>"Percentile "&amp;Metric</f>
        <v>Percentile Loss</v>
      </c>
      <c r="AD14" s="290">
        <v>0.9</v>
      </c>
      <c r="AE14" s="189"/>
      <c r="AF14" s="175"/>
      <c r="BA14" s="275"/>
      <c r="BB14" s="275"/>
      <c r="BE14" s="186">
        <f>IF(BE12="",BE10,BE12)</f>
        <v>5</v>
      </c>
      <c r="BF14" s="180">
        <f>IF(BF12="",BF10,BF12)</f>
        <v>0.5</v>
      </c>
    </row>
    <row r="15" spans="1:79" ht="15.75" customHeight="1" x14ac:dyDescent="0.2">
      <c r="U15" s="189"/>
      <c r="V15" s="215"/>
      <c r="W15" s="188"/>
      <c r="X15" s="215"/>
      <c r="Y15" s="231"/>
      <c r="Z15" s="231"/>
      <c r="AA15" s="231"/>
      <c r="AB15" s="215"/>
      <c r="AC15" s="280" t="s">
        <v>131</v>
      </c>
      <c r="AD15" s="280" t="s">
        <v>158</v>
      </c>
      <c r="AE15" s="189"/>
      <c r="AF15" s="175"/>
      <c r="BA15" s="275"/>
      <c r="BB15" s="275"/>
      <c r="BI15" s="173" t="s">
        <v>40</v>
      </c>
      <c r="BL15" s="173" t="s">
        <v>39</v>
      </c>
    </row>
    <row r="16" spans="1:79" ht="15.75" customHeight="1" x14ac:dyDescent="0.2">
      <c r="B16" s="299" t="s">
        <v>153</v>
      </c>
      <c r="C16" s="236"/>
      <c r="D16" s="188"/>
      <c r="E16" s="188"/>
      <c r="F16" s="237" t="s">
        <v>160</v>
      </c>
      <c r="G16" s="235"/>
      <c r="H16" s="188"/>
      <c r="I16" s="188"/>
      <c r="K16" s="189"/>
      <c r="L16" s="299" t="s">
        <v>40</v>
      </c>
      <c r="M16" s="236"/>
      <c r="N16" s="188"/>
      <c r="O16" s="236"/>
      <c r="P16" s="299" t="s">
        <v>39</v>
      </c>
      <c r="Q16" s="236"/>
      <c r="R16" s="188"/>
      <c r="U16" s="189"/>
      <c r="V16" s="215"/>
      <c r="W16" s="188"/>
      <c r="X16" s="232"/>
      <c r="Y16" s="215"/>
      <c r="Z16" s="232"/>
      <c r="AA16" s="233"/>
      <c r="AB16" s="215"/>
      <c r="AC16" s="279">
        <f>INDEX(BA16:BA17,Mag_Event)</f>
        <v>202.98420818397145</v>
      </c>
      <c r="AD16" s="277">
        <f>INDEX(BB16:BB17,Mag_Event)</f>
        <v>202.98420818397145</v>
      </c>
      <c r="AE16" s="189"/>
      <c r="AF16" s="175"/>
      <c r="BA16" s="275">
        <f>PERCENTILE(Risk,$AD$14)</f>
        <v>202.98420818397145</v>
      </c>
      <c r="BB16" s="275">
        <f>PERCENTILE(What_If,$AD$14)</f>
        <v>202.98420818397145</v>
      </c>
      <c r="BC16" s="173" t="s">
        <v>148</v>
      </c>
      <c r="BE16" s="173" t="s">
        <v>149</v>
      </c>
      <c r="BI16" s="183" t="s">
        <v>113</v>
      </c>
      <c r="BL16" s="183" t="s">
        <v>114</v>
      </c>
    </row>
    <row r="17" spans="2:64" ht="15.75" customHeight="1" x14ac:dyDescent="0.2">
      <c r="B17" s="299" t="s">
        <v>154</v>
      </c>
      <c r="C17" s="236"/>
      <c r="D17" s="191"/>
      <c r="E17" s="188"/>
      <c r="F17" s="235" t="s">
        <v>161</v>
      </c>
      <c r="G17" s="237"/>
      <c r="H17" s="191"/>
      <c r="I17" s="188"/>
      <c r="K17" s="189"/>
      <c r="L17" s="299" t="s">
        <v>113</v>
      </c>
      <c r="M17" s="236"/>
      <c r="N17" s="188"/>
      <c r="O17" s="236"/>
      <c r="P17" s="299" t="s">
        <v>114</v>
      </c>
      <c r="Q17" s="236"/>
      <c r="R17" s="188"/>
      <c r="U17" s="189"/>
      <c r="V17" s="215"/>
      <c r="W17" s="215"/>
      <c r="X17" s="215"/>
      <c r="Y17" s="234"/>
      <c r="Z17" s="215"/>
      <c r="AA17" s="215"/>
      <c r="AB17" s="215"/>
      <c r="AC17" s="278" t="s">
        <v>157</v>
      </c>
      <c r="AD17" s="278">
        <f>AC16-AD16</f>
        <v>0</v>
      </c>
      <c r="AE17" s="189"/>
      <c r="AF17" s="175"/>
      <c r="BA17" s="275">
        <f>PERCENTILE(Current_Loss_Events,$AD$14)</f>
        <v>3</v>
      </c>
      <c r="BB17" s="275">
        <f>PERCENTILE(Proposed_Loss_Events,$AD$14)</f>
        <v>3</v>
      </c>
      <c r="BC17" s="173">
        <f>IF(D19="",C19,D19)</f>
        <v>5</v>
      </c>
      <c r="BE17" s="173">
        <f>IF(H19="",G19,H19)</f>
        <v>0.1</v>
      </c>
      <c r="BH17" s="185" t="s">
        <v>43</v>
      </c>
      <c r="BI17" s="180">
        <f>IF('Loss Event Frequency'!M19="",L19,'Loss Event Frequency'!M19)</f>
        <v>0.1</v>
      </c>
      <c r="BL17" s="180">
        <f>IF('Loss Event Frequency'!Q19="",P19,'Loss Event Frequency'!Q19)</f>
        <v>0.1</v>
      </c>
    </row>
    <row r="18" spans="2:64" ht="15.75" customHeight="1" x14ac:dyDescent="0.2">
      <c r="B18" s="287"/>
      <c r="C18" s="289" t="s">
        <v>131</v>
      </c>
      <c r="D18" s="280" t="s">
        <v>132</v>
      </c>
      <c r="E18" s="282"/>
      <c r="F18" s="287"/>
      <c r="G18" s="289" t="s">
        <v>131</v>
      </c>
      <c r="H18" s="280" t="s">
        <v>132</v>
      </c>
      <c r="I18" s="282"/>
      <c r="J18" s="285"/>
      <c r="K18" s="287"/>
      <c r="L18" s="289" t="s">
        <v>131</v>
      </c>
      <c r="M18" s="280" t="s">
        <v>132</v>
      </c>
      <c r="N18" s="282"/>
      <c r="O18" s="287"/>
      <c r="P18" s="289" t="s">
        <v>131</v>
      </c>
      <c r="Q18" s="280" t="s">
        <v>132</v>
      </c>
      <c r="R18" s="282"/>
      <c r="U18" s="189"/>
      <c r="V18" s="215"/>
      <c r="W18" s="215"/>
      <c r="X18" s="215"/>
      <c r="Y18" s="215"/>
      <c r="Z18" s="215"/>
      <c r="AA18" s="215"/>
      <c r="AB18" s="215"/>
      <c r="AC18" s="291"/>
      <c r="AD18" s="291"/>
      <c r="AE18" s="189"/>
      <c r="AF18" s="175"/>
      <c r="BA18" s="275"/>
      <c r="BB18" s="275"/>
      <c r="BC18" s="173">
        <f>IF(D20="",C20,D20)</f>
        <v>20</v>
      </c>
      <c r="BE18" s="173">
        <f>IF(H20="",G20,H20)</f>
        <v>0.4</v>
      </c>
      <c r="BH18" s="185" t="s">
        <v>41</v>
      </c>
      <c r="BI18" s="180">
        <f>IF('Loss Event Frequency'!M20="",L20,'Loss Event Frequency'!M20)</f>
        <v>0.5</v>
      </c>
      <c r="BL18" s="180">
        <f>IF('Loss Event Frequency'!Q20="",P20,'Loss Event Frequency'!Q20)</f>
        <v>0.5</v>
      </c>
    </row>
    <row r="19" spans="2:64" ht="15.75" customHeight="1" x14ac:dyDescent="0.2">
      <c r="B19" s="283" t="s">
        <v>14</v>
      </c>
      <c r="C19" s="281">
        <v>5</v>
      </c>
      <c r="D19" s="281"/>
      <c r="E19" s="282"/>
      <c r="F19" s="283" t="s">
        <v>14</v>
      </c>
      <c r="G19" s="284">
        <v>0.1</v>
      </c>
      <c r="H19" s="284"/>
      <c r="I19" s="282"/>
      <c r="J19" s="285"/>
      <c r="K19" s="283" t="s">
        <v>14</v>
      </c>
      <c r="L19" s="286">
        <v>0.1</v>
      </c>
      <c r="M19" s="286"/>
      <c r="N19" s="282"/>
      <c r="O19" s="283" t="s">
        <v>14</v>
      </c>
      <c r="P19" s="286">
        <v>0.1</v>
      </c>
      <c r="Q19" s="286"/>
      <c r="R19" s="282"/>
      <c r="U19" s="189"/>
      <c r="V19" s="189"/>
      <c r="W19" s="189"/>
      <c r="X19" s="189"/>
      <c r="Y19" s="189"/>
      <c r="Z19" s="189"/>
      <c r="AA19" s="189"/>
      <c r="AB19" s="189"/>
      <c r="AC19" s="235" t="str">
        <f>"Chance "&amp;Metric</f>
        <v>Chance Loss</v>
      </c>
      <c r="AD19" s="237"/>
      <c r="AE19" s="189"/>
      <c r="AF19" s="175"/>
      <c r="BA19" s="275"/>
      <c r="BB19" s="275"/>
      <c r="BC19" s="173">
        <f>IF(D21="",C21,D21)</f>
        <v>50</v>
      </c>
      <c r="BE19" s="173">
        <f>IF(H21="",G21,H21)</f>
        <v>0.75</v>
      </c>
      <c r="BH19" s="185" t="s">
        <v>42</v>
      </c>
      <c r="BI19" s="180">
        <f>IF('Loss Event Frequency'!M21="",L21,'Loss Event Frequency'!M21)</f>
        <v>0.6</v>
      </c>
      <c r="BL19" s="180">
        <f>IF('Loss Event Frequency'!Q21="",P21,'Loss Event Frequency'!Q21)</f>
        <v>0.6</v>
      </c>
    </row>
    <row r="20" spans="2:64" ht="15.75" customHeight="1" x14ac:dyDescent="0.2">
      <c r="B20" s="283" t="s">
        <v>41</v>
      </c>
      <c r="C20" s="281">
        <v>20</v>
      </c>
      <c r="D20" s="281"/>
      <c r="E20" s="282"/>
      <c r="F20" s="283" t="s">
        <v>41</v>
      </c>
      <c r="G20" s="284">
        <v>0.4</v>
      </c>
      <c r="H20" s="284"/>
      <c r="I20" s="282"/>
      <c r="J20" s="285"/>
      <c r="K20" s="283" t="s">
        <v>41</v>
      </c>
      <c r="L20" s="286">
        <v>0.5</v>
      </c>
      <c r="M20" s="286"/>
      <c r="N20" s="282"/>
      <c r="O20" s="283" t="s">
        <v>41</v>
      </c>
      <c r="P20" s="286">
        <v>0.5</v>
      </c>
      <c r="Q20" s="286"/>
      <c r="R20" s="282"/>
      <c r="U20" s="189"/>
      <c r="V20" s="189"/>
      <c r="W20" s="189"/>
      <c r="X20" s="189"/>
      <c r="Y20" s="231"/>
      <c r="Z20" s="231"/>
      <c r="AA20" s="231"/>
      <c r="AB20" s="231"/>
      <c r="AC20" s="237" t="s">
        <v>159</v>
      </c>
      <c r="AD20" s="297">
        <v>50</v>
      </c>
      <c r="AE20" s="189"/>
      <c r="AF20" s="175"/>
      <c r="BA20" s="275"/>
      <c r="BB20" s="275"/>
    </row>
    <row r="21" spans="2:64" ht="15.75" customHeight="1" x14ac:dyDescent="0.2">
      <c r="B21" s="283" t="s">
        <v>75</v>
      </c>
      <c r="C21" s="281">
        <v>50</v>
      </c>
      <c r="D21" s="281"/>
      <c r="E21" s="282"/>
      <c r="F21" s="283" t="s">
        <v>75</v>
      </c>
      <c r="G21" s="284">
        <v>0.75</v>
      </c>
      <c r="H21" s="284"/>
      <c r="I21" s="282"/>
      <c r="J21" s="285"/>
      <c r="K21" s="283" t="s">
        <v>75</v>
      </c>
      <c r="L21" s="286">
        <v>0.6</v>
      </c>
      <c r="M21" s="286"/>
      <c r="N21" s="282"/>
      <c r="O21" s="283" t="s">
        <v>75</v>
      </c>
      <c r="P21" s="286">
        <v>0.6</v>
      </c>
      <c r="Q21" s="286"/>
      <c r="R21" s="282"/>
      <c r="U21" s="189"/>
      <c r="V21" s="189"/>
      <c r="W21" s="189"/>
      <c r="X21" s="189"/>
      <c r="Y21" s="189"/>
      <c r="Z21" s="189"/>
      <c r="AA21" s="189"/>
      <c r="AB21" s="189"/>
      <c r="AC21" s="280" t="s">
        <v>131</v>
      </c>
      <c r="AD21" s="280" t="s">
        <v>158</v>
      </c>
      <c r="AE21" s="189"/>
      <c r="AF21" s="175"/>
      <c r="BA21" s="275"/>
      <c r="BB21" s="275"/>
    </row>
    <row r="22" spans="2:64" ht="15.75" customHeight="1" x14ac:dyDescent="0.2">
      <c r="B22" s="189"/>
      <c r="C22" s="192"/>
      <c r="D22" s="188"/>
      <c r="E22" s="188"/>
      <c r="F22" s="189"/>
      <c r="G22" s="192"/>
      <c r="H22" s="188"/>
      <c r="I22" s="188"/>
      <c r="K22" s="189"/>
      <c r="L22" s="192"/>
      <c r="M22" s="188"/>
      <c r="N22" s="188"/>
      <c r="O22" s="189"/>
      <c r="P22" s="192"/>
      <c r="Q22" s="188"/>
      <c r="R22" s="188"/>
      <c r="U22" s="189"/>
      <c r="V22" s="189"/>
      <c r="W22" s="189"/>
      <c r="X22" s="189"/>
      <c r="Y22" s="189"/>
      <c r="Z22" s="189"/>
      <c r="AA22" s="189"/>
      <c r="AB22" s="189"/>
      <c r="AC22" s="293">
        <f>INDEX(BA22:BA23,Mag_Event)</f>
        <v>0.57999999999999996</v>
      </c>
      <c r="AD22" s="294">
        <f>INDEX(BB22:BB23,Mag_Event)</f>
        <v>0.57999999999999996</v>
      </c>
      <c r="AE22" s="189"/>
      <c r="AF22" s="175"/>
      <c r="BA22" s="275">
        <f>COUNTIF(Risk,"&gt;"&amp;$AD$20)/PM_Trials</f>
        <v>0.57999999999999996</v>
      </c>
      <c r="BB22" s="275">
        <f>COUNTIF(What_If,"&gt;"&amp;$AD$20)/PM_Trials</f>
        <v>0.57999999999999996</v>
      </c>
    </row>
    <row r="23" spans="2:64" ht="15.75" customHeight="1" x14ac:dyDescent="0.2">
      <c r="C23" s="238" t="s">
        <v>164</v>
      </c>
      <c r="D23" s="238" t="s">
        <v>164</v>
      </c>
      <c r="G23" s="238" t="s">
        <v>164</v>
      </c>
      <c r="H23" s="238" t="s">
        <v>164</v>
      </c>
      <c r="L23" s="238" t="s">
        <v>164</v>
      </c>
      <c r="M23" s="238" t="s">
        <v>164</v>
      </c>
      <c r="P23" s="238" t="s">
        <v>164</v>
      </c>
      <c r="Q23" s="238" t="s">
        <v>164</v>
      </c>
      <c r="U23" s="189"/>
      <c r="V23" s="189"/>
      <c r="W23" s="189"/>
      <c r="X23" s="189"/>
      <c r="Y23" s="189"/>
      <c r="Z23" s="189"/>
      <c r="AA23" s="189"/>
      <c r="AB23" s="189"/>
      <c r="AC23" s="278" t="s">
        <v>157</v>
      </c>
      <c r="AD23" s="295">
        <f>AC22-AD22</f>
        <v>0</v>
      </c>
      <c r="AE23" s="189"/>
      <c r="AF23" s="175"/>
      <c r="BA23" s="275">
        <f>COUNTIF(Current_Loss_Events,"&gt;"&amp;$AD$20)/PM_Trials</f>
        <v>0</v>
      </c>
      <c r="BB23" s="275">
        <f>COUNTIF(Proposed_Loss_Events,"&gt;"&amp;$AD$20)/PM_Trials</f>
        <v>0</v>
      </c>
    </row>
    <row r="24" spans="2:64" ht="15.75" customHeight="1" x14ac:dyDescent="0.2">
      <c r="B24" s="175"/>
      <c r="D24" s="175"/>
      <c r="E24" s="175"/>
      <c r="F24" s="175"/>
      <c r="G24" s="175"/>
      <c r="H24" s="175"/>
      <c r="I24" s="175"/>
      <c r="J24" s="175"/>
      <c r="K24" s="175"/>
      <c r="L24" s="175"/>
      <c r="M24" s="175"/>
      <c r="N24" s="175"/>
      <c r="U24" s="189"/>
      <c r="V24" s="189"/>
      <c r="W24" s="189"/>
      <c r="X24" s="189"/>
      <c r="Y24" s="189"/>
      <c r="Z24" s="189"/>
      <c r="AA24" s="189"/>
      <c r="AB24" s="189"/>
      <c r="AC24" s="189"/>
      <c r="AD24" s="189"/>
      <c r="AE24" s="189"/>
      <c r="AF24" s="175"/>
    </row>
    <row r="25" spans="2:64" ht="15.75" customHeight="1" x14ac:dyDescent="0.2">
      <c r="B25" s="175"/>
      <c r="C25" s="175"/>
      <c r="D25" s="175"/>
      <c r="E25" s="175"/>
      <c r="F25" s="203"/>
      <c r="G25" s="175"/>
      <c r="H25" s="175"/>
      <c r="I25" s="175"/>
      <c r="J25" s="175"/>
      <c r="K25" s="175"/>
      <c r="L25" s="175"/>
      <c r="M25" s="175"/>
      <c r="N25" s="175"/>
      <c r="X25" s="342" t="s">
        <v>37</v>
      </c>
      <c r="Y25" s="251"/>
      <c r="Z25" s="343" t="s">
        <v>38</v>
      </c>
      <c r="AA25" s="251"/>
      <c r="AB25" s="343" t="s">
        <v>182</v>
      </c>
      <c r="AC25" s="251"/>
      <c r="AD25" s="251"/>
      <c r="AF25" s="175"/>
    </row>
    <row r="26" spans="2:64" ht="15.75" customHeight="1" x14ac:dyDescent="0.2">
      <c r="B26" s="175"/>
      <c r="C26" s="175"/>
      <c r="D26" s="175"/>
      <c r="E26" s="175"/>
      <c r="F26" s="204"/>
      <c r="G26" s="175"/>
      <c r="H26" s="175"/>
      <c r="I26" s="175"/>
      <c r="J26" s="175"/>
      <c r="K26" s="175"/>
      <c r="L26" s="175"/>
      <c r="M26" s="175"/>
      <c r="N26" s="175"/>
      <c r="X26" s="263">
        <f>'Loss Magnitude'!$BQ$15</f>
        <v>10</v>
      </c>
      <c r="Y26" s="252"/>
      <c r="Z26" s="263">
        <f>'Loss Magnitude'!$BR$15*5</f>
        <v>50</v>
      </c>
      <c r="AA26" s="251"/>
      <c r="AB26" s="174"/>
      <c r="AC26" s="172"/>
      <c r="AD26" s="172"/>
      <c r="AE26" s="311" t="str">
        <f>'Loss Magnitude'!Z26</f>
        <v/>
      </c>
    </row>
    <row r="27" spans="2:64" ht="15.75" customHeight="1" x14ac:dyDescent="0.2">
      <c r="X27" s="252"/>
      <c r="Y27" s="252"/>
      <c r="Z27" s="252"/>
      <c r="AA27" s="252"/>
      <c r="AB27" s="346" t="str">
        <f>INDEX('Loss Magnitude'!$BC$2:$BC$5,'Loss Magnitude'!$AZ$1)</f>
        <v>Sums Primary and Secondary Risk across all potential events</v>
      </c>
      <c r="AC27" s="346"/>
      <c r="AD27" s="346"/>
    </row>
    <row r="28" spans="2:64" ht="15.75" customHeight="1" x14ac:dyDescent="0.2">
      <c r="O28" s="172"/>
      <c r="AB28" s="346"/>
      <c r="AC28" s="346"/>
      <c r="AD28" s="346"/>
    </row>
    <row r="29" spans="2:64" ht="15.75" customHeight="1" x14ac:dyDescent="0.2">
      <c r="AB29" s="346"/>
      <c r="AC29" s="346"/>
      <c r="AD29" s="346"/>
    </row>
    <row r="30" spans="2:64" ht="15.75" customHeight="1" x14ac:dyDescent="0.2"/>
    <row r="31" spans="2:64" ht="15.75" customHeight="1" x14ac:dyDescent="0.2"/>
    <row r="32" spans="2:64" ht="15.75" customHeight="1" x14ac:dyDescent="0.2">
      <c r="D32" s="333"/>
    </row>
    <row r="33" spans="4:15" ht="15.75" customHeight="1" x14ac:dyDescent="0.2">
      <c r="D33" s="251"/>
    </row>
    <row r="34" spans="4:15" ht="15.75" customHeight="1" x14ac:dyDescent="0.2">
      <c r="O34" s="172"/>
    </row>
    <row r="35" spans="4:15" ht="15.75" customHeight="1" x14ac:dyDescent="0.2"/>
    <row r="36" spans="4:15" ht="15.75" customHeight="1" x14ac:dyDescent="0.2"/>
    <row r="37" spans="4:15" ht="15.75" customHeight="1" x14ac:dyDescent="0.2"/>
    <row r="38" spans="4:15" ht="15.75" customHeight="1" x14ac:dyDescent="0.2"/>
    <row r="39" spans="4:15" ht="15.75" customHeight="1" x14ac:dyDescent="0.2"/>
    <row r="40" spans="4:15" ht="15.75" customHeight="1" x14ac:dyDescent="0.2"/>
    <row r="41" spans="4:15" ht="15.75" customHeight="1" x14ac:dyDescent="0.2"/>
    <row r="42" spans="4:15" ht="15.75" customHeight="1" x14ac:dyDescent="0.2"/>
    <row r="43" spans="4:15" ht="15.75" customHeight="1" x14ac:dyDescent="0.2"/>
    <row r="44" spans="4:15" ht="15.75" customHeight="1" x14ac:dyDescent="0.2"/>
    <row r="45" spans="4:15" ht="15.75" customHeight="1" x14ac:dyDescent="0.2"/>
    <row r="46" spans="4:15" ht="15.75" customHeight="1" x14ac:dyDescent="0.2"/>
    <row r="47" spans="4:15" ht="15.75" customHeight="1" x14ac:dyDescent="0.2"/>
    <row r="48" spans="4:15" ht="15.75" customHeight="1" x14ac:dyDescent="0.2"/>
    <row r="49" ht="15.75" customHeight="1" x14ac:dyDescent="0.2"/>
  </sheetData>
  <sheetProtection sheet="1" objects="1" scenarios="1"/>
  <mergeCells count="1">
    <mergeCell ref="AB27:AD29"/>
  </mergeCells>
  <conditionalFormatting sqref="J11:J12">
    <cfRule type="expression" dxfId="30" priority="15">
      <formula>OR(G11&gt;H11,F11&gt;G11)</formula>
    </cfRule>
  </conditionalFormatting>
  <conditionalFormatting sqref="C23:D23">
    <cfRule type="expression" dxfId="29" priority="11">
      <formula>OR(C21&lt;C20,C20&lt;C19)</formula>
    </cfRule>
  </conditionalFormatting>
  <conditionalFormatting sqref="G23:H23">
    <cfRule type="expression" dxfId="28" priority="9">
      <formula>OR(G21&lt;G20,G20&lt;G19)</formula>
    </cfRule>
  </conditionalFormatting>
  <conditionalFormatting sqref="L23:M23">
    <cfRule type="expression" dxfId="27" priority="8">
      <formula>OR(L21&lt;L20,L20&lt;L19)</formula>
    </cfRule>
  </conditionalFormatting>
  <conditionalFormatting sqref="P23:Q23">
    <cfRule type="expression" dxfId="26" priority="7">
      <formula>OR(P21&lt;P20,P20&lt;P19)</formula>
    </cfRule>
  </conditionalFormatting>
  <conditionalFormatting sqref="M4:M5">
    <cfRule type="expression" dxfId="25" priority="5">
      <formula>OR(J4&gt;K4,I4&gt;J4)</formula>
    </cfRule>
  </conditionalFormatting>
  <conditionalFormatting sqref="Q11:Q12">
    <cfRule type="expression" dxfId="24" priority="6">
      <formula>OR(N11&gt;O11,M11&gt;N11)</formula>
    </cfRule>
  </conditionalFormatting>
  <conditionalFormatting sqref="G4:L5">
    <cfRule type="expression" dxfId="23" priority="181">
      <formula>OR($BV$4,$BV$5)</formula>
    </cfRule>
  </conditionalFormatting>
  <conditionalFormatting sqref="C9">
    <cfRule type="expression" dxfId="22" priority="182">
      <formula>NOT($BV$4)</formula>
    </cfRule>
  </conditionalFormatting>
  <conditionalFormatting sqref="C10:C13">
    <cfRule type="expression" dxfId="21" priority="183">
      <formula>NOT($BV$6)</formula>
    </cfRule>
  </conditionalFormatting>
  <conditionalFormatting sqref="M9:P9 E9:I9 K9">
    <cfRule type="expression" dxfId="20" priority="184">
      <formula>NOT($BV$5)</formula>
    </cfRule>
  </conditionalFormatting>
  <conditionalFormatting sqref="D13 F13:I13 K10:P10 K11:K13 M11:P13 D10:I12 D9 L11:L12 L9">
    <cfRule type="expression" dxfId="19" priority="187">
      <formula>NOT($BV$5)</formula>
    </cfRule>
  </conditionalFormatting>
  <conditionalFormatting sqref="L13 E13">
    <cfRule type="expression" dxfId="18" priority="196">
      <formula>NOT($BV$4)</formula>
    </cfRule>
  </conditionalFormatting>
  <conditionalFormatting sqref="B16:I22">
    <cfRule type="expression" dxfId="17" priority="198">
      <formula>$BV$10</formula>
    </cfRule>
  </conditionalFormatting>
  <conditionalFormatting sqref="E11:H12 L11:L12">
    <cfRule type="expression" dxfId="16" priority="199">
      <formula>AND($BV$6,$BV$4)</formula>
    </cfRule>
  </conditionalFormatting>
  <conditionalFormatting sqref="K16:R22">
    <cfRule type="expression" dxfId="15" priority="201">
      <formula>$BV$11</formula>
    </cfRule>
  </conditionalFormatting>
  <conditionalFormatting sqref="M11:O12">
    <cfRule type="expression" dxfId="14" priority="205">
      <formula>AND($BV$4,$BV$8)</formula>
    </cfRule>
  </conditionalFormatting>
  <dataValidations disablePrompts="1" count="1">
    <dataValidation type="list" allowBlank="1" showInputMessage="1" showErrorMessage="1" sqref="O4" xr:uid="{00000000-0002-0000-0200-000000000000}">
      <formula1>$P$2:$P$3</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93" r:id="rId4" name="Check Box 21">
              <controlPr defaultSize="0" autoFill="0" autoLine="0" autoPict="0">
                <anchor moveWithCells="1">
                  <from>
                    <xdr:col>3</xdr:col>
                    <xdr:colOff>76200</xdr:colOff>
                    <xdr:row>11</xdr:row>
                    <xdr:rowOff>101600</xdr:rowOff>
                  </from>
                  <to>
                    <xdr:col>4</xdr:col>
                    <xdr:colOff>12700</xdr:colOff>
                    <xdr:row>13</xdr:row>
                    <xdr:rowOff>12700</xdr:rowOff>
                  </to>
                </anchor>
              </controlPr>
            </control>
          </mc:Choice>
        </mc:AlternateContent>
        <mc:AlternateContent xmlns:mc="http://schemas.openxmlformats.org/markup-compatibility/2006">
          <mc:Choice Requires="x14">
            <control shapeId="3095" r:id="rId5" name="Check Box 23">
              <controlPr defaultSize="0" autoFill="0" autoLine="0" autoPict="0">
                <anchor moveWithCells="1">
                  <from>
                    <xdr:col>10</xdr:col>
                    <xdr:colOff>50800</xdr:colOff>
                    <xdr:row>11</xdr:row>
                    <xdr:rowOff>101600</xdr:rowOff>
                  </from>
                  <to>
                    <xdr:col>10</xdr:col>
                    <xdr:colOff>165100</xdr:colOff>
                    <xdr:row>13</xdr:row>
                    <xdr:rowOff>12700</xdr:rowOff>
                  </to>
                </anchor>
              </controlPr>
            </control>
          </mc:Choice>
        </mc:AlternateContent>
        <mc:AlternateContent xmlns:mc="http://schemas.openxmlformats.org/markup-compatibility/2006">
          <mc:Choice Requires="x14">
            <control shapeId="3106" r:id="rId6" name="Drop Down 34">
              <controlPr defaultSize="0" autoLine="0" autoPict="0">
                <anchor moveWithCells="1">
                  <from>
                    <xdr:col>27</xdr:col>
                    <xdr:colOff>63500</xdr:colOff>
                    <xdr:row>25</xdr:row>
                    <xdr:rowOff>12700</xdr:rowOff>
                  </from>
                  <to>
                    <xdr:col>29</xdr:col>
                    <xdr:colOff>266700</xdr:colOff>
                    <xdr:row>26</xdr:row>
                    <xdr:rowOff>50800</xdr:rowOff>
                  </to>
                </anchor>
              </controlPr>
            </control>
          </mc:Choice>
        </mc:AlternateContent>
        <mc:AlternateContent xmlns:mc="http://schemas.openxmlformats.org/markup-compatibility/2006">
          <mc:Choice Requires="x14">
            <control shapeId="3112" r:id="rId7" name="Drop Down 40">
              <controlPr defaultSize="0" autoLine="0" autoPict="0">
                <anchor moveWithCells="1">
                  <from>
                    <xdr:col>25</xdr:col>
                    <xdr:colOff>114300</xdr:colOff>
                    <xdr:row>2</xdr:row>
                    <xdr:rowOff>12700</xdr:rowOff>
                  </from>
                  <to>
                    <xdr:col>27</xdr:col>
                    <xdr:colOff>88900</xdr:colOff>
                    <xdr:row>3</xdr:row>
                    <xdr:rowOff>12700</xdr:rowOff>
                  </to>
                </anchor>
              </controlPr>
            </control>
          </mc:Choice>
        </mc:AlternateContent>
        <mc:AlternateContent xmlns:mc="http://schemas.openxmlformats.org/markup-compatibility/2006">
          <mc:Choice Requires="x14">
            <control shapeId="3091" r:id="rId8" name="Check Box 19">
              <controlPr defaultSize="0" autoFill="0" autoLine="0" autoPict="0">
                <anchor moveWithCells="1">
                  <from>
                    <xdr:col>6</xdr:col>
                    <xdr:colOff>63500</xdr:colOff>
                    <xdr:row>4</xdr:row>
                    <xdr:rowOff>101600</xdr:rowOff>
                  </from>
                  <to>
                    <xdr:col>6</xdr:col>
                    <xdr:colOff>177800</xdr:colOff>
                    <xdr:row>6</xdr:row>
                    <xdr:rowOff>12700</xdr:rowOff>
                  </to>
                </anchor>
              </controlPr>
            </control>
          </mc:Choice>
        </mc:AlternateContent>
        <mc:AlternateContent xmlns:mc="http://schemas.openxmlformats.org/markup-compatibility/2006">
          <mc:Choice Requires="x14">
            <control shapeId="3113" r:id="rId9" name="Spinner 41">
              <controlPr defaultSize="0" autoPict="0">
                <anchor moveWithCells="1" sizeWithCells="1">
                  <from>
                    <xdr:col>29</xdr:col>
                    <xdr:colOff>482600</xdr:colOff>
                    <xdr:row>2</xdr:row>
                    <xdr:rowOff>101600</xdr:rowOff>
                  </from>
                  <to>
                    <xdr:col>30</xdr:col>
                    <xdr:colOff>177800</xdr:colOff>
                    <xdr:row>4</xdr:row>
                    <xdr:rowOff>101600</xdr:rowOff>
                  </to>
                </anchor>
              </controlPr>
            </control>
          </mc:Choice>
        </mc:AlternateContent>
        <mc:AlternateContent xmlns:mc="http://schemas.openxmlformats.org/markup-compatibility/2006">
          <mc:Choice Requires="x14">
            <control shapeId="3115" r:id="rId10" name="Spinner 43">
              <controlPr defaultSize="0" autoPict="0">
                <anchor moveWithCells="1" sizeWithCells="1">
                  <from>
                    <xdr:col>24</xdr:col>
                    <xdr:colOff>50800</xdr:colOff>
                    <xdr:row>24</xdr:row>
                    <xdr:rowOff>177800</xdr:rowOff>
                  </from>
                  <to>
                    <xdr:col>24</xdr:col>
                    <xdr:colOff>495300</xdr:colOff>
                    <xdr:row>26</xdr:row>
                    <xdr:rowOff>50800</xdr:rowOff>
                  </to>
                </anchor>
              </controlPr>
            </control>
          </mc:Choice>
        </mc:AlternateContent>
        <mc:AlternateContent xmlns:mc="http://schemas.openxmlformats.org/markup-compatibility/2006">
          <mc:Choice Requires="x14">
            <control shapeId="3116" r:id="rId11" name="Spinner 44">
              <controlPr defaultSize="0" autoPict="0">
                <anchor moveWithCells="1" sizeWithCells="1">
                  <from>
                    <xdr:col>26</xdr:col>
                    <xdr:colOff>63500</xdr:colOff>
                    <xdr:row>24</xdr:row>
                    <xdr:rowOff>177800</xdr:rowOff>
                  </from>
                  <to>
                    <xdr:col>26</xdr:col>
                    <xdr:colOff>520700</xdr:colOff>
                    <xdr:row>26</xdr:row>
                    <xdr:rowOff>50800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3" id="{902C1C7A-B051-43F5-81FF-B9C0D760D1B2}">
            <xm:f>'SIPmath Chart Data'!$AB$2=2</xm:f>
            <x14:dxf>
              <font>
                <color theme="0" tint="-4.9989318521683403E-2"/>
              </font>
              <fill>
                <patternFill>
                  <bgColor theme="0" tint="-4.9989318521683403E-2"/>
                </patternFill>
              </fill>
            </x14:dxf>
          </x14:cfRule>
          <xm:sqref>Z25:Z26</xm:sqref>
        </x14:conditionalFormatting>
        <x14:conditionalFormatting xmlns:xm="http://schemas.microsoft.com/office/excel/2006/main">
          <x14:cfRule type="expression" priority="2" id="{45BB3989-B836-4748-AF6A-DB7BAB549C80}">
            <xm:f>'SIPmath Chart Data'!$AB$2=2</xm:f>
            <x14:dxf>
              <font>
                <color theme="0" tint="-4.9989318521683403E-2"/>
              </font>
              <fill>
                <patternFill>
                  <bgColor theme="0" tint="-4.9989318521683403E-2"/>
                </patternFill>
              </fill>
            </x14:dxf>
          </x14:cfRule>
          <xm:sqref>X25:X26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R48"/>
  <sheetViews>
    <sheetView showGridLines="0" showRowColHeaders="0" zoomScaleNormal="100" workbookViewId="0"/>
  </sheetViews>
  <sheetFormatPr baseColWidth="10" defaultColWidth="8.83203125" defaultRowHeight="16" x14ac:dyDescent="0.2"/>
  <cols>
    <col min="1" max="1" width="1.83203125" style="175" customWidth="1"/>
    <col min="2" max="3" width="7.5" style="175" customWidth="1"/>
    <col min="4" max="6" width="4.83203125" style="175" customWidth="1"/>
    <col min="7" max="7" width="4.33203125" style="175" customWidth="1"/>
    <col min="8" max="10" width="7.5" style="175" customWidth="1"/>
    <col min="11" max="13" width="4.83203125" style="175" customWidth="1"/>
    <col min="14" max="14" width="4" style="175" customWidth="1"/>
    <col min="15" max="15" width="2.6640625" style="175" customWidth="1"/>
    <col min="16" max="16" width="3.5" style="175" customWidth="1"/>
    <col min="17" max="23" width="7" style="175" customWidth="1"/>
    <col min="24" max="24" width="7.5" style="175" customWidth="1"/>
    <col min="25" max="25" width="7" style="175" customWidth="1"/>
    <col min="26" max="26" width="3.5" style="175" customWidth="1"/>
    <col min="27" max="29" width="8.83203125" style="175"/>
    <col min="30" max="30" width="2.83203125" style="175" customWidth="1"/>
    <col min="31" max="16384" width="8.83203125" style="175"/>
  </cols>
  <sheetData>
    <row r="1" spans="1:70" ht="15.75" customHeight="1" x14ac:dyDescent="0.2">
      <c r="A1" s="175" t="s">
        <v>214</v>
      </c>
      <c r="E1" s="173"/>
      <c r="F1" s="173"/>
      <c r="G1" s="173"/>
      <c r="H1" s="173"/>
      <c r="I1" s="173"/>
      <c r="J1" s="173"/>
      <c r="K1" s="173"/>
      <c r="L1" s="172"/>
      <c r="P1" s="173"/>
      <c r="R1" s="312" t="str">
        <f>$Z$26</f>
        <v/>
      </c>
      <c r="T1" s="173"/>
      <c r="U1" s="173"/>
      <c r="V1" s="173"/>
      <c r="W1" s="173"/>
      <c r="X1" s="173"/>
      <c r="Y1" s="173"/>
      <c r="Z1" s="173"/>
      <c r="AZ1" s="275">
        <v>1</v>
      </c>
      <c r="BA1" s="275" t="str">
        <f>INDEX(AZ2:AZ5,AZ1)</f>
        <v>Total Risk</v>
      </c>
      <c r="BB1" s="275"/>
      <c r="BC1" s="265"/>
      <c r="BJ1" s="275" t="s">
        <v>33</v>
      </c>
      <c r="BK1" s="275" t="s">
        <v>32</v>
      </c>
    </row>
    <row r="2" spans="1:70" ht="15.75" customHeight="1" x14ac:dyDescent="0.2">
      <c r="E2" s="173"/>
      <c r="F2" s="189"/>
      <c r="G2" s="240" t="s">
        <v>137</v>
      </c>
      <c r="H2" s="282"/>
      <c r="I2" s="188"/>
      <c r="J2" s="188"/>
      <c r="K2" s="188"/>
      <c r="L2" s="245"/>
      <c r="M2" s="173"/>
      <c r="P2" s="189"/>
      <c r="Q2" s="189"/>
      <c r="R2" s="254" t="str">
        <f>'SIPmath Chart Data'!$Z$2</f>
        <v>Loss Magnitude/yr. $000s</v>
      </c>
      <c r="S2" s="189"/>
      <c r="T2" s="242"/>
      <c r="U2" s="189"/>
      <c r="V2" s="189"/>
      <c r="W2" s="189"/>
      <c r="X2" s="189"/>
      <c r="Y2" s="189"/>
      <c r="Z2" s="189"/>
      <c r="AZ2" s="275" t="s">
        <v>178</v>
      </c>
      <c r="BA2" s="275"/>
      <c r="BB2" s="275"/>
      <c r="BC2" s="303" t="s">
        <v>187</v>
      </c>
      <c r="BJ2" s="275"/>
      <c r="BK2" s="275"/>
    </row>
    <row r="3" spans="1:70" ht="15.75" customHeight="1" x14ac:dyDescent="0.2">
      <c r="E3" s="173"/>
      <c r="F3" s="189"/>
      <c r="G3" s="188"/>
      <c r="H3" s="192" t="str">
        <f>IF(OR(LM_TOP,L6),BK12,BH12)</f>
        <v>Min          ML          Max</v>
      </c>
      <c r="I3" s="191"/>
      <c r="J3" s="210"/>
      <c r="K3" s="213"/>
      <c r="L3" s="241"/>
      <c r="M3" s="173"/>
      <c r="P3" s="189"/>
      <c r="Q3" s="230"/>
      <c r="R3" s="215"/>
      <c r="S3" s="188"/>
      <c r="T3" s="215"/>
      <c r="U3" s="215"/>
      <c r="V3" s="188"/>
      <c r="W3" s="188"/>
      <c r="X3" s="235" t="str">
        <f>"Simulated "&amp;Metric</f>
        <v>Simulated Loss</v>
      </c>
      <c r="Y3" s="187"/>
      <c r="Z3" s="189"/>
      <c r="AZ3" s="275" t="s">
        <v>179</v>
      </c>
      <c r="BA3" s="275"/>
      <c r="BB3" s="275"/>
      <c r="BC3" s="303" t="s">
        <v>188</v>
      </c>
      <c r="BJ3" s="275">
        <v>1</v>
      </c>
      <c r="BK3" s="275">
        <v>0</v>
      </c>
    </row>
    <row r="4" spans="1:70" ht="15.75" customHeight="1" x14ac:dyDescent="0.2">
      <c r="E4" s="173"/>
      <c r="F4" s="189"/>
      <c r="G4" s="190" t="s">
        <v>115</v>
      </c>
      <c r="H4" s="269">
        <v>1</v>
      </c>
      <c r="I4" s="269">
        <v>26</v>
      </c>
      <c r="J4" s="269">
        <v>185</v>
      </c>
      <c r="K4" s="188"/>
      <c r="L4" s="238" t="s">
        <v>165</v>
      </c>
      <c r="M4" s="173"/>
      <c r="P4" s="189"/>
      <c r="Q4" s="188"/>
      <c r="R4" s="215"/>
      <c r="S4" s="188"/>
      <c r="T4" s="215"/>
      <c r="U4" s="215"/>
      <c r="V4" s="188"/>
      <c r="W4" s="188"/>
      <c r="X4" s="235" t="str">
        <f>"    Trial "&amp;PM_Index&amp;"/"&amp;PM_Trials</f>
        <v xml:space="preserve">    Trial 1/100</v>
      </c>
      <c r="Y4" s="235"/>
      <c r="Z4" s="189"/>
      <c r="AZ4" s="275" t="s">
        <v>180</v>
      </c>
      <c r="BA4" s="275"/>
      <c r="BB4" s="275"/>
      <c r="BC4" s="303" t="s">
        <v>189</v>
      </c>
      <c r="BJ4" s="275">
        <v>0</v>
      </c>
      <c r="BK4" s="275">
        <v>1</v>
      </c>
    </row>
    <row r="5" spans="1:70" ht="15.75" customHeight="1" x14ac:dyDescent="0.2">
      <c r="E5" s="173"/>
      <c r="F5" s="189"/>
      <c r="G5" s="190" t="s">
        <v>116</v>
      </c>
      <c r="H5" s="269"/>
      <c r="I5" s="269"/>
      <c r="J5" s="269"/>
      <c r="K5" s="188"/>
      <c r="L5" s="238"/>
      <c r="P5" s="189"/>
      <c r="Q5" s="215"/>
      <c r="R5" s="215"/>
      <c r="S5" s="215"/>
      <c r="T5" s="215"/>
      <c r="U5" s="215"/>
      <c r="V5" s="215"/>
      <c r="W5" s="215"/>
      <c r="X5" s="191" t="s">
        <v>131</v>
      </c>
      <c r="Y5" s="191" t="s">
        <v>158</v>
      </c>
      <c r="Z5" s="189"/>
      <c r="AZ5" s="275" t="s">
        <v>181</v>
      </c>
      <c r="BA5" s="275"/>
      <c r="BB5" s="275"/>
      <c r="BC5" s="303" t="s">
        <v>190</v>
      </c>
      <c r="BJ5" s="275">
        <v>1</v>
      </c>
      <c r="BK5" s="275">
        <v>1</v>
      </c>
    </row>
    <row r="6" spans="1:70" ht="15.75" customHeight="1" x14ac:dyDescent="0.2">
      <c r="E6" s="173"/>
      <c r="F6" s="187"/>
      <c r="G6" s="187" t="s">
        <v>130</v>
      </c>
      <c r="H6" s="188"/>
      <c r="I6" s="187"/>
      <c r="J6" s="187"/>
      <c r="K6" s="188"/>
      <c r="L6" s="172"/>
      <c r="P6" s="189"/>
      <c r="Q6" s="215"/>
      <c r="R6" s="215"/>
      <c r="S6" s="215"/>
      <c r="T6" s="215"/>
      <c r="U6" s="215"/>
      <c r="V6" s="215"/>
      <c r="W6" s="215"/>
      <c r="X6" s="279">
        <f>INDEX(AV6:AV7,Mag_Event)</f>
        <v>106.13151616017062</v>
      </c>
      <c r="Y6" s="277">
        <f>INDEX(AW6:AW7,Mag_Event)</f>
        <v>106.13151616017062</v>
      </c>
      <c r="Z6" s="189"/>
      <c r="AV6" s="275">
        <f>Current_Calc!$E$5</f>
        <v>106.13151616017062</v>
      </c>
      <c r="AW6" s="275">
        <f>Proposed_Calc!$E$5</f>
        <v>106.13151616017062</v>
      </c>
      <c r="AZ6" s="275"/>
      <c r="BA6" s="275"/>
      <c r="BB6" s="275"/>
      <c r="BC6" s="265"/>
      <c r="BJ6" s="275"/>
      <c r="BK6" s="275"/>
    </row>
    <row r="7" spans="1:70" ht="15.75" customHeight="1" x14ac:dyDescent="0.2">
      <c r="B7" s="173"/>
      <c r="C7" s="173"/>
      <c r="D7" s="173"/>
      <c r="E7" s="173"/>
      <c r="F7" s="173"/>
      <c r="G7" s="173"/>
      <c r="H7" s="173"/>
      <c r="I7" s="173"/>
      <c r="J7" s="173"/>
      <c r="K7" s="173"/>
      <c r="L7" s="173"/>
      <c r="M7" s="173"/>
      <c r="N7" s="173"/>
      <c r="P7" s="189"/>
      <c r="Q7" s="215"/>
      <c r="R7" s="215"/>
      <c r="S7" s="215"/>
      <c r="T7" s="215"/>
      <c r="U7" s="215"/>
      <c r="V7" s="215"/>
      <c r="W7" s="215"/>
      <c r="X7" s="278" t="s">
        <v>157</v>
      </c>
      <c r="Y7" s="278">
        <f>X6-Y6</f>
        <v>0</v>
      </c>
      <c r="Z7" s="189"/>
      <c r="AV7" s="275">
        <f>Current_Calc!$L$12</f>
        <v>2</v>
      </c>
      <c r="AW7" s="275">
        <f>Proposed_Calc!W12</f>
        <v>0</v>
      </c>
      <c r="AZ7" s="275"/>
      <c r="BA7" s="275"/>
      <c r="BB7" s="275"/>
      <c r="BC7" s="265"/>
      <c r="BJ7" s="275">
        <f>INDEX(BJ2:BJ5,$AZ$1)</f>
        <v>0</v>
      </c>
      <c r="BK7" s="275">
        <f>INDEX(BK2:BK5,$AZ$1)</f>
        <v>0</v>
      </c>
    </row>
    <row r="8" spans="1:70" ht="15.75" customHeight="1" x14ac:dyDescent="0.25">
      <c r="B8" s="239" t="s">
        <v>145</v>
      </c>
      <c r="C8" s="217"/>
      <c r="D8" s="188"/>
      <c r="E8" s="188"/>
      <c r="F8" s="188"/>
      <c r="G8" s="188"/>
      <c r="H8" s="173"/>
      <c r="I8" s="236" t="s">
        <v>167</v>
      </c>
      <c r="J8" s="299"/>
      <c r="K8" s="188"/>
      <c r="L8" s="188"/>
      <c r="M8" s="188"/>
      <c r="N8" s="188"/>
      <c r="O8" s="173"/>
      <c r="P8" s="189"/>
      <c r="Q8" s="215"/>
      <c r="R8" s="215"/>
      <c r="S8" s="215"/>
      <c r="T8" s="215"/>
      <c r="U8" s="215"/>
      <c r="V8" s="215"/>
      <c r="W8" s="215"/>
      <c r="X8" s="215"/>
      <c r="Y8" s="215"/>
      <c r="Z8" s="189"/>
      <c r="AV8" s="275"/>
      <c r="AW8" s="275"/>
      <c r="AZ8" s="275"/>
      <c r="BB8" s="275"/>
      <c r="BC8" s="265"/>
      <c r="BD8" s="275"/>
      <c r="BE8" s="275"/>
    </row>
    <row r="9" spans="1:70" ht="15.75" customHeight="1" x14ac:dyDescent="0.2">
      <c r="B9" s="191" t="s">
        <v>115</v>
      </c>
      <c r="C9" s="188"/>
      <c r="D9" s="191" t="s">
        <v>14</v>
      </c>
      <c r="E9" s="191" t="s">
        <v>41</v>
      </c>
      <c r="F9" s="218" t="s">
        <v>75</v>
      </c>
      <c r="G9" s="221"/>
      <c r="H9" s="173"/>
      <c r="I9" s="187"/>
      <c r="J9" s="215"/>
      <c r="K9" s="191" t="s">
        <v>14</v>
      </c>
      <c r="L9" s="191" t="s">
        <v>41</v>
      </c>
      <c r="M9" s="218" t="s">
        <v>75</v>
      </c>
      <c r="N9" s="189"/>
      <c r="O9" s="173"/>
      <c r="P9" s="189"/>
      <c r="Q9" s="215"/>
      <c r="R9" s="215"/>
      <c r="S9" s="215"/>
      <c r="T9" s="215"/>
      <c r="U9" s="215"/>
      <c r="V9" s="215"/>
      <c r="W9" s="215"/>
      <c r="X9" s="237" t="str">
        <f>"Average "&amp;Metric</f>
        <v>Average Loss</v>
      </c>
      <c r="Y9" s="235"/>
      <c r="Z9" s="189"/>
      <c r="AV9" s="275"/>
      <c r="AW9" s="275"/>
      <c r="BC9" s="173"/>
    </row>
    <row r="10" spans="1:70" ht="15.75" customHeight="1" x14ac:dyDescent="0.2">
      <c r="B10" s="189"/>
      <c r="C10" s="246" t="s">
        <v>168</v>
      </c>
      <c r="D10" s="270">
        <v>0</v>
      </c>
      <c r="E10" s="270">
        <v>1</v>
      </c>
      <c r="F10" s="270">
        <v>5</v>
      </c>
      <c r="G10" s="222"/>
      <c r="H10" s="238" t="s">
        <v>165</v>
      </c>
      <c r="I10" s="187" t="s">
        <v>163</v>
      </c>
      <c r="J10" s="248" t="s">
        <v>115</v>
      </c>
      <c r="K10" s="274">
        <v>0</v>
      </c>
      <c r="L10" s="274">
        <v>0.03</v>
      </c>
      <c r="M10" s="274">
        <v>0.05</v>
      </c>
      <c r="N10" s="189"/>
      <c r="O10" s="238" t="s">
        <v>165</v>
      </c>
      <c r="P10" s="189"/>
      <c r="Q10" s="215"/>
      <c r="R10" s="215"/>
      <c r="S10" s="215"/>
      <c r="T10" s="215"/>
      <c r="U10" s="215"/>
      <c r="V10" s="215"/>
      <c r="W10" s="215"/>
      <c r="X10" s="280" t="s">
        <v>131</v>
      </c>
      <c r="Y10" s="280" t="s">
        <v>158</v>
      </c>
      <c r="Z10" s="189"/>
      <c r="AE10" s="173"/>
      <c r="AV10" s="275"/>
      <c r="AW10" s="275"/>
    </row>
    <row r="11" spans="1:70" ht="15.75" customHeight="1" x14ac:dyDescent="0.2">
      <c r="B11" s="189"/>
      <c r="C11" s="246" t="s">
        <v>68</v>
      </c>
      <c r="D11" s="270">
        <v>0</v>
      </c>
      <c r="E11" s="270">
        <v>0</v>
      </c>
      <c r="F11" s="270">
        <v>0</v>
      </c>
      <c r="G11" s="222"/>
      <c r="H11" s="238" t="s">
        <v>165</v>
      </c>
      <c r="I11" s="215"/>
      <c r="J11" s="190" t="s">
        <v>116</v>
      </c>
      <c r="K11" s="274"/>
      <c r="L11" s="274"/>
      <c r="M11" s="274"/>
      <c r="N11" s="189"/>
      <c r="O11" s="238" t="s">
        <v>165</v>
      </c>
      <c r="P11" s="189"/>
      <c r="Q11" s="215"/>
      <c r="R11" s="215"/>
      <c r="S11" s="215"/>
      <c r="T11" s="215"/>
      <c r="U11" s="215"/>
      <c r="V11" s="215"/>
      <c r="W11" s="215"/>
      <c r="X11" s="279">
        <f>INDEX(AV11:AV12,Mag_Event)</f>
        <v>95.708910743972453</v>
      </c>
      <c r="Y11" s="277">
        <f>INDEX(AW11:AW12,Mag_Event)</f>
        <v>95.708910743972453</v>
      </c>
      <c r="Z11" s="189"/>
      <c r="AE11" s="173"/>
      <c r="AV11" s="275">
        <f>AVERAGE(Risk)</f>
        <v>95.708910743972453</v>
      </c>
      <c r="AW11" s="275">
        <f>AVERAGE(What_If)</f>
        <v>95.708910743972453</v>
      </c>
    </row>
    <row r="12" spans="1:70" ht="15.75" customHeight="1" x14ac:dyDescent="0.2">
      <c r="B12" s="189"/>
      <c r="C12" s="246" t="s">
        <v>69</v>
      </c>
      <c r="D12" s="270">
        <v>0</v>
      </c>
      <c r="E12" s="270">
        <v>0</v>
      </c>
      <c r="F12" s="270">
        <v>0</v>
      </c>
      <c r="G12" s="222"/>
      <c r="H12" s="238" t="s">
        <v>165</v>
      </c>
      <c r="I12" s="215"/>
      <c r="J12" s="215"/>
      <c r="K12" s="189"/>
      <c r="L12" s="189"/>
      <c r="M12" s="189"/>
      <c r="N12" s="189"/>
      <c r="P12" s="189"/>
      <c r="Q12" s="215"/>
      <c r="R12" s="215"/>
      <c r="S12" s="215"/>
      <c r="T12" s="215"/>
      <c r="U12" s="215"/>
      <c r="V12" s="215"/>
      <c r="W12" s="215"/>
      <c r="X12" s="278" t="s">
        <v>157</v>
      </c>
      <c r="Y12" s="278">
        <f>X11-Y11</f>
        <v>0</v>
      </c>
      <c r="Z12" s="189"/>
      <c r="AE12" s="173"/>
      <c r="AV12" s="275">
        <f>AVERAGE(Current_Loss_Events)</f>
        <v>1.41</v>
      </c>
      <c r="AW12" s="275">
        <f>AVERAGE(Proposed_Loss_Events)</f>
        <v>1.41</v>
      </c>
      <c r="BG12" s="275" t="b">
        <v>0</v>
      </c>
      <c r="BH12" s="193" t="s">
        <v>144</v>
      </c>
      <c r="BI12" s="173"/>
      <c r="BK12" s="176" t="s">
        <v>155</v>
      </c>
    </row>
    <row r="13" spans="1:70" ht="15.75" customHeight="1" x14ac:dyDescent="0.2">
      <c r="B13" s="189"/>
      <c r="C13" s="246" t="s">
        <v>71</v>
      </c>
      <c r="D13" s="271">
        <v>0</v>
      </c>
      <c r="E13" s="271">
        <v>0</v>
      </c>
      <c r="F13" s="271">
        <v>0</v>
      </c>
      <c r="G13" s="222"/>
      <c r="H13" s="238" t="s">
        <v>165</v>
      </c>
      <c r="I13" s="191" t="s">
        <v>115</v>
      </c>
      <c r="J13" s="188"/>
      <c r="K13" s="191" t="s">
        <v>14</v>
      </c>
      <c r="L13" s="191" t="s">
        <v>41</v>
      </c>
      <c r="M13" s="218" t="s">
        <v>75</v>
      </c>
      <c r="N13" s="219"/>
      <c r="P13" s="189"/>
      <c r="Q13" s="215"/>
      <c r="R13" s="189"/>
      <c r="S13" s="189"/>
      <c r="T13" s="189"/>
      <c r="U13" s="189"/>
      <c r="V13" s="189"/>
      <c r="W13" s="189"/>
      <c r="X13" s="215"/>
      <c r="Y13" s="215"/>
      <c r="Z13" s="189"/>
      <c r="AE13" s="173"/>
      <c r="AV13" s="275"/>
      <c r="AW13" s="275"/>
    </row>
    <row r="14" spans="1:70" ht="15.75" customHeight="1" x14ac:dyDescent="0.2">
      <c r="B14" s="189"/>
      <c r="C14" s="246" t="s">
        <v>72</v>
      </c>
      <c r="D14" s="271">
        <v>0</v>
      </c>
      <c r="E14" s="271">
        <v>0</v>
      </c>
      <c r="F14" s="271">
        <v>0</v>
      </c>
      <c r="G14" s="222"/>
      <c r="H14" s="238" t="s">
        <v>165</v>
      </c>
      <c r="I14" s="189"/>
      <c r="J14" s="248" t="s">
        <v>168</v>
      </c>
      <c r="K14" s="273"/>
      <c r="L14" s="273"/>
      <c r="M14" s="273"/>
      <c r="N14" s="220"/>
      <c r="O14" s="238" t="s">
        <v>165</v>
      </c>
      <c r="P14" s="189"/>
      <c r="Q14" s="215"/>
      <c r="R14" s="189"/>
      <c r="S14" s="189"/>
      <c r="T14" s="189"/>
      <c r="U14" s="189"/>
      <c r="V14" s="189"/>
      <c r="W14" s="189"/>
      <c r="X14" s="314" t="str">
        <f>"Percentile "&amp;Metric</f>
        <v>Percentile Loss</v>
      </c>
      <c r="Y14" s="264">
        <v>0.9</v>
      </c>
      <c r="Z14" s="189"/>
      <c r="AE14" s="173"/>
      <c r="AV14" s="275"/>
      <c r="AW14" s="275"/>
      <c r="BF14" s="175" t="s">
        <v>151</v>
      </c>
      <c r="BH14" s="175">
        <f>IF(K11="",K10,K11)</f>
        <v>0</v>
      </c>
      <c r="BI14" s="175">
        <f>IF(L11="",L10,L11)</f>
        <v>0.03</v>
      </c>
      <c r="BJ14" s="175">
        <f>IF(M11="",M10,M11)</f>
        <v>0.05</v>
      </c>
      <c r="BQ14" t="s">
        <v>173</v>
      </c>
      <c r="BR14" t="s">
        <v>38</v>
      </c>
    </row>
    <row r="15" spans="1:70" ht="15.75" customHeight="1" x14ac:dyDescent="0.2">
      <c r="B15" s="214"/>
      <c r="C15" s="247" t="s">
        <v>169</v>
      </c>
      <c r="D15" s="271">
        <v>0</v>
      </c>
      <c r="E15" s="271">
        <v>0</v>
      </c>
      <c r="F15" s="271">
        <v>0</v>
      </c>
      <c r="G15" s="222"/>
      <c r="H15" s="238" t="s">
        <v>165</v>
      </c>
      <c r="I15" s="189"/>
      <c r="J15" s="248" t="s">
        <v>68</v>
      </c>
      <c r="K15" s="273"/>
      <c r="L15" s="273"/>
      <c r="M15" s="273"/>
      <c r="N15" s="220"/>
      <c r="O15" s="238" t="s">
        <v>165</v>
      </c>
      <c r="P15" s="189"/>
      <c r="Q15" s="215"/>
      <c r="R15" s="188"/>
      <c r="S15" s="215"/>
      <c r="T15" s="231"/>
      <c r="U15" s="231"/>
      <c r="V15" s="231"/>
      <c r="W15" s="215"/>
      <c r="X15" s="280" t="s">
        <v>131</v>
      </c>
      <c r="Y15" s="280" t="s">
        <v>158</v>
      </c>
      <c r="Z15" s="189"/>
      <c r="AA15" s="300"/>
      <c r="AE15" s="173"/>
      <c r="AV15" s="275"/>
      <c r="AW15" s="275"/>
      <c r="BQ15" s="265">
        <v>10</v>
      </c>
      <c r="BR15" s="265">
        <v>10</v>
      </c>
    </row>
    <row r="16" spans="1:70" ht="15.75" customHeight="1" x14ac:dyDescent="0.2">
      <c r="B16" s="188"/>
      <c r="C16" s="188"/>
      <c r="D16" s="220"/>
      <c r="E16" s="220"/>
      <c r="F16" s="220"/>
      <c r="G16" s="222"/>
      <c r="I16" s="189"/>
      <c r="J16" s="248" t="s">
        <v>69</v>
      </c>
      <c r="K16" s="270"/>
      <c r="L16" s="270"/>
      <c r="M16" s="270"/>
      <c r="N16" s="220"/>
      <c r="O16" s="238" t="s">
        <v>165</v>
      </c>
      <c r="P16" s="189"/>
      <c r="Q16" s="215"/>
      <c r="R16" s="188"/>
      <c r="S16" s="232"/>
      <c r="T16" s="215"/>
      <c r="U16" s="232"/>
      <c r="V16" s="233"/>
      <c r="W16" s="215"/>
      <c r="X16" s="279">
        <f>INDEX(AV16:AV17,Mag_Event)</f>
        <v>202.98420818397145</v>
      </c>
      <c r="Y16" s="277">
        <f>INDEX(AW16:AW17,Mag_Event)</f>
        <v>202.98420818397145</v>
      </c>
      <c r="Z16" s="189"/>
      <c r="AE16" s="173"/>
      <c r="AV16" s="275">
        <f>PERCENTILE(Risk,$Y$14)</f>
        <v>202.98420818397145</v>
      </c>
      <c r="AW16" s="275">
        <f>PERCENTILE(What_If,$Y$14)</f>
        <v>202.98420818397145</v>
      </c>
      <c r="BD16" s="175" t="s">
        <v>33</v>
      </c>
      <c r="BI16" s="175" t="s">
        <v>32</v>
      </c>
      <c r="BL16" s="173"/>
    </row>
    <row r="17" spans="2:64" ht="15.75" customHeight="1" x14ac:dyDescent="0.2">
      <c r="B17" s="187" t="s">
        <v>116</v>
      </c>
      <c r="C17" s="215"/>
      <c r="D17" s="191" t="s">
        <v>14</v>
      </c>
      <c r="E17" s="191" t="s">
        <v>41</v>
      </c>
      <c r="F17" s="218" t="s">
        <v>75</v>
      </c>
      <c r="G17" s="223"/>
      <c r="I17" s="189"/>
      <c r="J17" s="248" t="s">
        <v>71</v>
      </c>
      <c r="K17" s="271">
        <v>0</v>
      </c>
      <c r="L17" s="271">
        <v>15</v>
      </c>
      <c r="M17" s="271">
        <v>60</v>
      </c>
      <c r="N17" s="220"/>
      <c r="O17" s="238" t="s">
        <v>165</v>
      </c>
      <c r="P17" s="189"/>
      <c r="Q17" s="215"/>
      <c r="R17" s="215"/>
      <c r="S17" s="215"/>
      <c r="T17" s="234"/>
      <c r="U17" s="215"/>
      <c r="V17" s="215"/>
      <c r="W17" s="215"/>
      <c r="X17" s="278" t="s">
        <v>157</v>
      </c>
      <c r="Y17" s="278">
        <f>X16-Y16</f>
        <v>0</v>
      </c>
      <c r="Z17" s="189"/>
      <c r="AE17" s="173"/>
      <c r="AV17" s="275">
        <f>PERCENTILE(Current_Loss_Events,$Y$14)</f>
        <v>3</v>
      </c>
      <c r="AW17" s="275">
        <f>PERCENTILE(Proposed_Loss_Events,$Y$14)</f>
        <v>3</v>
      </c>
      <c r="BL17" s="173"/>
    </row>
    <row r="18" spans="2:64" ht="15.75" customHeight="1" x14ac:dyDescent="0.25">
      <c r="B18" s="189"/>
      <c r="C18" s="248" t="s">
        <v>168</v>
      </c>
      <c r="D18" s="270"/>
      <c r="E18" s="270"/>
      <c r="F18" s="270"/>
      <c r="G18" s="222"/>
      <c r="H18" s="238" t="s">
        <v>165</v>
      </c>
      <c r="I18" s="189"/>
      <c r="J18" s="248" t="s">
        <v>72</v>
      </c>
      <c r="K18" s="270"/>
      <c r="L18" s="270"/>
      <c r="M18" s="270"/>
      <c r="N18" s="220"/>
      <c r="O18" s="238" t="s">
        <v>165</v>
      </c>
      <c r="P18" s="189"/>
      <c r="Q18" s="215"/>
      <c r="R18" s="215"/>
      <c r="S18" s="215"/>
      <c r="T18" s="215"/>
      <c r="U18" s="215"/>
      <c r="V18" s="215"/>
      <c r="W18" s="215"/>
      <c r="X18" s="215"/>
      <c r="Y18" s="215"/>
      <c r="Z18" s="189"/>
      <c r="AE18" s="173"/>
      <c r="AV18" s="275"/>
      <c r="AW18" s="275"/>
      <c r="BA18" s="173"/>
      <c r="BB18" s="205" t="s">
        <v>137</v>
      </c>
      <c r="BC18" s="172"/>
      <c r="BD18" s="182" t="s">
        <v>14</v>
      </c>
      <c r="BE18" s="182" t="s">
        <v>74</v>
      </c>
      <c r="BF18" s="206" t="s">
        <v>75</v>
      </c>
      <c r="BI18" s="182" t="s">
        <v>14</v>
      </c>
      <c r="BJ18" s="182" t="s">
        <v>74</v>
      </c>
      <c r="BK18" s="206" t="s">
        <v>75</v>
      </c>
      <c r="BL18" s="173"/>
    </row>
    <row r="19" spans="2:64" ht="15.75" customHeight="1" x14ac:dyDescent="0.2">
      <c r="B19" s="189"/>
      <c r="C19" s="248" t="s">
        <v>68</v>
      </c>
      <c r="D19" s="270"/>
      <c r="E19" s="270"/>
      <c r="F19" s="270"/>
      <c r="G19" s="222"/>
      <c r="H19" s="238" t="s">
        <v>165</v>
      </c>
      <c r="I19" s="214"/>
      <c r="J19" s="249" t="s">
        <v>169</v>
      </c>
      <c r="K19" s="271">
        <v>0</v>
      </c>
      <c r="L19" s="271">
        <v>0</v>
      </c>
      <c r="M19" s="271">
        <v>75</v>
      </c>
      <c r="N19" s="220"/>
      <c r="O19" s="238" t="s">
        <v>165</v>
      </c>
      <c r="P19" s="189"/>
      <c r="Q19" s="189"/>
      <c r="R19" s="189"/>
      <c r="S19" s="189"/>
      <c r="T19" s="189"/>
      <c r="U19" s="189"/>
      <c r="V19" s="189"/>
      <c r="W19" s="189"/>
      <c r="X19" s="235" t="str">
        <f>"Chance "&amp;Metric</f>
        <v>Chance Loss</v>
      </c>
      <c r="Y19" s="235"/>
      <c r="Z19" s="189"/>
      <c r="AV19" s="275"/>
      <c r="AW19" s="275"/>
      <c r="BA19" s="173"/>
      <c r="BB19" s="176"/>
      <c r="BC19" s="207" t="s">
        <v>68</v>
      </c>
      <c r="BL19" s="173"/>
    </row>
    <row r="20" spans="2:64" ht="15.75" customHeight="1" x14ac:dyDescent="0.2">
      <c r="B20" s="189"/>
      <c r="C20" s="248" t="s">
        <v>69</v>
      </c>
      <c r="D20" s="272"/>
      <c r="E20" s="272"/>
      <c r="F20" s="272"/>
      <c r="G20" s="222"/>
      <c r="H20" s="238" t="s">
        <v>165</v>
      </c>
      <c r="I20" s="215"/>
      <c r="J20" s="215"/>
      <c r="K20" s="189"/>
      <c r="L20" s="189"/>
      <c r="M20" s="189"/>
      <c r="N20" s="189"/>
      <c r="P20" s="189"/>
      <c r="Q20" s="189"/>
      <c r="R20" s="189"/>
      <c r="S20" s="189"/>
      <c r="T20" s="231"/>
      <c r="U20" s="231"/>
      <c r="V20" s="231"/>
      <c r="W20" s="231"/>
      <c r="X20" s="298" t="s">
        <v>159</v>
      </c>
      <c r="Y20" s="296">
        <v>3</v>
      </c>
      <c r="Z20" s="189"/>
      <c r="AE20" s="173"/>
      <c r="AV20" s="275"/>
      <c r="AW20" s="275"/>
      <c r="BA20" s="173"/>
      <c r="BB20" s="176"/>
      <c r="BC20" s="207" t="s">
        <v>69</v>
      </c>
      <c r="BL20" s="173"/>
    </row>
    <row r="21" spans="2:64" ht="15.75" customHeight="1" x14ac:dyDescent="0.2">
      <c r="B21" s="189"/>
      <c r="C21" s="248" t="s">
        <v>71</v>
      </c>
      <c r="D21" s="273"/>
      <c r="E21" s="273"/>
      <c r="F21" s="273"/>
      <c r="G21" s="222"/>
      <c r="H21" s="238" t="s">
        <v>165</v>
      </c>
      <c r="I21" s="187" t="s">
        <v>116</v>
      </c>
      <c r="J21" s="215"/>
      <c r="K21" s="191" t="s">
        <v>14</v>
      </c>
      <c r="L21" s="191" t="s">
        <v>41</v>
      </c>
      <c r="M21" s="218" t="s">
        <v>75</v>
      </c>
      <c r="N21" s="219"/>
      <c r="P21" s="189"/>
      <c r="Q21" s="189"/>
      <c r="R21" s="189"/>
      <c r="S21" s="189"/>
      <c r="T21" s="189"/>
      <c r="U21" s="189"/>
      <c r="V21" s="189"/>
      <c r="W21" s="189"/>
      <c r="X21" s="280" t="s">
        <v>131</v>
      </c>
      <c r="Y21" s="280" t="s">
        <v>158</v>
      </c>
      <c r="Z21" s="189"/>
      <c r="AE21" s="173"/>
      <c r="AV21" s="275"/>
      <c r="AW21" s="275"/>
      <c r="BA21" s="173"/>
      <c r="BB21" s="176"/>
      <c r="BC21" s="207" t="s">
        <v>70</v>
      </c>
      <c r="BL21" s="173"/>
    </row>
    <row r="22" spans="2:64" ht="15.75" customHeight="1" x14ac:dyDescent="0.2">
      <c r="B22" s="189"/>
      <c r="C22" s="248" t="s">
        <v>72</v>
      </c>
      <c r="D22" s="273"/>
      <c r="E22" s="273"/>
      <c r="F22" s="273"/>
      <c r="G22" s="222"/>
      <c r="H22" s="238" t="s">
        <v>165</v>
      </c>
      <c r="I22" s="189"/>
      <c r="J22" s="248" t="s">
        <v>168</v>
      </c>
      <c r="K22" s="273"/>
      <c r="L22" s="273"/>
      <c r="M22" s="273"/>
      <c r="N22" s="220"/>
      <c r="O22" s="238" t="s">
        <v>165</v>
      </c>
      <c r="P22" s="189"/>
      <c r="Q22" s="189"/>
      <c r="R22" s="189"/>
      <c r="S22" s="189"/>
      <c r="T22" s="189"/>
      <c r="U22" s="189"/>
      <c r="V22" s="189"/>
      <c r="W22" s="189"/>
      <c r="X22" s="293">
        <f>INDEX(AV22:AV23,Mag_Event)</f>
        <v>0.73</v>
      </c>
      <c r="Y22" s="294">
        <f>INDEX(AW22:AW23,Mag_Event)</f>
        <v>0.73</v>
      </c>
      <c r="Z22" s="189"/>
      <c r="AE22" s="173"/>
      <c r="AV22" s="275">
        <f>COUNTIF(Risk,"&gt;"&amp;$Y$20)/PM_Trials</f>
        <v>0.73</v>
      </c>
      <c r="AW22" s="275">
        <f>COUNTIF(What_If,"&gt;"&amp;$Y$20)/PM_Trials</f>
        <v>0.73</v>
      </c>
      <c r="BA22" s="173"/>
      <c r="BB22" s="176"/>
      <c r="BC22" s="207" t="s">
        <v>71</v>
      </c>
      <c r="BL22" s="173"/>
    </row>
    <row r="23" spans="2:64" ht="15.75" customHeight="1" x14ac:dyDescent="0.2">
      <c r="B23" s="189"/>
      <c r="C23" s="249" t="s">
        <v>169</v>
      </c>
      <c r="D23" s="273"/>
      <c r="E23" s="273"/>
      <c r="F23" s="273"/>
      <c r="G23" s="222"/>
      <c r="H23" s="238" t="s">
        <v>165</v>
      </c>
      <c r="I23" s="189"/>
      <c r="J23" s="248" t="s">
        <v>68</v>
      </c>
      <c r="K23" s="273"/>
      <c r="L23" s="273"/>
      <c r="M23" s="273"/>
      <c r="N23" s="220"/>
      <c r="O23" s="238" t="s">
        <v>165</v>
      </c>
      <c r="P23" s="189"/>
      <c r="Q23" s="189"/>
      <c r="R23" s="189"/>
      <c r="S23" s="189"/>
      <c r="T23" s="189"/>
      <c r="U23" s="189"/>
      <c r="V23" s="189"/>
      <c r="W23" s="189"/>
      <c r="X23" s="278" t="s">
        <v>157</v>
      </c>
      <c r="Y23" s="295">
        <f>X22-Y22</f>
        <v>0</v>
      </c>
      <c r="Z23" s="189"/>
      <c r="AE23" s="173"/>
      <c r="AV23" s="275">
        <f>COUNTIF(Current_Loss_Events,"&gt;"&amp;$Y$20)/PM_Trials</f>
        <v>7.0000000000000007E-2</v>
      </c>
      <c r="AW23" s="275">
        <f>COUNTIF(Proposed_Loss_Events,"&gt;"&amp;$Y$20)/PM_Trials</f>
        <v>7.0000000000000007E-2</v>
      </c>
      <c r="BA23" s="173"/>
      <c r="BB23" s="176"/>
      <c r="BC23" s="207" t="s">
        <v>72</v>
      </c>
    </row>
    <row r="24" spans="2:64" ht="15.75" customHeight="1" x14ac:dyDescent="0.2">
      <c r="B24" s="189"/>
      <c r="C24" s="187"/>
      <c r="D24" s="220"/>
      <c r="E24" s="220"/>
      <c r="F24" s="220"/>
      <c r="G24" s="222"/>
      <c r="I24" s="189"/>
      <c r="J24" s="248" t="s">
        <v>69</v>
      </c>
      <c r="K24" s="270"/>
      <c r="L24" s="270"/>
      <c r="M24" s="270"/>
      <c r="N24" s="220"/>
      <c r="O24" s="238" t="s">
        <v>165</v>
      </c>
      <c r="P24" s="189"/>
      <c r="Q24" s="189"/>
      <c r="R24" s="189"/>
      <c r="S24" s="189"/>
      <c r="T24" s="189"/>
      <c r="U24" s="189"/>
      <c r="V24" s="189"/>
      <c r="W24" s="189"/>
      <c r="X24" s="189"/>
      <c r="Y24" s="189"/>
      <c r="Z24" s="189"/>
      <c r="AE24" s="173"/>
      <c r="BA24" s="173"/>
      <c r="BB24" s="176"/>
      <c r="BC24" s="207" t="s">
        <v>73</v>
      </c>
    </row>
    <row r="25" spans="2:64" ht="15.75" customHeight="1" x14ac:dyDescent="0.2">
      <c r="I25" s="189"/>
      <c r="J25" s="248" t="s">
        <v>71</v>
      </c>
      <c r="K25" s="270"/>
      <c r="L25" s="270"/>
      <c r="M25" s="270"/>
      <c r="N25" s="220"/>
      <c r="O25" s="238" t="s">
        <v>165</v>
      </c>
      <c r="P25" s="173"/>
      <c r="Q25" s="173"/>
      <c r="R25" s="173"/>
      <c r="S25" s="343" t="s">
        <v>37</v>
      </c>
      <c r="T25" s="173"/>
      <c r="U25" s="343" t="s">
        <v>38</v>
      </c>
      <c r="V25" s="173"/>
      <c r="W25" s="343" t="s">
        <v>182</v>
      </c>
      <c r="X25" s="173"/>
      <c r="Y25" s="173"/>
      <c r="Z25" s="173"/>
      <c r="AE25" s="173"/>
    </row>
    <row r="26" spans="2:64" ht="15.75" customHeight="1" x14ac:dyDescent="0.2">
      <c r="I26" s="189"/>
      <c r="J26" s="248" t="s">
        <v>72</v>
      </c>
      <c r="K26" s="270"/>
      <c r="L26" s="270"/>
      <c r="M26" s="270"/>
      <c r="N26" s="220"/>
      <c r="O26" s="238" t="s">
        <v>165</v>
      </c>
      <c r="S26" s="263">
        <f>'Loss Magnitude'!$BQ$15</f>
        <v>10</v>
      </c>
      <c r="U26" s="263">
        <f>'Loss Magnitude'!$BR$15*5</f>
        <v>50</v>
      </c>
      <c r="V26" s="173"/>
      <c r="W26" s="174"/>
      <c r="X26" s="172"/>
      <c r="Y26" s="172"/>
      <c r="Z26" s="311" t="str">
        <f>IF(AND($AZ$1&gt;1,'SIPmath Chart Data'!$AB$2&gt;1),"Graph must be set to Magnitude","")</f>
        <v/>
      </c>
      <c r="AA26" s="173"/>
      <c r="AB26" s="173"/>
      <c r="AC26" s="173"/>
      <c r="AD26" s="173"/>
      <c r="AE26" s="173"/>
      <c r="AM26" s="275"/>
      <c r="AY26" s="275"/>
    </row>
    <row r="27" spans="2:64" ht="15.75" customHeight="1" x14ac:dyDescent="0.2">
      <c r="I27" s="189"/>
      <c r="J27" s="249" t="s">
        <v>169</v>
      </c>
      <c r="K27" s="270"/>
      <c r="L27" s="270"/>
      <c r="M27" s="270"/>
      <c r="N27" s="220"/>
      <c r="O27" s="238" t="s">
        <v>165</v>
      </c>
      <c r="W27" s="346" t="str">
        <f>INDEX(BC2:BC5,AZ1)</f>
        <v>Sums Primary and Secondary Risk across all potential events</v>
      </c>
      <c r="X27" s="346"/>
      <c r="Y27" s="346"/>
      <c r="Z27" s="304"/>
      <c r="AL27" s="275"/>
      <c r="AM27" s="275"/>
    </row>
    <row r="28" spans="2:64" ht="15.75" customHeight="1" x14ac:dyDescent="0.2">
      <c r="I28" s="189"/>
      <c r="J28" s="187"/>
      <c r="K28" s="220"/>
      <c r="L28" s="220"/>
      <c r="M28" s="220"/>
      <c r="N28" s="220"/>
      <c r="W28" s="346"/>
      <c r="X28" s="346"/>
      <c r="Y28" s="346"/>
      <c r="Z28" s="304"/>
      <c r="AL28" s="275"/>
      <c r="AM28" s="275"/>
    </row>
    <row r="29" spans="2:64" ht="15.75" customHeight="1" x14ac:dyDescent="0.2">
      <c r="W29" s="346"/>
      <c r="X29" s="346"/>
      <c r="Y29" s="346"/>
      <c r="Z29" s="304"/>
      <c r="AL29" s="275"/>
      <c r="AM29" s="275"/>
    </row>
    <row r="30" spans="2:64" ht="15.75" customHeight="1" x14ac:dyDescent="0.2">
      <c r="C30" s="252"/>
      <c r="T30" s="252"/>
      <c r="U30" s="252"/>
      <c r="V30" s="252"/>
      <c r="W30" s="304"/>
      <c r="X30" s="304"/>
      <c r="Y30" s="304"/>
      <c r="Z30" s="304"/>
      <c r="AL30" s="275"/>
      <c r="AM30" s="275"/>
    </row>
    <row r="31" spans="2:64" ht="15.75" customHeight="1" x14ac:dyDescent="0.2">
      <c r="C31" s="252"/>
      <c r="T31" s="252"/>
      <c r="U31" s="252"/>
      <c r="V31" s="252"/>
      <c r="W31" s="252"/>
      <c r="AL31" s="275"/>
      <c r="AM31" s="275"/>
    </row>
    <row r="32" spans="2:64" ht="15.75" customHeight="1" x14ac:dyDescent="0.2">
      <c r="AL32" s="275"/>
      <c r="AM32" s="275"/>
    </row>
    <row r="33" spans="38:66" ht="15.75" customHeight="1" x14ac:dyDescent="0.2">
      <c r="AL33" s="275"/>
      <c r="AM33" s="275"/>
    </row>
    <row r="34" spans="38:66" ht="15.75" customHeight="1" x14ac:dyDescent="0.2">
      <c r="AL34" s="275"/>
      <c r="AM34" s="275"/>
      <c r="BI34" s="173"/>
      <c r="BK34" s="173"/>
    </row>
    <row r="35" spans="38:66" x14ac:dyDescent="0.2">
      <c r="AL35" s="275"/>
      <c r="AM35" s="275"/>
      <c r="BB35" s="172"/>
      <c r="BC35" s="172"/>
      <c r="BD35" s="208" t="s">
        <v>14</v>
      </c>
      <c r="BE35" s="208" t="s">
        <v>74</v>
      </c>
      <c r="BF35" s="209" t="s">
        <v>75</v>
      </c>
      <c r="BG35" s="173"/>
      <c r="BH35" s="173"/>
      <c r="BI35" s="173"/>
      <c r="BJ35" s="172"/>
      <c r="BK35" s="209" t="s">
        <v>14</v>
      </c>
      <c r="BL35" s="209" t="s">
        <v>74</v>
      </c>
      <c r="BM35" s="209" t="s">
        <v>75</v>
      </c>
      <c r="BN35" s="173"/>
    </row>
    <row r="36" spans="38:66" x14ac:dyDescent="0.2">
      <c r="AL36" s="275"/>
      <c r="AM36" s="275"/>
      <c r="BB36" s="176"/>
      <c r="BC36" s="207" t="s">
        <v>68</v>
      </c>
      <c r="BG36" s="173"/>
      <c r="BH36" s="173"/>
      <c r="BI36" s="173"/>
      <c r="BJ36" s="207" t="s">
        <v>68</v>
      </c>
      <c r="BN36" s="173"/>
    </row>
    <row r="37" spans="38:66" x14ac:dyDescent="0.2">
      <c r="AL37" s="275"/>
      <c r="AM37" s="275"/>
      <c r="BB37" s="176"/>
      <c r="BC37" s="207" t="s">
        <v>69</v>
      </c>
      <c r="BG37" s="173"/>
      <c r="BH37" s="173"/>
      <c r="BI37" s="173"/>
      <c r="BJ37" s="207" t="s">
        <v>69</v>
      </c>
      <c r="BN37" s="173"/>
    </row>
    <row r="38" spans="38:66" x14ac:dyDescent="0.2">
      <c r="AL38" s="275"/>
      <c r="AM38" s="275"/>
      <c r="BB38" s="176"/>
      <c r="BC38" s="207" t="s">
        <v>70</v>
      </c>
      <c r="BG38" s="173"/>
      <c r="BH38" s="173"/>
      <c r="BI38" s="173"/>
      <c r="BJ38" s="207" t="s">
        <v>70</v>
      </c>
      <c r="BN38" s="173"/>
    </row>
    <row r="39" spans="38:66" x14ac:dyDescent="0.2">
      <c r="AL39" s="275"/>
      <c r="AM39" s="275"/>
      <c r="BB39" s="176"/>
      <c r="BC39" s="207" t="s">
        <v>71</v>
      </c>
      <c r="BG39" s="173"/>
      <c r="BH39" s="173"/>
      <c r="BI39" s="173"/>
      <c r="BJ39" s="207" t="s">
        <v>71</v>
      </c>
      <c r="BN39" s="173"/>
    </row>
    <row r="40" spans="38:66" x14ac:dyDescent="0.2">
      <c r="AL40" s="275"/>
      <c r="AM40" s="275"/>
      <c r="BB40" s="176"/>
      <c r="BC40" s="207" t="s">
        <v>72</v>
      </c>
      <c r="BG40" s="173"/>
      <c r="BH40" s="173"/>
      <c r="BI40" s="173"/>
      <c r="BJ40" s="207" t="s">
        <v>72</v>
      </c>
      <c r="BN40" s="173"/>
    </row>
    <row r="41" spans="38:66" x14ac:dyDescent="0.2">
      <c r="AL41" s="275"/>
      <c r="AM41" s="275"/>
      <c r="BB41" s="176"/>
      <c r="BC41" s="207" t="s">
        <v>73</v>
      </c>
      <c r="BG41" s="173"/>
      <c r="BH41" s="173"/>
      <c r="BI41" s="173"/>
      <c r="BJ41" s="207" t="s">
        <v>73</v>
      </c>
      <c r="BN41" s="173"/>
    </row>
    <row r="42" spans="38:66" x14ac:dyDescent="0.2">
      <c r="AL42" s="275"/>
      <c r="AM42" s="275"/>
      <c r="BB42" s="173"/>
      <c r="BC42" s="173"/>
      <c r="BD42" s="173"/>
      <c r="BE42" s="173"/>
      <c r="BF42" s="173"/>
      <c r="BG42" s="173"/>
      <c r="BH42" s="173"/>
      <c r="BI42" s="173"/>
      <c r="BJ42" s="173"/>
      <c r="BK42" s="173"/>
      <c r="BL42" s="173"/>
      <c r="BM42" s="173"/>
      <c r="BN42" s="173"/>
    </row>
    <row r="43" spans="38:66" x14ac:dyDescent="0.2">
      <c r="AL43" s="275"/>
      <c r="AM43" s="275"/>
      <c r="BB43" s="173"/>
      <c r="BC43" s="173"/>
      <c r="BD43" s="184">
        <f>IF(D18="",'Loss Magnitude'!D10,D18)</f>
        <v>0</v>
      </c>
      <c r="BE43" s="184">
        <f>IF(E18="",'Loss Magnitude'!E10,E18)</f>
        <v>1</v>
      </c>
      <c r="BF43" s="184">
        <f>IF(F18="",'Loss Magnitude'!F10,F18)</f>
        <v>5</v>
      </c>
      <c r="BG43" s="173"/>
      <c r="BH43" s="173"/>
      <c r="BI43" s="173"/>
      <c r="BJ43" s="172"/>
      <c r="BK43" s="184">
        <f>IF(K22="",'Loss Magnitude'!K14,K22)</f>
        <v>0</v>
      </c>
      <c r="BL43" s="184">
        <f>IF(L22="",'Loss Magnitude'!L14,L22)</f>
        <v>0</v>
      </c>
      <c r="BM43" s="184">
        <f>IF(M22="",'Loss Magnitude'!M14,M22)</f>
        <v>0</v>
      </c>
      <c r="BN43" s="173"/>
    </row>
    <row r="44" spans="38:66" x14ac:dyDescent="0.2">
      <c r="BB44" s="173"/>
      <c r="BC44" s="173"/>
      <c r="BD44" s="184">
        <f>IF(D19="",'Loss Magnitude'!D11,D19)</f>
        <v>0</v>
      </c>
      <c r="BE44" s="184">
        <f>IF(E19="",'Loss Magnitude'!E11,E19)</f>
        <v>0</v>
      </c>
      <c r="BF44" s="184">
        <f>IF(F19="",'Loss Magnitude'!F11,F19)</f>
        <v>0</v>
      </c>
      <c r="BG44" s="173"/>
      <c r="BH44" s="173"/>
      <c r="BI44" s="173"/>
      <c r="BJ44" s="172"/>
      <c r="BK44" s="184">
        <f>IF(K23="",'Loss Magnitude'!K15,K23)</f>
        <v>0</v>
      </c>
      <c r="BL44" s="184">
        <f>IF(L23="",'Loss Magnitude'!L15,L23)</f>
        <v>0</v>
      </c>
      <c r="BM44" s="184">
        <f>IF(M23="",'Loss Magnitude'!M15,M23)</f>
        <v>0</v>
      </c>
      <c r="BN44" s="173"/>
    </row>
    <row r="45" spans="38:66" x14ac:dyDescent="0.2">
      <c r="BB45" s="173"/>
      <c r="BC45" s="173"/>
      <c r="BD45" s="184">
        <f>IF(D20="",'Loss Magnitude'!D12,D20)</f>
        <v>0</v>
      </c>
      <c r="BE45" s="184">
        <f>IF(E20="",'Loss Magnitude'!E12,E20)</f>
        <v>0</v>
      </c>
      <c r="BF45" s="184">
        <f>IF(F20="",'Loss Magnitude'!F12,F20)</f>
        <v>0</v>
      </c>
      <c r="BG45" s="173"/>
      <c r="BH45" s="173"/>
      <c r="BI45" s="173"/>
      <c r="BJ45" s="172"/>
      <c r="BK45" s="184">
        <f>IF(K24="",'Loss Magnitude'!K16,K24)</f>
        <v>0</v>
      </c>
      <c r="BL45" s="184">
        <f>IF(L24="",'Loss Magnitude'!L16,L24)</f>
        <v>0</v>
      </c>
      <c r="BM45" s="184">
        <f>IF(M24="",'Loss Magnitude'!M16,M24)</f>
        <v>0</v>
      </c>
      <c r="BN45" s="173"/>
    </row>
    <row r="46" spans="38:66" x14ac:dyDescent="0.2">
      <c r="BB46" s="173"/>
      <c r="BC46" s="173"/>
      <c r="BD46" s="184">
        <f>IF(D21="",'Loss Magnitude'!D13,D21)</f>
        <v>0</v>
      </c>
      <c r="BE46" s="184">
        <f>IF(E21="",'Loss Magnitude'!E13,E21)</f>
        <v>0</v>
      </c>
      <c r="BF46" s="184">
        <f>IF(F21="",'Loss Magnitude'!F13,F21)</f>
        <v>0</v>
      </c>
      <c r="BG46" s="173"/>
      <c r="BH46" s="173"/>
      <c r="BI46" s="173"/>
      <c r="BJ46" s="173"/>
      <c r="BK46" s="184">
        <f>IF(K25="",'Loss Magnitude'!K17,K25)</f>
        <v>0</v>
      </c>
      <c r="BL46" s="184">
        <f>IF(L25="",'Loss Magnitude'!L17,L25)</f>
        <v>15</v>
      </c>
      <c r="BM46" s="184">
        <f>IF(M25="",'Loss Magnitude'!M17,M25)</f>
        <v>60</v>
      </c>
      <c r="BN46" s="173"/>
    </row>
    <row r="47" spans="38:66" x14ac:dyDescent="0.2">
      <c r="BB47" s="173"/>
      <c r="BC47" s="173"/>
      <c r="BD47" s="184">
        <f>IF(D22="",'Loss Magnitude'!D14,D22)</f>
        <v>0</v>
      </c>
      <c r="BE47" s="184">
        <f>IF(E22="",'Loss Magnitude'!E14,E22)</f>
        <v>0</v>
      </c>
      <c r="BF47" s="184">
        <f>IF(F22="",'Loss Magnitude'!F14,F22)</f>
        <v>0</v>
      </c>
      <c r="BG47" s="173"/>
      <c r="BH47" s="173"/>
      <c r="BI47" s="173"/>
      <c r="BJ47" s="173"/>
      <c r="BK47" s="184">
        <f>IF(K26="",'Loss Magnitude'!K18,K26)</f>
        <v>0</v>
      </c>
      <c r="BL47" s="184">
        <f>IF(L26="",'Loss Magnitude'!L18,L26)</f>
        <v>0</v>
      </c>
      <c r="BM47" s="184">
        <f>IF(M26="",'Loss Magnitude'!M18,M26)</f>
        <v>0</v>
      </c>
      <c r="BN47" s="173"/>
    </row>
    <row r="48" spans="38:66" x14ac:dyDescent="0.2">
      <c r="BB48" s="173"/>
      <c r="BC48" s="173"/>
      <c r="BD48" s="184">
        <f>IF(D23="",'Loss Magnitude'!D15,D23)</f>
        <v>0</v>
      </c>
      <c r="BE48" s="184">
        <f>IF(E23="",'Loss Magnitude'!E15,E23)</f>
        <v>0</v>
      </c>
      <c r="BF48" s="184">
        <f>IF(F23="",'Loss Magnitude'!F15,F23)</f>
        <v>0</v>
      </c>
      <c r="BG48" s="173"/>
      <c r="BH48" s="173"/>
      <c r="BI48" s="173"/>
      <c r="BJ48" s="173"/>
      <c r="BK48" s="184">
        <f>IF(K27="",'Loss Magnitude'!K19,K27)</f>
        <v>0</v>
      </c>
      <c r="BL48" s="184">
        <f>IF(L27="",'Loss Magnitude'!L19,L27)</f>
        <v>0</v>
      </c>
      <c r="BM48" s="184">
        <f>IF(M27="",'Loss Magnitude'!M19,M27)</f>
        <v>75</v>
      </c>
      <c r="BN48" s="173"/>
    </row>
  </sheetData>
  <sheetProtection sheet="1" objects="1" scenarios="1"/>
  <mergeCells count="1">
    <mergeCell ref="W27:Y29"/>
  </mergeCells>
  <conditionalFormatting sqref="H10:H15">
    <cfRule type="expression" dxfId="11" priority="13">
      <formula>OR(E10&gt;F10,D10&gt;E10)</formula>
    </cfRule>
  </conditionalFormatting>
  <conditionalFormatting sqref="O10:O11">
    <cfRule type="expression" dxfId="10" priority="12">
      <formula>OR(L10&gt;M10,K10&gt;L10)</formula>
    </cfRule>
  </conditionalFormatting>
  <conditionalFormatting sqref="H18:H23">
    <cfRule type="expression" dxfId="9" priority="11">
      <formula>OR(E18&gt;F18,D18&gt;E18)</formula>
    </cfRule>
  </conditionalFormatting>
  <conditionalFormatting sqref="O14:O19">
    <cfRule type="expression" dxfId="8" priority="10">
      <formula>OR(L14&gt;M14,K14&gt;L14)</formula>
    </cfRule>
  </conditionalFormatting>
  <conditionalFormatting sqref="O22:O27">
    <cfRule type="expression" dxfId="7" priority="9">
      <formula>OR(L22&gt;M22,K22&gt;L22)</formula>
    </cfRule>
  </conditionalFormatting>
  <conditionalFormatting sqref="L4:L5">
    <cfRule type="expression" dxfId="6" priority="7">
      <formula>OR(I4&gt;J4,H4&gt;I4)</formula>
    </cfRule>
  </conditionalFormatting>
  <conditionalFormatting sqref="B16:I17 B28:N28 B18:G23 B8:N9 I18:I19 I14:I15 B24:I27 B10:G15 I10:N13 I20:N23 J26:N27 J24:J25 N24:N25 J14:N19">
    <cfRule type="expression" dxfId="5" priority="141">
      <formula>NOT($BG$12)</formula>
    </cfRule>
  </conditionalFormatting>
  <conditionalFormatting sqref="G4:J5">
    <cfRule type="expression" dxfId="4" priority="154">
      <formula>$BG$12</formula>
    </cfRule>
  </conditionalFormatting>
  <conditionalFormatting sqref="K24:M25">
    <cfRule type="expression" dxfId="3" priority="1">
      <formula>NOT($BG$12)</formula>
    </cfRule>
  </conditionalFormatting>
  <pageMargins left="0.7" right="0.7" top="0.75" bottom="0.75" header="0.3" footer="0.3"/>
  <pageSetup orientation="portrait" r:id="rId1"/>
  <ignoredErrors>
    <ignoredError sqref="W27"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4098" r:id="rId4" name="Spinner 2">
              <controlPr defaultSize="0" autoPict="0">
                <anchor moveWithCells="1" sizeWithCells="1">
                  <from>
                    <xdr:col>24</xdr:col>
                    <xdr:colOff>482600</xdr:colOff>
                    <xdr:row>2</xdr:row>
                    <xdr:rowOff>101600</xdr:rowOff>
                  </from>
                  <to>
                    <xdr:col>25</xdr:col>
                    <xdr:colOff>177800</xdr:colOff>
                    <xdr:row>4</xdr:row>
                    <xdr:rowOff>101600</xdr:rowOff>
                  </to>
                </anchor>
              </controlPr>
            </control>
          </mc:Choice>
        </mc:AlternateContent>
        <mc:AlternateContent xmlns:mc="http://schemas.openxmlformats.org/markup-compatibility/2006">
          <mc:Choice Requires="x14">
            <control shapeId="4104" r:id="rId5" name="Spinner 8">
              <controlPr defaultSize="0" autoPict="0">
                <anchor moveWithCells="1" sizeWithCells="1">
                  <from>
                    <xdr:col>19</xdr:col>
                    <xdr:colOff>38100</xdr:colOff>
                    <xdr:row>24</xdr:row>
                    <xdr:rowOff>177800</xdr:rowOff>
                  </from>
                  <to>
                    <xdr:col>19</xdr:col>
                    <xdr:colOff>482600</xdr:colOff>
                    <xdr:row>26</xdr:row>
                    <xdr:rowOff>50800</xdr:rowOff>
                  </to>
                </anchor>
              </controlPr>
            </control>
          </mc:Choice>
        </mc:AlternateContent>
        <mc:AlternateContent xmlns:mc="http://schemas.openxmlformats.org/markup-compatibility/2006">
          <mc:Choice Requires="x14">
            <control shapeId="4105" r:id="rId6" name="Spinner 9">
              <controlPr defaultSize="0" autoPict="0">
                <anchor moveWithCells="1" sizeWithCells="1">
                  <from>
                    <xdr:col>21</xdr:col>
                    <xdr:colOff>63500</xdr:colOff>
                    <xdr:row>24</xdr:row>
                    <xdr:rowOff>177800</xdr:rowOff>
                  </from>
                  <to>
                    <xdr:col>21</xdr:col>
                    <xdr:colOff>508000</xdr:colOff>
                    <xdr:row>26</xdr:row>
                    <xdr:rowOff>50800</xdr:rowOff>
                  </to>
                </anchor>
              </controlPr>
            </control>
          </mc:Choice>
        </mc:AlternateContent>
        <mc:AlternateContent xmlns:mc="http://schemas.openxmlformats.org/markup-compatibility/2006">
          <mc:Choice Requires="x14">
            <control shapeId="4100" r:id="rId7" name="Drop Down 4">
              <controlPr defaultSize="0" autoLine="0" autoPict="0">
                <anchor moveWithCells="1">
                  <from>
                    <xdr:col>22</xdr:col>
                    <xdr:colOff>76200</xdr:colOff>
                    <xdr:row>25</xdr:row>
                    <xdr:rowOff>12700</xdr:rowOff>
                  </from>
                  <to>
                    <xdr:col>24</xdr:col>
                    <xdr:colOff>279400</xdr:colOff>
                    <xdr:row>26</xdr:row>
                    <xdr:rowOff>50800</xdr:rowOff>
                  </to>
                </anchor>
              </controlPr>
            </control>
          </mc:Choice>
        </mc:AlternateContent>
        <mc:AlternateContent xmlns:mc="http://schemas.openxmlformats.org/markup-compatibility/2006">
          <mc:Choice Requires="x14">
            <control shapeId="4107" r:id="rId8" name="Drop Down 11">
              <controlPr defaultSize="0" autoLine="0" autoPict="0">
                <anchor moveWithCells="1">
                  <from>
                    <xdr:col>20</xdr:col>
                    <xdr:colOff>114300</xdr:colOff>
                    <xdr:row>2</xdr:row>
                    <xdr:rowOff>12700</xdr:rowOff>
                  </from>
                  <to>
                    <xdr:col>22</xdr:col>
                    <xdr:colOff>88900</xdr:colOff>
                    <xdr:row>3</xdr:row>
                    <xdr:rowOff>12700</xdr:rowOff>
                  </to>
                </anchor>
              </controlPr>
            </control>
          </mc:Choice>
        </mc:AlternateContent>
        <mc:AlternateContent xmlns:mc="http://schemas.openxmlformats.org/markup-compatibility/2006">
          <mc:Choice Requires="x14">
            <control shapeId="4097" r:id="rId9" name="Check Box 1">
              <controlPr defaultSize="0" autoFill="0" autoLine="0" autoPict="0">
                <anchor moveWithCells="1">
                  <from>
                    <xdr:col>5</xdr:col>
                    <xdr:colOff>63500</xdr:colOff>
                    <xdr:row>4</xdr:row>
                    <xdr:rowOff>101600</xdr:rowOff>
                  </from>
                  <to>
                    <xdr:col>5</xdr:col>
                    <xdr:colOff>177800</xdr:colOff>
                    <xdr:row>6</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4" id="{17E8D088-36E5-4E70-8CDE-82BEF8A2332C}">
            <xm:f>'SIPmath Chart Data'!$AB$2=2</xm:f>
            <x14:dxf>
              <font>
                <color theme="0" tint="-4.9989318521683403E-2"/>
              </font>
              <fill>
                <patternFill>
                  <bgColor theme="0" tint="-4.9989318521683403E-2"/>
                </patternFill>
              </fill>
            </x14:dxf>
          </x14:cfRule>
          <xm:sqref>U25:U26</xm:sqref>
        </x14:conditionalFormatting>
        <x14:conditionalFormatting xmlns:xm="http://schemas.microsoft.com/office/excel/2006/main">
          <x14:cfRule type="expression" priority="2" id="{13337CEA-51C9-44C6-840F-A9ACF1BA7DEE}">
            <xm:f>'SIPmath Chart Data'!$AB$2=2</xm:f>
            <x14:dxf>
              <font>
                <color theme="0" tint="-4.9989318521683403E-2"/>
              </font>
              <fill>
                <patternFill>
                  <bgColor theme="0" tint="-4.9989318521683403E-2"/>
                </patternFill>
              </fill>
            </x14:dxf>
          </x14:cfRule>
          <xm:sqref>S25:S26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AI36"/>
  <sheetViews>
    <sheetView topLeftCell="H4" zoomScaleNormal="100" zoomScalePageLayoutView="45" workbookViewId="0">
      <selection activeCell="O14" sqref="O14"/>
    </sheetView>
  </sheetViews>
  <sheetFormatPr baseColWidth="10" defaultColWidth="10.83203125" defaultRowHeight="16" x14ac:dyDescent="0.2"/>
  <cols>
    <col min="1" max="2" width="5" style="7" customWidth="1"/>
    <col min="3" max="3" width="17.5" style="7" customWidth="1"/>
    <col min="4" max="4" width="8" style="7" customWidth="1"/>
    <col min="5" max="5" width="10.5" style="7" customWidth="1"/>
    <col min="6" max="6" width="12.33203125" style="7" customWidth="1"/>
    <col min="7" max="8" width="12.5" style="7" customWidth="1"/>
    <col min="9" max="9" width="7.83203125" style="7" customWidth="1"/>
    <col min="10" max="10" width="5" style="7" customWidth="1"/>
    <col min="11" max="11" width="6.5" style="7" bestFit="1" customWidth="1"/>
    <col min="12" max="12" width="20.5" style="7" bestFit="1" customWidth="1"/>
    <col min="13" max="13" width="5" style="7" customWidth="1"/>
    <col min="14" max="14" width="10.83203125" style="7"/>
    <col min="15" max="15" width="5" style="7" customWidth="1"/>
    <col min="16" max="17" width="10.83203125" style="7"/>
    <col min="18" max="21" width="5" style="7" customWidth="1"/>
    <col min="22" max="22" width="11.33203125" style="7" bestFit="1" customWidth="1"/>
    <col min="23" max="25" width="13" style="7" customWidth="1"/>
    <col min="26" max="27" width="12.5" style="7" customWidth="1"/>
    <col min="28" max="28" width="6" style="7" customWidth="1"/>
    <col min="29" max="29" width="5" style="7" customWidth="1"/>
    <col min="30" max="30" width="7.33203125" style="7" customWidth="1"/>
    <col min="31" max="31" width="12.5" style="7" customWidth="1"/>
    <col min="32" max="33" width="10.83203125" style="7"/>
    <col min="34" max="35" width="5" style="7" customWidth="1"/>
    <col min="36" max="16384" width="10.83203125" style="7"/>
  </cols>
  <sheetData>
    <row r="2" spans="1:35" ht="16" customHeight="1" x14ac:dyDescent="0.2">
      <c r="E2" s="8"/>
    </row>
    <row r="3" spans="1:35" ht="51" x14ac:dyDescent="0.2">
      <c r="C3" s="195"/>
      <c r="E3" s="8" t="s">
        <v>31</v>
      </c>
    </row>
    <row r="4" spans="1:35" x14ac:dyDescent="0.2">
      <c r="E4" s="9"/>
    </row>
    <row r="5" spans="1:35" ht="24" x14ac:dyDescent="0.2">
      <c r="D5" s="46" t="s">
        <v>19</v>
      </c>
      <c r="E5" s="49">
        <f>E8+X8</f>
        <v>106.13151616017062</v>
      </c>
      <c r="H5" s="50"/>
    </row>
    <row r="6" spans="1:35" ht="17" thickBot="1" x14ac:dyDescent="0.25">
      <c r="A6" s="10"/>
      <c r="E6" s="7" t="s">
        <v>108</v>
      </c>
    </row>
    <row r="7" spans="1:35" x14ac:dyDescent="0.2">
      <c r="A7" s="10"/>
      <c r="B7" s="11"/>
      <c r="C7" s="12"/>
      <c r="D7" s="12"/>
      <c r="E7" s="12"/>
      <c r="F7" s="12"/>
      <c r="G7" s="12"/>
      <c r="H7" s="12"/>
      <c r="I7" s="12"/>
      <c r="J7" s="12"/>
      <c r="K7" s="12"/>
      <c r="L7" s="12"/>
      <c r="M7" s="12"/>
      <c r="N7" s="12"/>
      <c r="O7" s="12"/>
      <c r="P7" s="12"/>
      <c r="Q7" s="12"/>
      <c r="R7" s="12"/>
      <c r="S7" s="13"/>
      <c r="U7" s="11"/>
      <c r="V7" s="12"/>
      <c r="W7" s="12"/>
      <c r="X7" s="12"/>
      <c r="Y7" s="12"/>
      <c r="Z7" s="12"/>
      <c r="AA7" s="12"/>
      <c r="AB7" s="12"/>
      <c r="AC7" s="12"/>
      <c r="AD7" s="12"/>
      <c r="AE7" s="12"/>
      <c r="AF7" s="12"/>
      <c r="AG7" s="12"/>
      <c r="AH7" s="12"/>
      <c r="AI7" s="13"/>
    </row>
    <row r="8" spans="1:35" ht="21" x14ac:dyDescent="0.2">
      <c r="A8" s="10"/>
      <c r="B8" s="14"/>
      <c r="C8" s="10"/>
      <c r="D8" s="164" t="s">
        <v>135</v>
      </c>
      <c r="E8" s="57">
        <f>IF(LM_TOP,SUM(H20:H25),H13)</f>
        <v>106.13151616017062</v>
      </c>
      <c r="F8" s="10"/>
      <c r="G8" s="7" t="s">
        <v>90</v>
      </c>
      <c r="H8" s="15"/>
      <c r="I8" s="7">
        <v>1000</v>
      </c>
      <c r="J8" s="10"/>
      <c r="K8" s="10"/>
      <c r="L8" s="10"/>
      <c r="M8" s="10"/>
      <c r="N8" s="10"/>
      <c r="O8" s="10"/>
      <c r="P8" s="10"/>
      <c r="Q8" s="10"/>
      <c r="R8" s="10"/>
      <c r="S8" s="16"/>
      <c r="U8" s="14"/>
      <c r="V8" s="10"/>
      <c r="W8" s="164" t="s">
        <v>136</v>
      </c>
      <c r="X8" s="57">
        <f>IF(LM_TOP,SUM(AA20:AA25),0)</f>
        <v>0</v>
      </c>
      <c r="Y8" s="10"/>
      <c r="Z8" s="7" t="s">
        <v>91</v>
      </c>
      <c r="AA8" s="15"/>
      <c r="AB8" s="7">
        <v>2000</v>
      </c>
      <c r="AC8" s="10"/>
      <c r="AD8" s="10"/>
      <c r="AE8" s="10"/>
      <c r="AF8" s="10"/>
      <c r="AG8" s="10"/>
      <c r="AH8" s="10"/>
      <c r="AI8" s="16"/>
    </row>
    <row r="9" spans="1:35" x14ac:dyDescent="0.2">
      <c r="A9" s="10"/>
      <c r="B9" s="14"/>
      <c r="C9" s="10"/>
      <c r="D9" s="10"/>
      <c r="E9" s="10" t="s">
        <v>107</v>
      </c>
      <c r="F9" s="10"/>
      <c r="H9" s="10"/>
      <c r="I9" s="10"/>
      <c r="J9" s="10"/>
      <c r="K9" s="10"/>
      <c r="L9" s="10"/>
      <c r="M9" s="10"/>
      <c r="N9" s="10"/>
      <c r="O9" s="10"/>
      <c r="P9" s="10"/>
      <c r="Q9" s="10"/>
      <c r="R9" s="10"/>
      <c r="S9" s="16"/>
      <c r="U9" s="14"/>
      <c r="V9" s="10"/>
      <c r="W9" s="10"/>
      <c r="X9" s="10" t="s">
        <v>109</v>
      </c>
      <c r="Y9" s="10"/>
      <c r="Z9" s="15"/>
      <c r="AA9" s="10"/>
      <c r="AB9" s="10"/>
      <c r="AC9" s="10"/>
      <c r="AD9" s="10"/>
      <c r="AE9" s="10"/>
      <c r="AF9" s="10"/>
      <c r="AG9" s="10"/>
      <c r="AH9" s="10"/>
      <c r="AI9" s="16"/>
    </row>
    <row r="10" spans="1:35" ht="34" x14ac:dyDescent="0.2">
      <c r="A10" s="10"/>
      <c r="B10" s="14"/>
      <c r="C10" s="17"/>
      <c r="D10" s="18" t="s">
        <v>92</v>
      </c>
      <c r="E10" s="19"/>
      <c r="F10" s="19"/>
      <c r="G10" s="19"/>
      <c r="H10" s="19"/>
      <c r="I10" s="20"/>
      <c r="J10" s="10"/>
      <c r="K10" s="17" t="s">
        <v>76</v>
      </c>
      <c r="L10" s="18" t="s">
        <v>22</v>
      </c>
      <c r="M10" s="19"/>
      <c r="N10" s="18"/>
      <c r="O10" s="18"/>
      <c r="P10" s="18"/>
      <c r="Q10" s="18"/>
      <c r="R10" s="21"/>
      <c r="S10" s="22"/>
      <c r="T10" s="23"/>
      <c r="U10" s="24"/>
      <c r="V10" s="17"/>
      <c r="X10" s="19"/>
      <c r="Y10" s="19"/>
      <c r="Z10" s="19"/>
      <c r="AA10" s="19"/>
      <c r="AB10" s="20"/>
      <c r="AC10" s="10"/>
      <c r="AD10" s="17" t="s">
        <v>76</v>
      </c>
      <c r="AE10" s="25" t="s">
        <v>20</v>
      </c>
      <c r="AF10" s="19"/>
      <c r="AG10" s="19"/>
      <c r="AH10" s="20"/>
      <c r="AI10" s="16"/>
    </row>
    <row r="11" spans="1:35" x14ac:dyDescent="0.2">
      <c r="A11" s="10"/>
      <c r="B11" s="14"/>
      <c r="C11" s="26"/>
      <c r="D11" s="10" t="s">
        <v>21</v>
      </c>
      <c r="E11" s="10"/>
      <c r="F11" s="10"/>
      <c r="G11" s="10"/>
      <c r="H11" s="10"/>
      <c r="I11" s="27"/>
      <c r="J11" s="10"/>
      <c r="K11" s="26"/>
      <c r="L11" s="10" t="s">
        <v>174</v>
      </c>
      <c r="M11" s="10"/>
      <c r="N11" s="10"/>
      <c r="O11" s="10"/>
      <c r="P11" s="10"/>
      <c r="Q11" s="10"/>
      <c r="R11" s="27"/>
      <c r="S11" s="16"/>
      <c r="U11" s="14"/>
      <c r="V11" s="26"/>
      <c r="W11" s="10"/>
      <c r="X11" s="10"/>
      <c r="Y11" s="10"/>
      <c r="Z11" s="10"/>
      <c r="AA11" s="10"/>
      <c r="AB11" s="27"/>
      <c r="AC11" s="10"/>
      <c r="AD11" s="26"/>
      <c r="AE11" s="10" t="s">
        <v>16</v>
      </c>
      <c r="AF11" s="10"/>
      <c r="AG11" s="10"/>
      <c r="AH11" s="27"/>
      <c r="AI11" s="16"/>
    </row>
    <row r="12" spans="1:35" ht="16" customHeight="1" x14ac:dyDescent="0.2">
      <c r="A12" s="10"/>
      <c r="B12" s="14"/>
      <c r="C12" s="26"/>
      <c r="D12" s="10"/>
      <c r="E12" s="10"/>
      <c r="F12" s="10"/>
      <c r="G12" s="10"/>
      <c r="H12" s="10"/>
      <c r="I12" s="27" t="s">
        <v>166</v>
      </c>
      <c r="J12" s="10"/>
      <c r="K12" s="198">
        <f>I8+1</f>
        <v>1001</v>
      </c>
      <c r="L12" s="250">
        <f>IF('Loss Magnitude'!$AZ$1=1,Current_Calc!M12,'Loss Magnitude'!BJ7)</f>
        <v>2</v>
      </c>
      <c r="M12" s="259">
        <f t="array" ref="M12">IF( N18 &gt; 20, INT( _xlfn.NORM.INV( L13, N18, SQRT( N18 ))), MATCH( L13, IF( PM_1.66 = -1, 0, POISSON( PM_1.66, N18, TRUE ))) - 1 )</f>
        <v>2</v>
      </c>
      <c r="N12" s="10"/>
      <c r="O12" s="10"/>
      <c r="P12" s="10"/>
      <c r="Q12" s="10"/>
      <c r="R12" s="27"/>
      <c r="S12" s="16"/>
      <c r="T12" s="10"/>
      <c r="U12" s="14"/>
      <c r="V12" s="26"/>
      <c r="W12" s="10"/>
      <c r="X12" s="10"/>
      <c r="Y12" s="10"/>
      <c r="Z12" s="10"/>
      <c r="AA12" s="10"/>
      <c r="AB12" s="27"/>
      <c r="AC12" s="10"/>
      <c r="AD12" s="165">
        <f>AB8+1</f>
        <v>2001</v>
      </c>
      <c r="AE12" s="199">
        <f>IF('Loss Magnitude'!$AZ$1=1,Current_Calc!AF12,'Loss Magnitude'!BK7)</f>
        <v>0</v>
      </c>
      <c r="AF12" s="244">
        <f>IFERROR( _xlfn.BINOM.INV( AE16, AG32, AE13 ), (AE16) * ((AG32)=1))</f>
        <v>0</v>
      </c>
      <c r="AG12" s="28"/>
      <c r="AH12" s="27"/>
      <c r="AI12" s="16"/>
    </row>
    <row r="13" spans="1:35" ht="16" customHeight="1" x14ac:dyDescent="0.2">
      <c r="A13" s="10"/>
      <c r="B13" s="14"/>
      <c r="C13" s="26" t="s">
        <v>141</v>
      </c>
      <c r="D13" s="10"/>
      <c r="E13" s="10"/>
      <c r="F13" s="10"/>
      <c r="G13" s="195">
        <f>G25+1</f>
        <v>1011</v>
      </c>
      <c r="H13" s="166">
        <f>IF(OR(I13,$L$12=0),0,'SUMS of IID Triangles'!I45)</f>
        <v>106.13151616017062</v>
      </c>
      <c r="I13" s="27" t="b">
        <f>AND('Loss Magnitude'!H4=0,'Loss Magnitude'!I4=0,'Loss Magnitude'!J4=0)</f>
        <v>0</v>
      </c>
      <c r="J13" s="10"/>
      <c r="K13" s="26"/>
      <c r="L13" s="195">
        <f>( MOD((( MOD( (K12+1000000)^2 + (K12+1000000)*(PM_Index+10000000), 99999989 )) + 1000007 ) * (( MOD( (PM_Index+10000000)^2 + (PM_Index+10000000) * ( MOD( (K12+1000000)^2 + (K12+1000000)*(PM_Index+10000000), 99999989 )), 99999989 )) + 1000013 ), 2147483647 ) + 0.5 ) / 2147483647</f>
        <v>0.51192090288359715</v>
      </c>
      <c r="M13" s="10"/>
      <c r="N13" s="10"/>
      <c r="O13" s="10"/>
      <c r="P13" s="10"/>
      <c r="Q13" s="10"/>
      <c r="R13" s="27"/>
      <c r="S13" s="16"/>
      <c r="U13" s="14"/>
      <c r="V13" s="26"/>
      <c r="W13" s="10"/>
      <c r="X13" s="10"/>
      <c r="Y13" s="10"/>
      <c r="AA13" s="10"/>
      <c r="AB13" s="27"/>
      <c r="AC13" s="10"/>
      <c r="AD13" s="26"/>
      <c r="AE13" s="29">
        <f>( MOD((( MOD( (AD12+1000000)^2 + (AD12+1000000)*(PM_Index+10000000), 99999989 )) + 1000007 ) * (( MOD( (PM_Index+10000000)^2 + (PM_Index+10000000) * ( MOD( (AD12+1000000)^2 + (AD12+1000000)*(PM_Index+10000000), 99999989 )), 99999989 )) + 1000013 ), 2147483647 ) + 0.5 ) / 2147483647</f>
        <v>0.59694199827357286</v>
      </c>
      <c r="AF13" s="10"/>
      <c r="AG13" s="28"/>
      <c r="AH13" s="27"/>
      <c r="AI13" s="16"/>
    </row>
    <row r="14" spans="1:35" ht="16" customHeight="1" x14ac:dyDescent="0.2">
      <c r="A14" s="10"/>
      <c r="B14" s="14"/>
      <c r="C14" s="26"/>
      <c r="D14" s="10"/>
      <c r="E14" s="10"/>
      <c r="F14" s="10"/>
      <c r="G14" s="10"/>
      <c r="H14" s="10"/>
      <c r="I14" s="27"/>
      <c r="J14" s="10"/>
      <c r="K14" s="26"/>
      <c r="L14" s="196" t="s">
        <v>30</v>
      </c>
      <c r="M14" s="10"/>
      <c r="N14" s="10"/>
      <c r="O14" s="10"/>
      <c r="P14" s="10"/>
      <c r="Q14" s="10"/>
      <c r="R14" s="27"/>
      <c r="S14" s="16"/>
      <c r="U14" s="14"/>
      <c r="V14" s="26"/>
      <c r="W14" s="10"/>
      <c r="X14" s="10"/>
      <c r="Y14" s="10"/>
      <c r="Z14" s="10"/>
      <c r="AA14" s="10"/>
      <c r="AB14" s="27"/>
      <c r="AC14" s="10"/>
      <c r="AD14" s="26"/>
      <c r="AE14" s="15"/>
      <c r="AF14" s="10"/>
      <c r="AG14" s="10"/>
      <c r="AH14" s="27"/>
      <c r="AI14" s="16"/>
    </row>
    <row r="15" spans="1:35" ht="17.5" customHeight="1" x14ac:dyDescent="0.2">
      <c r="A15" s="10"/>
      <c r="B15" s="14"/>
      <c r="C15" s="26"/>
      <c r="D15" s="10"/>
      <c r="E15" s="10"/>
      <c r="F15" s="10"/>
      <c r="G15" s="10"/>
      <c r="H15" s="10"/>
      <c r="I15" s="27"/>
      <c r="J15" s="10"/>
      <c r="K15" s="26" t="s">
        <v>122</v>
      </c>
      <c r="L15" s="31" t="s">
        <v>117</v>
      </c>
      <c r="M15" s="10"/>
      <c r="N15" s="10"/>
      <c r="O15" s="10"/>
      <c r="P15" s="10"/>
      <c r="Q15" s="10"/>
      <c r="R15" s="27"/>
      <c r="S15" s="16"/>
      <c r="U15" s="14"/>
      <c r="V15" s="26"/>
      <c r="W15" s="10"/>
      <c r="X15" s="10"/>
      <c r="Y15" s="10"/>
      <c r="Z15" s="10"/>
      <c r="AA15" s="10"/>
      <c r="AB15" s="27"/>
      <c r="AC15" s="10"/>
      <c r="AD15" s="26"/>
      <c r="AE15" s="10" t="s">
        <v>25</v>
      </c>
      <c r="AF15" s="10"/>
      <c r="AG15" s="10"/>
      <c r="AH15" s="27"/>
      <c r="AI15" s="16"/>
    </row>
    <row r="16" spans="1:35" x14ac:dyDescent="0.2">
      <c r="A16" s="10"/>
      <c r="B16" s="14"/>
      <c r="C16" s="26"/>
      <c r="D16" s="10"/>
      <c r="E16" s="10"/>
      <c r="F16" s="10"/>
      <c r="H16" s="10"/>
      <c r="I16" s="27"/>
      <c r="J16" s="10"/>
      <c r="K16" s="26"/>
      <c r="L16" s="31" t="s">
        <v>203</v>
      </c>
      <c r="M16" s="10"/>
      <c r="N16" s="10"/>
      <c r="O16" s="10"/>
      <c r="P16" s="10"/>
      <c r="Q16" s="10"/>
      <c r="R16" s="27"/>
      <c r="S16" s="16"/>
      <c r="U16" s="14"/>
      <c r="V16" s="26"/>
      <c r="W16" s="10"/>
      <c r="X16" s="10"/>
      <c r="Y16" s="10"/>
      <c r="Z16" s="10"/>
      <c r="AA16" s="10"/>
      <c r="AB16" s="27"/>
      <c r="AC16" s="10"/>
      <c r="AD16" s="26"/>
      <c r="AE16" s="6">
        <f>L12</f>
        <v>2</v>
      </c>
      <c r="AF16" s="10"/>
      <c r="AG16" s="10"/>
      <c r="AH16" s="27"/>
      <c r="AI16" s="16"/>
    </row>
    <row r="17" spans="1:35" x14ac:dyDescent="0.2">
      <c r="A17" s="10"/>
      <c r="B17" s="14"/>
      <c r="C17" s="26"/>
      <c r="D17" s="10"/>
      <c r="E17" s="10"/>
      <c r="F17" s="10"/>
      <c r="G17" s="10"/>
      <c r="H17" s="10"/>
      <c r="I17" s="27"/>
      <c r="J17" s="10"/>
      <c r="K17" s="26"/>
      <c r="L17" s="10">
        <f>IF( 'Loss Event Frequency'!I4 &gt; 'Loss Event Frequency'!J4, NA(), IF( 'Loss Event Frequency'!J4 &gt; 'Loss Event Frequency'!K4, NA(), IF( 'Loss Event Frequency'!I4 = 'Loss Event Frequency'!K4, 'Loss Event Frequency'!J4, IF( L20 &lt; (( 'Loss Event Frequency'!J4 - 'Loss Event Frequency'!I4 ) / ( 'Loss Event Frequency'!K4 - 'Loss Event Frequency'!I4 )), 'Loss Event Frequency'!I4 + SQRT( L20 * ( 'Loss Event Frequency'!J4 - 'Loss Event Frequency'!I4 ) * ( 'Loss Event Frequency'!K4 - 'Loss Event Frequency'!I4 )), 'Loss Event Frequency'!K4 - SQRT(( 1 - L20 ) * ( 'Loss Event Frequency'!K4 - 'Loss Event Frequency'!I4 ) * ( 'Loss Event Frequency'!K4 - 'Loss Event Frequency'!J4 ))))))</f>
        <v>2.1169902945345278</v>
      </c>
      <c r="M17" s="10"/>
      <c r="N17" s="10"/>
      <c r="O17" s="10"/>
      <c r="P17" s="10"/>
      <c r="Q17" s="10"/>
      <c r="R17" s="27"/>
      <c r="S17" s="16"/>
      <c r="U17" s="14"/>
      <c r="V17" s="26"/>
      <c r="W17" s="10"/>
      <c r="X17" s="10"/>
      <c r="Y17" s="10"/>
      <c r="Z17" s="10"/>
      <c r="AA17" s="10"/>
      <c r="AB17" s="27"/>
      <c r="AC17" s="10"/>
      <c r="AD17" s="26"/>
      <c r="AE17" s="10"/>
      <c r="AF17" s="10"/>
      <c r="AG17" s="10"/>
      <c r="AH17" s="27"/>
      <c r="AI17" s="16"/>
    </row>
    <row r="18" spans="1:35" x14ac:dyDescent="0.2">
      <c r="A18" s="10"/>
      <c r="B18" s="14"/>
      <c r="C18" s="26"/>
      <c r="F18" s="10"/>
      <c r="G18" s="10"/>
      <c r="H18" s="10"/>
      <c r="I18" s="27"/>
      <c r="J18" s="10"/>
      <c r="K18" s="26"/>
      <c r="L18" s="31" t="s">
        <v>201</v>
      </c>
      <c r="M18" s="10"/>
      <c r="N18" s="10">
        <f>IF(OR('Loss Event Frequency'!BV4,'Loss Event Frequency'!BV5),Current_Calc!L19,Current_Calc!L17)</f>
        <v>2.1169902945345278</v>
      </c>
      <c r="O18" s="10" t="s">
        <v>199</v>
      </c>
      <c r="P18" s="10"/>
      <c r="Q18" s="10"/>
      <c r="R18" s="27"/>
      <c r="S18" s="16"/>
      <c r="U18" s="14"/>
      <c r="V18" s="26"/>
      <c r="W18" s="10"/>
      <c r="X18" s="10"/>
      <c r="Y18" s="10"/>
      <c r="Z18" s="10"/>
      <c r="AA18" s="10"/>
      <c r="AB18" s="27"/>
      <c r="AC18" s="10"/>
      <c r="AD18" s="26"/>
      <c r="AE18" s="10"/>
      <c r="AF18" s="10"/>
      <c r="AG18" s="32"/>
      <c r="AH18" s="27"/>
      <c r="AI18" s="16"/>
    </row>
    <row r="19" spans="1:35" x14ac:dyDescent="0.2">
      <c r="A19" s="10"/>
      <c r="B19" s="14"/>
      <c r="C19" s="26"/>
      <c r="G19" s="10" t="s">
        <v>77</v>
      </c>
      <c r="H19" s="10" t="s">
        <v>34</v>
      </c>
      <c r="I19" s="27" t="s">
        <v>166</v>
      </c>
      <c r="J19" s="10"/>
      <c r="K19" s="26"/>
      <c r="L19" s="200">
        <f>N24*P24</f>
        <v>9.4464385715022043</v>
      </c>
      <c r="M19" s="10"/>
      <c r="N19" s="10"/>
      <c r="O19" s="10"/>
      <c r="P19" s="10"/>
      <c r="Q19" s="10"/>
      <c r="R19" s="27"/>
      <c r="S19" s="16"/>
      <c r="U19" s="14"/>
      <c r="V19" s="26"/>
      <c r="W19" s="10"/>
      <c r="X19" s="10"/>
      <c r="Y19" s="10"/>
      <c r="Z19" s="10" t="s">
        <v>77</v>
      </c>
      <c r="AA19" s="10" t="s">
        <v>34</v>
      </c>
      <c r="AB19" s="27" t="s">
        <v>166</v>
      </c>
      <c r="AC19" s="10"/>
      <c r="AD19" s="26"/>
      <c r="AE19" s="10"/>
      <c r="AF19" s="10"/>
      <c r="AG19" s="10"/>
      <c r="AH19" s="27"/>
      <c r="AI19" s="16"/>
    </row>
    <row r="20" spans="1:35" x14ac:dyDescent="0.2">
      <c r="A20" s="10"/>
      <c r="B20" s="14"/>
      <c r="C20" s="26" t="s">
        <v>78</v>
      </c>
      <c r="G20" s="195">
        <f>K28+1</f>
        <v>1005</v>
      </c>
      <c r="H20" s="166">
        <f>IF(OR(I20,$L$12=0),0,'SUMS of IID Triangles'!I21)</f>
        <v>7.8622725089598973</v>
      </c>
      <c r="I20" s="27" t="b">
        <f>AND('Loss Magnitude'!D10=0,'Loss Magnitude'!E10=0,'Loss Magnitude'!F10=0)</f>
        <v>0</v>
      </c>
      <c r="J20" s="10"/>
      <c r="K20" s="198">
        <f>K12+1</f>
        <v>1002</v>
      </c>
      <c r="L20" s="195">
        <f>( MOD((( MOD( (K20+1000000)^2 + (K20+1000000)*(PM_Index+10000000), 99999989 )) + 1000007 ) * (( MOD( (PM_Index+10000000)^2 + (PM_Index+10000000) * ( MOD( (K20+1000000)^2 + (K20+1000000)*(PM_Index+10000000), 99999989 )), 99999989 )) + 1000013 ), 2147483647 ) + 0.5 ) / 2147483647</f>
        <v>0.87004897667563008</v>
      </c>
      <c r="M20" s="10"/>
      <c r="N20" s="10"/>
      <c r="O20" s="10"/>
      <c r="P20" s="10"/>
      <c r="Q20" s="10"/>
      <c r="R20" s="27"/>
      <c r="S20" s="16"/>
      <c r="U20" s="14"/>
      <c r="V20" s="26" t="s">
        <v>84</v>
      </c>
      <c r="W20" s="10"/>
      <c r="X20" s="10"/>
      <c r="Y20" s="10"/>
      <c r="Z20" s="195">
        <f>AD12+1</f>
        <v>2002</v>
      </c>
      <c r="AA20" s="166">
        <f>IF(OR(AB20,$AE$12=0),0,'SUMS of IID Triangles'!I27)</f>
        <v>0</v>
      </c>
      <c r="AB20" s="27" t="b">
        <f>AND('Loss Magnitude'!K14=0,'Loss Magnitude'!L14=0,'Loss Magnitude'!M14=0)</f>
        <v>1</v>
      </c>
      <c r="AC20" s="10"/>
      <c r="AD20" s="26"/>
      <c r="AE20" s="10"/>
      <c r="AF20" s="10"/>
      <c r="AG20" s="10"/>
      <c r="AH20" s="27"/>
      <c r="AI20" s="16"/>
    </row>
    <row r="21" spans="1:35" x14ac:dyDescent="0.2">
      <c r="A21" s="10"/>
      <c r="B21" s="14"/>
      <c r="C21" s="26" t="s">
        <v>79</v>
      </c>
      <c r="G21" s="195">
        <f>G20+1</f>
        <v>1006</v>
      </c>
      <c r="H21" s="166">
        <f>IF(OR(I21,$L$12=0),0,'SUMS of IID Triangles'!I22)</f>
        <v>0</v>
      </c>
      <c r="I21" s="27" t="b">
        <f>AND('Loss Magnitude'!D11=0,'Loss Magnitude'!E11=0,'Loss Magnitude'!F11=0)</f>
        <v>1</v>
      </c>
      <c r="J21" s="10"/>
      <c r="K21" s="26" t="s">
        <v>126</v>
      </c>
      <c r="L21" s="31" t="s">
        <v>202</v>
      </c>
      <c r="M21" s="10"/>
      <c r="N21" s="10"/>
      <c r="O21" s="10"/>
      <c r="P21" s="10"/>
      <c r="Q21" s="10"/>
      <c r="R21" s="27"/>
      <c r="S21" s="16"/>
      <c r="U21" s="14"/>
      <c r="V21" s="26" t="s">
        <v>85</v>
      </c>
      <c r="W21" s="10"/>
      <c r="X21" s="10"/>
      <c r="Y21" s="10"/>
      <c r="Z21" s="195">
        <f>Z20+1</f>
        <v>2003</v>
      </c>
      <c r="AA21" s="166">
        <f>IF(OR(AB21,$AE$12=0),0,'SUMS of IID Triangles'!I28)</f>
        <v>0</v>
      </c>
      <c r="AB21" s="27" t="b">
        <f>AND('Loss Magnitude'!K15=0,'Loss Magnitude'!L15=0,'Loss Magnitude'!M15=0)</f>
        <v>1</v>
      </c>
      <c r="AC21" s="10"/>
      <c r="AD21" s="26"/>
      <c r="AE21" s="10"/>
      <c r="AF21" s="10"/>
      <c r="AG21" s="10"/>
      <c r="AH21" s="27"/>
      <c r="AI21" s="16"/>
    </row>
    <row r="22" spans="1:35" x14ac:dyDescent="0.2">
      <c r="A22" s="10"/>
      <c r="B22" s="14"/>
      <c r="C22" s="26" t="s">
        <v>80</v>
      </c>
      <c r="G22" s="195">
        <f>G21+1</f>
        <v>1007</v>
      </c>
      <c r="H22" s="166">
        <f>IF(OR(I22,$L$12=0),0,'SUMS of IID Triangles'!I23)</f>
        <v>0</v>
      </c>
      <c r="I22" s="27" t="b">
        <f>AND('Loss Magnitude'!D12=0,'Loss Magnitude'!E12=0,'Loss Magnitude'!F12=0)</f>
        <v>1</v>
      </c>
      <c r="J22" s="10"/>
      <c r="K22" s="26"/>
      <c r="L22" s="10">
        <f>IF( 'Loss Event Frequency'!F11 &gt; 'Loss Event Frequency'!G11, NA(), IF( 'Loss Event Frequency'!G11 &gt; 'Loss Event Frequency'!H11, NA(), IF( 'Loss Event Frequency'!F11 = 'Loss Event Frequency'!H11, 'Loss Event Frequency'!G11, IF( L26 &lt; (( 'Loss Event Frequency'!G11 - 'Loss Event Frequency'!F11 ) / ( 'Loss Event Frequency'!H11 - 'Loss Event Frequency'!F11 )), 'Loss Event Frequency'!F11 + SQRT( L26 * ( 'Loss Event Frequency'!G11 - 'Loss Event Frequency'!F11 ) * ( 'Loss Event Frequency'!H11 - 'Loss Event Frequency'!F11 )), 'Loss Event Frequency'!H11 - SQRT(( 1 - L26 ) * ( 'Loss Event Frequency'!H11 - 'Loss Event Frequency'!F11 ) * ( 'Loss Event Frequency'!H11 - 'Loss Event Frequency'!G11 ))))))</f>
        <v>11.129298250649551</v>
      </c>
      <c r="M22" s="10"/>
      <c r="N22" s="10"/>
      <c r="O22" s="10"/>
      <c r="P22" s="10"/>
      <c r="Q22" s="10"/>
      <c r="R22" s="27"/>
      <c r="S22" s="16"/>
      <c r="U22" s="14"/>
      <c r="V22" s="26" t="s">
        <v>86</v>
      </c>
      <c r="W22" s="10"/>
      <c r="X22" s="10"/>
      <c r="Y22" s="10"/>
      <c r="Z22" s="195">
        <f t="shared" ref="Z22:Z25" si="0">Z21+1</f>
        <v>2004</v>
      </c>
      <c r="AA22" s="166">
        <f>IF(OR(AB22,$AE$12=0),0,'SUMS of IID Triangles'!I29)</f>
        <v>0</v>
      </c>
      <c r="AB22" s="27" t="b">
        <f>AND('Loss Magnitude'!K16=0,'Loss Magnitude'!L16=0,'Loss Magnitude'!M16=0)</f>
        <v>1</v>
      </c>
      <c r="AC22" s="10"/>
      <c r="AD22" s="26"/>
      <c r="AE22" s="10"/>
      <c r="AF22" s="10"/>
      <c r="AG22" s="10"/>
      <c r="AH22" s="27"/>
      <c r="AI22" s="16"/>
    </row>
    <row r="23" spans="1:35" x14ac:dyDescent="0.2">
      <c r="A23" s="10"/>
      <c r="B23" s="14"/>
      <c r="C23" s="26" t="s">
        <v>81</v>
      </c>
      <c r="G23" s="195">
        <f>G22+1</f>
        <v>1008</v>
      </c>
      <c r="H23" s="166">
        <f>IF(OR(I23,$L$12=0),0,'SUMS of IID Triangles'!I24)</f>
        <v>0</v>
      </c>
      <c r="I23" s="27" t="b">
        <f>AND('Loss Magnitude'!D13=0,'Loss Magnitude'!E13=0,'Loss Magnitude'!F13=0)</f>
        <v>1</v>
      </c>
      <c r="J23" s="10"/>
      <c r="K23" s="26"/>
      <c r="L23" s="31" t="s">
        <v>204</v>
      </c>
      <c r="M23" s="10"/>
      <c r="N23" s="10" t="s">
        <v>126</v>
      </c>
      <c r="O23" s="10"/>
      <c r="P23" s="10" t="s">
        <v>200</v>
      </c>
      <c r="Q23" s="10"/>
      <c r="R23" s="27"/>
      <c r="S23" s="16"/>
      <c r="U23" s="14"/>
      <c r="V23" s="26" t="s">
        <v>87</v>
      </c>
      <c r="W23" s="10"/>
      <c r="X23" s="10"/>
      <c r="Y23" s="10"/>
      <c r="Z23" s="195">
        <f t="shared" si="0"/>
        <v>2005</v>
      </c>
      <c r="AA23" s="166">
        <f>IF(OR(AB23,$AE$12=0),0,'SUMS of IID Triangles'!I30)</f>
        <v>0</v>
      </c>
      <c r="AB23" s="27" t="b">
        <f>AND('Loss Magnitude'!K17=0,'Loss Magnitude'!L17=0,'Loss Magnitude'!M17=0)</f>
        <v>0</v>
      </c>
      <c r="AC23" s="10"/>
      <c r="AD23" s="26"/>
      <c r="AE23" s="10"/>
      <c r="AF23" s="10"/>
      <c r="AG23" s="10"/>
      <c r="AH23" s="27"/>
      <c r="AI23" s="16"/>
    </row>
    <row r="24" spans="1:35" x14ac:dyDescent="0.2">
      <c r="A24" s="10"/>
      <c r="B24" s="14"/>
      <c r="C24" s="26" t="s">
        <v>82</v>
      </c>
      <c r="G24" s="195">
        <f>G23+1</f>
        <v>1009</v>
      </c>
      <c r="H24" s="166">
        <f>IF(OR(I24,$L$12=0),0,'SUMS of IID Triangles'!I25)</f>
        <v>0</v>
      </c>
      <c r="I24" s="27" t="b">
        <f>AND('Loss Magnitude'!D14=0,'Loss Magnitude'!E14=0,'Loss Magnitude'!F14=0)</f>
        <v>1</v>
      </c>
      <c r="J24" s="10"/>
      <c r="K24" s="198">
        <f>K20+1</f>
        <v>1003</v>
      </c>
      <c r="L24" s="10" t="s">
        <v>29</v>
      </c>
      <c r="M24" s="10"/>
      <c r="N24" s="10">
        <f>IF(OR(TEF_CF,TEF_PoA),Current_Calc!L25,Current_Calc!L22)</f>
        <v>18.892877143004409</v>
      </c>
      <c r="O24" s="10"/>
      <c r="P24" s="10">
        <f>IF(OR(Vul_TC,Vul_RS),Current_Calc!P33,Current_Calc!P31)</f>
        <v>0.5</v>
      </c>
      <c r="Q24" s="10"/>
      <c r="R24" s="27"/>
      <c r="S24" s="16"/>
      <c r="U24" s="14"/>
      <c r="V24" s="26" t="s">
        <v>88</v>
      </c>
      <c r="W24" s="10"/>
      <c r="X24" s="10"/>
      <c r="Y24" s="10"/>
      <c r="Z24" s="195">
        <f t="shared" si="0"/>
        <v>2006</v>
      </c>
      <c r="AA24" s="166">
        <f>IF(OR(AB24,$AE$12=0),0,'SUMS of IID Triangles'!I31)</f>
        <v>0</v>
      </c>
      <c r="AB24" s="27" t="b">
        <f>AND('Loss Magnitude'!K18=0,'Loss Magnitude'!L18=0,'Loss Magnitude'!M18=0)</f>
        <v>1</v>
      </c>
      <c r="AC24" s="10"/>
      <c r="AD24" s="26"/>
      <c r="AE24" s="10"/>
      <c r="AF24" s="10"/>
      <c r="AG24" s="10"/>
      <c r="AH24" s="27"/>
      <c r="AI24" s="16"/>
    </row>
    <row r="25" spans="1:35" x14ac:dyDescent="0.2">
      <c r="A25" s="10"/>
      <c r="B25" s="14"/>
      <c r="C25" s="26" t="s">
        <v>83</v>
      </c>
      <c r="G25" s="195">
        <f>G24+1</f>
        <v>1010</v>
      </c>
      <c r="H25" s="166">
        <f>IF(OR(I25,$L$12=0),0,'SUMS of IID Triangles'!I26)</f>
        <v>0</v>
      </c>
      <c r="I25" s="27" t="b">
        <f>AND('Loss Magnitude'!D15=0,'Loss Magnitude'!E15=0,'Loss Magnitude'!F15=0)</f>
        <v>1</v>
      </c>
      <c r="J25" s="10"/>
      <c r="K25" s="26"/>
      <c r="L25" s="199">
        <f>L33*N33</f>
        <v>18.892877143004409</v>
      </c>
      <c r="M25" s="10"/>
      <c r="N25" s="10"/>
      <c r="O25" s="10"/>
      <c r="P25" s="10"/>
      <c r="Q25" s="201"/>
      <c r="R25" s="27"/>
      <c r="S25" s="16"/>
      <c r="U25" s="14"/>
      <c r="V25" s="26" t="s">
        <v>89</v>
      </c>
      <c r="W25" s="10"/>
      <c r="X25" s="10"/>
      <c r="Y25" s="10"/>
      <c r="Z25" s="195">
        <f t="shared" si="0"/>
        <v>2007</v>
      </c>
      <c r="AA25" s="166">
        <f>IF(OR(AB25,$AE$12=0),0,'SUMS of IID Triangles'!I32)</f>
        <v>0</v>
      </c>
      <c r="AB25" s="27" t="b">
        <f>AND('Loss Magnitude'!K19=0,'Loss Magnitude'!L19=0,'Loss Magnitude'!M19=0)</f>
        <v>0</v>
      </c>
      <c r="AC25" s="10"/>
      <c r="AD25" s="26"/>
      <c r="AE25" s="10"/>
      <c r="AF25" s="10"/>
      <c r="AG25" s="10"/>
      <c r="AH25" s="27"/>
      <c r="AI25" s="16"/>
    </row>
    <row r="26" spans="1:35" x14ac:dyDescent="0.2">
      <c r="A26" s="10"/>
      <c r="B26" s="14"/>
      <c r="H26" s="10"/>
      <c r="I26" s="27"/>
      <c r="J26" s="10"/>
      <c r="K26" s="26"/>
      <c r="L26" s="195">
        <f>( MOD((( MOD( (K24+1000000)^2 + (K24+1000000)*(PM_Index+10000000), 99999989 )) + 1000007 ) * (( MOD( (PM_Index+10000000)^2 + (PM_Index+10000000) * ( MOD( (K24+1000000)^2 + (K24+1000000)*(PM_Index+10000000), 99999989 )), 99999989 )) + 1000013 ), 2147483647 ) + 0.5 ) / 2147483647</f>
        <v>0.6065532523703544</v>
      </c>
      <c r="M26" s="10"/>
      <c r="N26" s="10"/>
      <c r="O26" s="10"/>
      <c r="P26" s="201"/>
      <c r="Q26" s="201"/>
      <c r="R26" s="40"/>
      <c r="S26" s="41"/>
      <c r="T26" s="42"/>
      <c r="U26" s="47"/>
      <c r="V26" s="26"/>
      <c r="W26" s="10"/>
      <c r="X26" s="10"/>
      <c r="Y26" s="10"/>
      <c r="AA26" s="10"/>
      <c r="AB26" s="27"/>
      <c r="AC26" s="10"/>
      <c r="AD26" s="26"/>
      <c r="AE26" s="10"/>
      <c r="AF26" s="18" t="s">
        <v>146</v>
      </c>
      <c r="AG26" s="10"/>
      <c r="AH26" s="27"/>
      <c r="AI26" s="16"/>
    </row>
    <row r="27" spans="1:35" x14ac:dyDescent="0.2">
      <c r="A27" s="10"/>
      <c r="B27" s="14"/>
      <c r="C27" s="26"/>
      <c r="D27" s="10"/>
      <c r="E27" s="10"/>
      <c r="F27" s="10"/>
      <c r="G27" s="10"/>
      <c r="H27" s="10"/>
      <c r="I27" s="27"/>
      <c r="J27" s="10"/>
      <c r="K27" s="26"/>
      <c r="L27" s="31"/>
      <c r="M27" s="10"/>
      <c r="N27" s="10"/>
      <c r="O27" s="10"/>
      <c r="Q27" s="201"/>
      <c r="R27" s="43"/>
      <c r="S27" s="44"/>
      <c r="T27" s="32"/>
      <c r="U27" s="48"/>
      <c r="V27" s="26"/>
      <c r="W27" s="10"/>
      <c r="X27" s="10"/>
      <c r="Y27" s="10"/>
      <c r="Z27" s="10"/>
      <c r="AA27" s="10"/>
      <c r="AB27" s="27"/>
      <c r="AC27" s="10"/>
      <c r="AD27" s="26"/>
      <c r="AE27" s="10"/>
      <c r="AF27" s="10"/>
      <c r="AG27" s="10"/>
      <c r="AH27" s="27"/>
      <c r="AI27" s="16"/>
    </row>
    <row r="28" spans="1:35" x14ac:dyDescent="0.2">
      <c r="A28" s="10"/>
      <c r="B28" s="14"/>
      <c r="C28" s="26"/>
      <c r="D28" s="10"/>
      <c r="E28" s="10"/>
      <c r="F28" s="10"/>
      <c r="G28" s="10"/>
      <c r="H28" s="10"/>
      <c r="I28" s="27"/>
      <c r="J28" s="10"/>
      <c r="K28" s="198">
        <f>K24+1</f>
        <v>1004</v>
      </c>
      <c r="L28" s="10"/>
      <c r="M28" s="10"/>
      <c r="N28" s="10"/>
      <c r="O28" s="10"/>
      <c r="P28" s="201"/>
      <c r="Q28" s="201"/>
      <c r="R28" s="43"/>
      <c r="S28" s="44"/>
      <c r="T28" s="32"/>
      <c r="U28" s="48"/>
      <c r="V28" s="26"/>
      <c r="W28" s="10"/>
      <c r="X28" s="10"/>
      <c r="Y28" s="10"/>
      <c r="Z28" s="10"/>
      <c r="AA28" s="10"/>
      <c r="AB28" s="27"/>
      <c r="AC28" s="10"/>
      <c r="AD28" s="26"/>
      <c r="AE28" s="10"/>
      <c r="AF28" s="10"/>
      <c r="AG28" s="10"/>
      <c r="AH28" s="27"/>
      <c r="AI28" s="16"/>
    </row>
    <row r="29" spans="1:35" x14ac:dyDescent="0.2">
      <c r="A29" s="10"/>
      <c r="B29" s="14"/>
      <c r="C29" s="26"/>
      <c r="D29" s="10"/>
      <c r="E29" s="10"/>
      <c r="F29" s="10"/>
      <c r="G29" s="10"/>
      <c r="H29" s="10"/>
      <c r="I29" s="27"/>
      <c r="J29" s="10"/>
      <c r="K29" s="26"/>
      <c r="L29" s="10"/>
      <c r="M29" s="10"/>
      <c r="N29" s="10"/>
      <c r="O29" s="10"/>
      <c r="P29" s="201" t="s">
        <v>127</v>
      </c>
      <c r="Q29" s="201"/>
      <c r="R29" s="27"/>
      <c r="S29" s="16"/>
      <c r="U29" s="14"/>
      <c r="V29" s="26"/>
      <c r="W29" s="10"/>
      <c r="X29" s="10"/>
      <c r="Y29" s="10"/>
      <c r="Z29" s="10"/>
      <c r="AA29" s="10"/>
      <c r="AB29" s="27"/>
      <c r="AC29" s="10"/>
      <c r="AD29" s="26"/>
      <c r="AE29" s="10"/>
      <c r="AF29" s="195">
        <f>Z25+1</f>
        <v>2008</v>
      </c>
      <c r="AG29" s="197">
        <f>( MOD((( MOD( (AF29+1000000)^2 + (AF29+1000000)*(PM_Index+10000000), 99999989 )) + 1000007 ) * (( MOD( (PM_Index+10000000)^2 + (PM_Index+10000000) * ( MOD( (AF29+1000000)^2 + (AF29+1000000)*(PM_Index+10000000), 99999989 )), 99999989 )) + 1000013 ), 2147483647 ) + 0.5 ) / 2147483647</f>
        <v>0.56949394199507963</v>
      </c>
      <c r="AI29" s="16"/>
    </row>
    <row r="30" spans="1:35" ht="16" customHeight="1" x14ac:dyDescent="0.2">
      <c r="A30" s="10"/>
      <c r="B30" s="14"/>
      <c r="C30" s="26"/>
      <c r="F30" s="10"/>
      <c r="G30" s="10"/>
      <c r="H30" s="10"/>
      <c r="I30" s="27"/>
      <c r="J30" s="10"/>
      <c r="K30" s="26"/>
      <c r="L30" s="195"/>
      <c r="M30" s="10"/>
      <c r="N30" s="10"/>
      <c r="O30" s="10"/>
      <c r="P30" s="31" t="s">
        <v>125</v>
      </c>
      <c r="Q30" s="201"/>
      <c r="R30" s="27"/>
      <c r="S30" s="16"/>
      <c r="U30" s="14"/>
      <c r="V30" s="26"/>
      <c r="W30" s="10"/>
      <c r="X30" s="10"/>
      <c r="Y30" s="10"/>
      <c r="Z30" s="10"/>
      <c r="AA30" s="10"/>
      <c r="AB30" s="27"/>
      <c r="AC30" s="10"/>
      <c r="AD30" s="26"/>
      <c r="AE30" s="10"/>
      <c r="AF30" s="10"/>
      <c r="AG30" s="10"/>
      <c r="AH30" s="27"/>
      <c r="AI30" s="16"/>
    </row>
    <row r="31" spans="1:35" x14ac:dyDescent="0.2">
      <c r="A31" s="10"/>
      <c r="B31" s="14"/>
      <c r="C31" s="26"/>
      <c r="F31" s="10"/>
      <c r="G31" s="10"/>
      <c r="H31" s="10"/>
      <c r="I31" s="27"/>
      <c r="J31" s="10"/>
      <c r="K31" s="26"/>
      <c r="L31" s="10" t="s">
        <v>206</v>
      </c>
      <c r="M31" s="10"/>
      <c r="N31" s="10"/>
      <c r="O31" s="10"/>
      <c r="P31" s="201">
        <f>IF( 'Loss Event Frequency'!M11 &gt; 'Loss Event Frequency'!N11, NA(), IF( 'Loss Event Frequency'!N11 &gt; 'Loss Event Frequency'!O11, NA(), IF( 'Loss Event Frequency'!M11 = 'Loss Event Frequency'!O11, 'Loss Event Frequency'!N11, IF( Q34 &lt; (( 'Loss Event Frequency'!N11 - 'Loss Event Frequency'!M11 ) / ( 'Loss Event Frequency'!O11 - 'Loss Event Frequency'!M11 )), 'Loss Event Frequency'!M11 + SQRT( Q34 * ( 'Loss Event Frequency'!N11 - 'Loss Event Frequency'!M11 ) * ( 'Loss Event Frequency'!O11 - 'Loss Event Frequency'!M11 )), 'Loss Event Frequency'!O11 - SQRT(( 1 - Q34 ) * ( 'Loss Event Frequency'!O11 - 'Loss Event Frequency'!M11 ) * ( 'Loss Event Frequency'!O11 - 'Loss Event Frequency'!N11 ))))))</f>
        <v>0.57710977578143796</v>
      </c>
      <c r="Q31" s="201" t="s">
        <v>205</v>
      </c>
      <c r="R31" s="27"/>
      <c r="S31" s="16"/>
      <c r="U31" s="14"/>
      <c r="V31" s="26"/>
      <c r="W31" s="10"/>
      <c r="X31" s="10"/>
      <c r="Y31" s="10"/>
      <c r="Z31" s="10"/>
      <c r="AA31" s="10"/>
      <c r="AB31" s="27"/>
      <c r="AC31" s="10"/>
      <c r="AD31" s="26"/>
      <c r="AF31" s="10"/>
      <c r="AG31" s="10" t="s">
        <v>24</v>
      </c>
      <c r="AH31" s="27"/>
      <c r="AI31" s="16"/>
    </row>
    <row r="32" spans="1:35" x14ac:dyDescent="0.2">
      <c r="A32" s="10"/>
      <c r="B32" s="14"/>
      <c r="C32" s="26"/>
      <c r="F32" s="10"/>
      <c r="G32" s="10"/>
      <c r="H32" s="10"/>
      <c r="I32" s="27"/>
      <c r="J32" s="10"/>
      <c r="K32" s="26"/>
      <c r="L32" s="10" t="s">
        <v>26</v>
      </c>
      <c r="M32" s="10"/>
      <c r="N32" s="10" t="s">
        <v>27</v>
      </c>
      <c r="O32" s="10"/>
      <c r="P32" s="10" t="s">
        <v>28</v>
      </c>
      <c r="Q32" s="201"/>
      <c r="R32" s="27"/>
      <c r="S32" s="16"/>
      <c r="U32" s="14"/>
      <c r="V32" s="26"/>
      <c r="W32" s="10"/>
      <c r="X32" s="10"/>
      <c r="Y32" s="10"/>
      <c r="Z32" s="10"/>
      <c r="AA32" s="10"/>
      <c r="AB32" s="27"/>
      <c r="AC32" s="10"/>
      <c r="AD32" s="26"/>
      <c r="AF32" s="10"/>
      <c r="AG32" s="58">
        <f>IF( 'Loss Magnitude'!K10 &gt; 'Loss Magnitude'!L10, NA(), IF( 'Loss Magnitude'!L10 &gt; 'Loss Magnitude'!M10, NA(), IF( 'Loss Magnitude'!K10 = 'Loss Magnitude'!M10, 'Loss Magnitude'!L10, IF( AG29 &lt; (( 'Loss Magnitude'!L10 - 'Loss Magnitude'!K10 ) / ( 'Loss Magnitude'!M10 - 'Loss Magnitude'!K10 )), 'Loss Magnitude'!K10 + SQRT( AG29 * ( 'Loss Magnitude'!L10 - 'Loss Magnitude'!K10 ) * ( 'Loss Magnitude'!M10 - 'Loss Magnitude'!K10 )), 'Loss Magnitude'!M10 - SQRT(( 1 - AG29 ) * ( 'Loss Magnitude'!M10 - 'Loss Magnitude'!K10 ) * ( 'Loss Magnitude'!M10 - 'Loss Magnitude'!L10 ))))))</f>
        <v>2.9227400038193945E-2</v>
      </c>
      <c r="AH32" s="27"/>
      <c r="AI32" s="16"/>
    </row>
    <row r="33" spans="1:35" x14ac:dyDescent="0.2">
      <c r="A33" s="10"/>
      <c r="B33" s="14"/>
      <c r="C33" s="26"/>
      <c r="F33" s="10"/>
      <c r="G33" s="10"/>
      <c r="H33" s="10"/>
      <c r="I33" s="27"/>
      <c r="J33" s="10"/>
      <c r="K33" s="26"/>
      <c r="L33" s="199">
        <f>IF( 'Loss Event Frequency'!C19 &gt; 'Loss Event Frequency'!C20, NA(), IF( 'Loss Event Frequency'!C20 &gt; 'Loss Event Frequency'!C21, NA(), IF( 'Loss Event Frequency'!C19 = 'Loss Event Frequency'!C21, 'Loss Event Frequency'!C20, IF( L34 &lt; (( 'Loss Event Frequency'!C20 - 'Loss Event Frequency'!C19 ) / ( 'Loss Event Frequency'!C21 - 'Loss Event Frequency'!C19 )), 'Loss Event Frequency'!C19 + SQRT( L34 * ( 'Loss Event Frequency'!C20 - 'Loss Event Frequency'!C19 ) * ( 'Loss Event Frequency'!C21 - 'Loss Event Frequency'!C19 )), 'Loss Event Frequency'!C21 - SQRT(( 1 - L34 ) * ( 'Loss Event Frequency'!C21 - 'Loss Event Frequency'!C19 ) * ( 'Loss Event Frequency'!C21 - 'Loss Event Frequency'!C20 ))))))</f>
        <v>39.393963785330378</v>
      </c>
      <c r="M33" s="10"/>
      <c r="N33" s="226">
        <f>IF( 'Loss Event Frequency'!G19 &gt; 'Loss Event Frequency'!G20, NA(), IF( 'Loss Event Frequency'!G20 &gt; 'Loss Event Frequency'!G21, NA(), IF( 'Loss Event Frequency'!G19 = 'Loss Event Frequency'!G21, 'Loss Event Frequency'!G20, IF( N34 &lt; (( 'Loss Event Frequency'!G20 - 'Loss Event Frequency'!G19 ) / ( 'Loss Event Frequency'!G21 - 'Loss Event Frequency'!G19 )), 'Loss Event Frequency'!G19 + SQRT( N34 * ( 'Loss Event Frequency'!G20 - 'Loss Event Frequency'!G19 ) * ( 'Loss Event Frequency'!G21 - 'Loss Event Frequency'!G19 )), 'Loss Event Frequency'!G21 - SQRT(( 1 - N34 ) * ( 'Loss Event Frequency'!G21 - 'Loss Event Frequency'!G19 ) * ( 'Loss Event Frequency'!G21 - 'Loss Event Frequency'!G20 ))))))</f>
        <v>0.47958812283926056</v>
      </c>
      <c r="O33" s="10"/>
      <c r="P33" s="70">
        <f>Vulnerability!J10</f>
        <v>0.5</v>
      </c>
      <c r="Q33" s="201"/>
      <c r="R33" s="27"/>
      <c r="S33" s="16"/>
      <c r="U33" s="14"/>
      <c r="V33" s="33"/>
      <c r="W33" s="34"/>
      <c r="X33" s="34"/>
      <c r="Y33" s="34"/>
      <c r="Z33" s="34"/>
      <c r="AA33" s="34"/>
      <c r="AB33" s="35"/>
      <c r="AC33" s="10"/>
      <c r="AD33" s="33"/>
      <c r="AE33" s="34"/>
      <c r="AF33" s="34"/>
      <c r="AG33" s="34"/>
      <c r="AH33" s="35"/>
      <c r="AI33" s="16"/>
    </row>
    <row r="34" spans="1:35" x14ac:dyDescent="0.2">
      <c r="A34" s="10"/>
      <c r="B34" s="14"/>
      <c r="C34" s="33"/>
      <c r="D34" s="34"/>
      <c r="E34" s="34"/>
      <c r="F34" s="34"/>
      <c r="G34" s="34"/>
      <c r="H34" s="34"/>
      <c r="I34" s="35"/>
      <c r="J34" s="10"/>
      <c r="K34" s="197">
        <f>P34+1</f>
        <v>1006</v>
      </c>
      <c r="L34" s="197">
        <f>( MOD((( MOD( (K34+1000000)^2 + (K34+1000000)*(PM_Index+10000000), 99999989 )) + 1000007 ) * (( MOD( (PM_Index+10000000)^2 + (PM_Index+10000000) * ( MOD( (K34+1000000)^2 + (K34+1000000)*(PM_Index+10000000), 99999989 )), 99999989 )) + 1000013 ), 2147483647 ) + 0.5 ) / 2147483647</f>
        <v>0.91667555245416033</v>
      </c>
      <c r="M34" s="7">
        <f>K34+1</f>
        <v>1007</v>
      </c>
      <c r="N34" s="197">
        <f>( MOD((( MOD( (M34+1000000)^2 + (M34+1000000)*(PM_Index+10000000), 99999989 )) + 1000007 ) * (( MOD( (PM_Index+10000000)^2 + (PM_Index+10000000) * ( MOD( (M34+1000000)^2 + (M34+1000000)*(PM_Index+10000000), 99999989 )), 99999989 )) + 1000013 ), 2147483647 ) + 0.5 ) / 2147483647</f>
        <v>0.67858205138639638</v>
      </c>
      <c r="O34" s="34"/>
      <c r="P34" s="197">
        <f>K28+1</f>
        <v>1005</v>
      </c>
      <c r="Q34" s="197">
        <f>( MOD((( MOD( (P34+1000000)^2 + (P34+1000000)*(PM_Index+10000000), 99999989 )) + 1000007 ) * (( MOD( (PM_Index+10000000)^2 + (PM_Index+10000000) * ( MOD( (P34+1000000)^2 + (P34+1000000)*(PM_Index+10000000), 99999989 )), 99999989 )) + 1000013 ), 2147483647 ) + 0.5 ) / 2147483647</f>
        <v>0.99126729392039925</v>
      </c>
      <c r="R34" s="35"/>
      <c r="S34" s="16"/>
      <c r="U34" s="14"/>
      <c r="V34" s="10"/>
      <c r="W34" s="10"/>
      <c r="X34" s="10"/>
      <c r="Y34" s="10"/>
      <c r="Z34" s="10"/>
      <c r="AA34" s="10"/>
      <c r="AB34" s="10"/>
      <c r="AC34" s="10"/>
      <c r="AD34" s="10"/>
      <c r="AE34" s="10"/>
      <c r="AF34" s="10"/>
      <c r="AG34" s="10"/>
      <c r="AH34" s="10"/>
      <c r="AI34" s="16"/>
    </row>
    <row r="35" spans="1:35" ht="17" thickBot="1" x14ac:dyDescent="0.25">
      <c r="A35" s="10"/>
      <c r="B35" s="36"/>
      <c r="C35" s="37"/>
      <c r="D35" s="37"/>
      <c r="E35" s="37"/>
      <c r="F35" s="37"/>
      <c r="G35" s="37"/>
      <c r="H35" s="37"/>
      <c r="I35" s="37"/>
      <c r="J35" s="37"/>
      <c r="K35" s="37"/>
      <c r="L35" s="37"/>
      <c r="M35" s="37"/>
      <c r="N35" s="37"/>
      <c r="O35" s="37"/>
      <c r="P35" s="37"/>
      <c r="Q35" s="37"/>
      <c r="R35" s="37"/>
      <c r="S35" s="38"/>
      <c r="U35" s="36"/>
      <c r="V35" s="37"/>
      <c r="W35" s="37"/>
      <c r="X35" s="37"/>
      <c r="Y35" s="37"/>
      <c r="Z35" s="37"/>
      <c r="AA35" s="37"/>
      <c r="AB35" s="37"/>
      <c r="AC35" s="37"/>
      <c r="AD35" s="37"/>
      <c r="AE35" s="37"/>
      <c r="AF35" s="37"/>
      <c r="AG35" s="37"/>
      <c r="AH35" s="37"/>
      <c r="AI35" s="38"/>
    </row>
    <row r="36" spans="1:35" x14ac:dyDescent="0.2">
      <c r="A36" s="10"/>
    </row>
  </sheetData>
  <pageMargins left="0.7" right="0.7" top="0.75" bottom="0.75" header="0.3" footer="0.3"/>
  <pageSetup orientation="portrait" horizontalDpi="0" verticalDpi="0"/>
  <drawing r:id="rId1"/>
  <extLst>
    <ext xmlns:x14="http://schemas.microsoft.com/office/spreadsheetml/2009/9/main" uri="{05C60535-1F16-4fd2-B633-F4F36F0B64E0}">
      <x14:sparklineGroups xmlns:xm="http://schemas.microsoft.com/office/excel/2006/main">
        <x14:sparklineGroup manualMax="0" manualMin="0" type="column" displayEmptyCellsAs="gap" minAxisType="custom" xr2:uid="{00000000-0003-0000-0400-000001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PM_Current_Loss_Events_hist_data</xm:f>
              <xm:sqref>L12</xm:sqref>
            </x14:sparkline>
          </x14:sparklines>
        </x14:sparklineGroup>
        <x14:sparklineGroup manualMax="0" manualMin="0" type="column" displayEmptyCellsAs="gap" minAxisType="custom" xr2:uid="{00000000-0003-0000-0400-000002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PM_Risk_hist_data</xm:f>
              <xm:sqref>E5</xm:sqref>
            </x14:sparkline>
          </x14:sparklines>
        </x14:sparklineGroup>
        <x14:sparklineGroup manualMax="0" manualMin="0" type="column" displayEmptyCellsAs="gap" minAxisType="custom" xr2:uid="{00000000-0003-0000-0400-000003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PM_Se_Un_Mag1_hist_data</xm:f>
              <xm:sqref>AA20</xm:sqref>
            </x14:sparkline>
            <x14:sparkline>
              <xm:f>PM_Se_Un_Mag1_hist_data</xm:f>
              <xm:sqref>AA21</xm:sqref>
            </x14:sparkline>
            <x14:sparkline>
              <xm:f>PM_Se_Un_Mag1_hist_data</xm:f>
              <xm:sqref>AA22</xm:sqref>
            </x14:sparkline>
            <x14:sparkline>
              <xm:f>PM_Se_Un_Mag1_hist_data</xm:f>
              <xm:sqref>AA23</xm:sqref>
            </x14:sparkline>
            <x14:sparkline>
              <xm:f>PM_Se_Un_Mag1_hist_data</xm:f>
              <xm:sqref>AA24</xm:sqref>
            </x14:sparkline>
            <x14:sparkline>
              <xm:f>PM_Se_Un_Mag1_hist_data</xm:f>
              <xm:sqref>AA25</xm:sqref>
            </x14:sparkline>
          </x14:sparklines>
        </x14:sparklineGroup>
        <x14:sparklineGroup manualMax="0" manualMin="0" type="column" displayEmptyCellsAs="gap" minAxisType="custom" xr2:uid="{00000000-0003-0000-0400-000004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PM_Pr_Un_Mag1_hist_data</xm:f>
              <xm:sqref>H20</xm:sqref>
            </x14:sparkline>
            <x14:sparkline>
              <xm:f>PM_Pr_Un_Mag1_hist_data</xm:f>
              <xm:sqref>H21</xm:sqref>
            </x14:sparkline>
            <x14:sparkline>
              <xm:f>PM_Pr_Un_Mag1_hist_data</xm:f>
              <xm:sqref>H22</xm:sqref>
            </x14:sparkline>
            <x14:sparkline>
              <xm:f>PM_Pr_Un_Mag1_hist_data</xm:f>
              <xm:sqref>H23</xm:sqref>
            </x14:sparkline>
            <x14:sparkline>
              <xm:f>PM_Pr_Un_Mag1_hist_data</xm:f>
              <xm:sqref>H24</xm:sqref>
            </x14:sparkline>
            <x14:sparkline>
              <xm:f>PM_Pr_Un_Mag1_hist_data</xm:f>
              <xm:sqref>H25</xm:sqref>
            </x14:sparkline>
          </x14:sparklines>
        </x14:sparklineGroup>
        <x14:sparklineGroup manualMax="0" manualMin="0" type="column" displayEmptyCellsAs="gap" minAxisType="custom" xr2:uid="{00000000-0003-0000-0400-000005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PM_Primary_hist_data</xm:f>
              <xm:sqref>E8</xm:sqref>
            </x14:sparkline>
          </x14:sparklines>
        </x14:sparklineGroup>
        <x14:sparklineGroup manualMax="0" manualMin="0" type="column" displayEmptyCellsAs="gap" minAxisType="custom" xr2:uid="{00000000-0003-0000-0400-000006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PM_Secondary_hist_data</xm:f>
              <xm:sqref>X8</xm:sqref>
            </x14:sparkline>
          </x14:sparklines>
        </x14:sparklineGroup>
        <x14:sparklineGroup manualMax="0" manualMin="0" type="column" displayEmptyCellsAs="gap" minAxisType="custom" xr2:uid="{00000000-0003-0000-0400-000000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PM_Pr_Un_Mag1_hist_data</xm:f>
              <xm:sqref>H13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2:AI36"/>
  <sheetViews>
    <sheetView topLeftCell="A4" zoomScaleNormal="100" zoomScalePageLayoutView="71" workbookViewId="0">
      <selection activeCell="P33" sqref="P33"/>
    </sheetView>
  </sheetViews>
  <sheetFormatPr baseColWidth="10" defaultColWidth="10.83203125" defaultRowHeight="16" x14ac:dyDescent="0.2"/>
  <cols>
    <col min="1" max="2" width="5" style="7" customWidth="1"/>
    <col min="3" max="3" width="17.5" style="7" customWidth="1"/>
    <col min="4" max="4" width="8" style="7" customWidth="1"/>
    <col min="5" max="5" width="10.5" style="7" customWidth="1"/>
    <col min="6" max="6" width="12.33203125" style="7" customWidth="1"/>
    <col min="7" max="8" width="12.5" style="7" customWidth="1"/>
    <col min="9" max="9" width="7.83203125" style="7" customWidth="1"/>
    <col min="10" max="10" width="5" style="7" customWidth="1"/>
    <col min="11" max="11" width="6.5" style="7" bestFit="1" customWidth="1"/>
    <col min="12" max="12" width="20.5" style="7" bestFit="1" customWidth="1"/>
    <col min="13" max="13" width="5" style="7" customWidth="1"/>
    <col min="14" max="14" width="10.83203125" style="7"/>
    <col min="15" max="15" width="5" style="7" customWidth="1"/>
    <col min="16" max="17" width="10.83203125" style="7"/>
    <col min="18" max="21" width="5" style="7" customWidth="1"/>
    <col min="22" max="22" width="11.33203125" style="7" bestFit="1" customWidth="1"/>
    <col min="23" max="25" width="13" style="7" customWidth="1"/>
    <col min="26" max="27" width="12.5" style="7" customWidth="1"/>
    <col min="28" max="28" width="9.83203125" style="7" customWidth="1"/>
    <col min="29" max="29" width="5" style="7" customWidth="1"/>
    <col min="30" max="30" width="7.33203125" style="7" customWidth="1"/>
    <col min="31" max="31" width="12.5" style="7" customWidth="1"/>
    <col min="32" max="33" width="10.83203125" style="7"/>
    <col min="34" max="35" width="5" style="7" customWidth="1"/>
    <col min="36" max="16384" width="10.83203125" style="7"/>
  </cols>
  <sheetData>
    <row r="2" spans="1:35" ht="16" customHeight="1" x14ac:dyDescent="0.2">
      <c r="E2" s="8"/>
    </row>
    <row r="3" spans="1:35" ht="51" x14ac:dyDescent="0.2">
      <c r="E3" s="8" t="s">
        <v>31</v>
      </c>
    </row>
    <row r="4" spans="1:35" x14ac:dyDescent="0.2">
      <c r="E4" s="9"/>
    </row>
    <row r="5" spans="1:35" ht="24" x14ac:dyDescent="0.2">
      <c r="D5" s="169" t="s">
        <v>116</v>
      </c>
      <c r="E5" s="49">
        <f>E8+X8</f>
        <v>106.13151616017062</v>
      </c>
      <c r="H5" s="50"/>
    </row>
    <row r="6" spans="1:35" ht="17" thickBot="1" x14ac:dyDescent="0.25">
      <c r="A6" s="10"/>
      <c r="E6" s="7" t="s">
        <v>110</v>
      </c>
    </row>
    <row r="7" spans="1:35" x14ac:dyDescent="0.2">
      <c r="A7" s="10"/>
      <c r="B7" s="11"/>
      <c r="C7" s="12"/>
      <c r="D7" s="12"/>
      <c r="E7" s="12"/>
      <c r="F7" s="12"/>
      <c r="G7" s="12"/>
      <c r="H7" s="12"/>
      <c r="I7" s="12"/>
      <c r="J7" s="12"/>
      <c r="K7" s="12"/>
      <c r="L7" s="12"/>
      <c r="M7" s="12"/>
      <c r="N7" s="12"/>
      <c r="O7" s="12"/>
      <c r="P7" s="12"/>
      <c r="Q7" s="12"/>
      <c r="R7" s="12"/>
      <c r="S7" s="13"/>
      <c r="U7" s="11"/>
      <c r="V7" s="12"/>
      <c r="W7" s="12"/>
      <c r="X7" s="12"/>
      <c r="Y7" s="12"/>
      <c r="Z7" s="12"/>
      <c r="AA7" s="12"/>
      <c r="AB7" s="12"/>
      <c r="AC7" s="12"/>
      <c r="AD7" s="12"/>
      <c r="AE7" s="12"/>
      <c r="AF7" s="12"/>
      <c r="AG7" s="12"/>
      <c r="AH7" s="12"/>
      <c r="AI7" s="13"/>
    </row>
    <row r="8" spans="1:35" ht="21" x14ac:dyDescent="0.2">
      <c r="A8" s="10"/>
      <c r="B8" s="14"/>
      <c r="C8" s="10"/>
      <c r="D8" s="164" t="s">
        <v>135</v>
      </c>
      <c r="E8" s="57">
        <f>IF(LM_TOP,SUM(H20:H25),H13)</f>
        <v>106.13151616017062</v>
      </c>
      <c r="F8" s="10"/>
      <c r="G8" s="7" t="s">
        <v>90</v>
      </c>
      <c r="H8" s="15"/>
      <c r="I8" s="7">
        <v>1000</v>
      </c>
      <c r="J8" s="10"/>
      <c r="K8" s="10"/>
      <c r="L8" s="10"/>
      <c r="M8" s="10"/>
      <c r="N8" s="10"/>
      <c r="O8" s="10"/>
      <c r="P8" s="10"/>
      <c r="Q8" s="10"/>
      <c r="R8" s="10"/>
      <c r="S8" s="16"/>
      <c r="U8" s="14"/>
      <c r="V8" s="10"/>
      <c r="W8" s="45" t="s">
        <v>23</v>
      </c>
      <c r="X8" s="250">
        <f>IF(LM_TOP,SUM(AA20:AA25),0)</f>
        <v>0</v>
      </c>
      <c r="Y8" s="10"/>
      <c r="Z8" s="7" t="s">
        <v>91</v>
      </c>
      <c r="AA8" s="15"/>
      <c r="AB8" s="7">
        <v>2000</v>
      </c>
      <c r="AC8" s="10"/>
      <c r="AD8" s="10"/>
      <c r="AE8" s="10"/>
      <c r="AF8" s="10"/>
      <c r="AG8" s="10"/>
      <c r="AH8" s="10"/>
      <c r="AI8" s="16"/>
    </row>
    <row r="9" spans="1:35" x14ac:dyDescent="0.2">
      <c r="A9" s="10"/>
      <c r="B9" s="14"/>
      <c r="C9" s="10"/>
      <c r="D9" s="10"/>
      <c r="E9" s="10" t="s">
        <v>107</v>
      </c>
      <c r="F9" s="10"/>
      <c r="H9" s="10"/>
      <c r="I9" s="10"/>
      <c r="J9" s="10"/>
      <c r="K9" s="10"/>
      <c r="L9" s="10"/>
      <c r="M9" s="10"/>
      <c r="N9" s="10"/>
      <c r="O9" s="10"/>
      <c r="P9" s="10"/>
      <c r="Q9" s="10"/>
      <c r="R9" s="10"/>
      <c r="S9" s="16"/>
      <c r="U9" s="14"/>
      <c r="V9" s="10"/>
      <c r="W9" s="10"/>
      <c r="X9" s="10" t="s">
        <v>111</v>
      </c>
      <c r="Y9" s="10"/>
      <c r="Z9" s="15"/>
      <c r="AA9" s="10"/>
      <c r="AB9" s="10"/>
      <c r="AC9" s="10"/>
      <c r="AD9" s="10"/>
      <c r="AE9" s="10"/>
      <c r="AF9" s="10"/>
      <c r="AG9" s="10"/>
      <c r="AH9" s="10"/>
      <c r="AI9" s="16"/>
    </row>
    <row r="10" spans="1:35" ht="34" x14ac:dyDescent="0.2">
      <c r="A10" s="10"/>
      <c r="B10" s="14"/>
      <c r="C10" s="17"/>
      <c r="D10" s="18" t="s">
        <v>92</v>
      </c>
      <c r="E10" s="19"/>
      <c r="F10" s="19"/>
      <c r="G10" s="19"/>
      <c r="H10" s="19"/>
      <c r="I10" s="20"/>
      <c r="J10" s="10"/>
      <c r="K10" s="17" t="s">
        <v>76</v>
      </c>
      <c r="L10" s="18" t="s">
        <v>22</v>
      </c>
      <c r="M10" s="19"/>
      <c r="N10" s="18"/>
      <c r="O10" s="18"/>
      <c r="P10" s="18"/>
      <c r="Q10" s="18"/>
      <c r="R10" s="21"/>
      <c r="S10" s="22"/>
      <c r="T10" s="23"/>
      <c r="U10" s="24"/>
      <c r="V10" s="17"/>
      <c r="W10" s="18" t="s">
        <v>92</v>
      </c>
      <c r="X10" s="19"/>
      <c r="Y10" s="19"/>
      <c r="Z10" s="19"/>
      <c r="AA10" s="19"/>
      <c r="AB10" s="20"/>
      <c r="AC10" s="10"/>
      <c r="AD10" s="17" t="s">
        <v>76</v>
      </c>
      <c r="AE10" s="25" t="s">
        <v>20</v>
      </c>
      <c r="AF10" s="19"/>
      <c r="AG10" s="19"/>
      <c r="AH10" s="20"/>
      <c r="AI10" s="16"/>
    </row>
    <row r="11" spans="1:35" x14ac:dyDescent="0.2">
      <c r="A11" s="10"/>
      <c r="B11" s="14"/>
      <c r="C11" s="26"/>
      <c r="D11" s="10" t="s">
        <v>21</v>
      </c>
      <c r="E11" s="10"/>
      <c r="F11" s="10"/>
      <c r="G11" s="10"/>
      <c r="H11" s="10"/>
      <c r="I11" s="27"/>
      <c r="J11" s="10"/>
      <c r="K11" s="26"/>
      <c r="L11" s="10" t="s">
        <v>175</v>
      </c>
      <c r="M11" s="10"/>
      <c r="N11" s="10"/>
      <c r="O11" s="10"/>
      <c r="P11" s="10"/>
      <c r="Q11" s="10"/>
      <c r="R11" s="27"/>
      <c r="S11" s="16"/>
      <c r="U11" s="14"/>
      <c r="V11" s="26"/>
      <c r="W11" s="10" t="s">
        <v>21</v>
      </c>
      <c r="X11" s="10"/>
      <c r="Y11" s="10"/>
      <c r="Z11" s="10"/>
      <c r="AA11" s="10"/>
      <c r="AB11" s="27"/>
      <c r="AC11" s="10"/>
      <c r="AD11" s="26"/>
      <c r="AE11" s="10" t="s">
        <v>105</v>
      </c>
      <c r="AF11" s="10"/>
      <c r="AG11" s="10"/>
      <c r="AH11" s="27"/>
      <c r="AI11" s="16"/>
    </row>
    <row r="12" spans="1:35" ht="16" customHeight="1" x14ac:dyDescent="0.2">
      <c r="A12" s="10"/>
      <c r="B12" s="14"/>
      <c r="C12" s="26"/>
      <c r="D12" s="10"/>
      <c r="E12" s="10"/>
      <c r="F12" s="10"/>
      <c r="G12" s="10"/>
      <c r="H12" s="10"/>
      <c r="I12" s="27" t="s">
        <v>166</v>
      </c>
      <c r="J12" s="10"/>
      <c r="K12" s="260">
        <f>I8+1</f>
        <v>1001</v>
      </c>
      <c r="L12" s="250">
        <f>IF('Loss Magnitude'!$AZ$1=1,M12,'Loss Magnitude'!BJ7)</f>
        <v>2</v>
      </c>
      <c r="M12" s="261">
        <f t="array" ref="M12">IF( N18 &gt; 20, INT( _xlfn.NORM.INV( L13, N18, SQRT( N18 ))), MATCH( L13, IF( PM_1.66 = -1, 0, POISSON( PM_1.66, N18, TRUE ))) - 1 )</f>
        <v>2</v>
      </c>
      <c r="N12" s="10"/>
      <c r="O12" s="10"/>
      <c r="P12" s="10"/>
      <c r="Q12" s="10"/>
      <c r="R12" s="27"/>
      <c r="S12" s="16"/>
      <c r="T12" s="10"/>
      <c r="U12" s="14"/>
      <c r="V12" s="26"/>
      <c r="W12" s="10"/>
      <c r="X12" s="10"/>
      <c r="Y12" s="10"/>
      <c r="Z12" s="10"/>
      <c r="AA12" s="10"/>
      <c r="AB12" s="27"/>
      <c r="AC12" s="10"/>
      <c r="AD12" s="165">
        <f>AB8+1</f>
        <v>2001</v>
      </c>
      <c r="AE12" s="199">
        <f>IF('Loss Magnitude'!$AZ$1=1,AF12,'Loss Magnitude'!BK7)</f>
        <v>0</v>
      </c>
      <c r="AF12" s="244">
        <f>IFERROR( _xlfn.BINOM.INV( AE16, AG32, AE13 ), (AE16) * ((AG32)=1))</f>
        <v>0</v>
      </c>
      <c r="AG12" s="28"/>
      <c r="AH12" s="27"/>
      <c r="AI12" s="16"/>
    </row>
    <row r="13" spans="1:35" ht="16" customHeight="1" x14ac:dyDescent="0.2">
      <c r="A13" s="10"/>
      <c r="B13" s="14"/>
      <c r="C13" s="26" t="s">
        <v>141</v>
      </c>
      <c r="D13" s="10"/>
      <c r="E13" s="10"/>
      <c r="F13" s="10"/>
      <c r="G13" s="10">
        <f>G25+1</f>
        <v>1011</v>
      </c>
      <c r="H13" s="10">
        <f>IF(OR(I13,$L$12=0),0,'SUMS of IID Triangles'!I46)</f>
        <v>106.13151616017062</v>
      </c>
      <c r="I13" s="27" t="b">
        <f>AND(Current_Calc!I13,'Loss Magnitude'!H5=0,'Loss Magnitude'!I5=0,'Loss Magnitude'!J5=0)</f>
        <v>0</v>
      </c>
      <c r="J13" s="10"/>
      <c r="K13" s="26"/>
      <c r="L13" s="224">
        <f>( MOD((( MOD( (K12+1000000)^2 + (K12+1000000)*(PM_Index+10000000), 99999989 )) + 1000007 ) * (( MOD( (PM_Index+10000000)^2 + (PM_Index+10000000) * ( MOD( (K12+1000000)^2 + (K12+1000000)*(PM_Index+10000000), 99999989 )), 99999989 )) + 1000013 ), 2147483647 ) + 0.5 ) / 2147483647</f>
        <v>0.51192090288359715</v>
      </c>
      <c r="M13" s="10"/>
      <c r="N13" s="10"/>
      <c r="O13" s="10"/>
      <c r="P13" s="10"/>
      <c r="Q13" s="10"/>
      <c r="R13" s="27"/>
      <c r="S13" s="16"/>
      <c r="U13" s="14"/>
      <c r="V13" s="26"/>
      <c r="W13" s="10"/>
      <c r="X13" s="10"/>
      <c r="Y13" s="10"/>
      <c r="Z13" s="10"/>
      <c r="AA13" s="10"/>
      <c r="AB13" s="27"/>
      <c r="AC13" s="10"/>
      <c r="AD13" s="26"/>
      <c r="AE13" s="29">
        <f>( MOD((( MOD( (AD12+1000000)^2 + (AD12+1000000)*(PM_Index+10000000), 99999989 )) + 1000007 ) * (( MOD( (PM_Index+10000000)^2 + (PM_Index+10000000) * ( MOD( (AD12+1000000)^2 + (AD12+1000000)*(PM_Index+10000000), 99999989 )), 99999989 )) + 1000013 ), 2147483647 ) + 0.5 ) / 2147483647</f>
        <v>0.59694199827357286</v>
      </c>
      <c r="AF13" s="10"/>
      <c r="AG13" s="28"/>
      <c r="AH13" s="27"/>
      <c r="AI13" s="16"/>
    </row>
    <row r="14" spans="1:35" ht="16" customHeight="1" x14ac:dyDescent="0.2">
      <c r="A14" s="10"/>
      <c r="B14" s="14"/>
      <c r="C14" s="26"/>
      <c r="D14" s="10"/>
      <c r="E14" s="10"/>
      <c r="F14" s="10"/>
      <c r="G14" s="10"/>
      <c r="H14" s="10"/>
      <c r="J14" s="10"/>
      <c r="K14" s="26"/>
      <c r="L14" s="10" t="s">
        <v>30</v>
      </c>
      <c r="M14" s="10"/>
      <c r="N14" s="10"/>
      <c r="O14" s="10"/>
      <c r="P14" s="10"/>
      <c r="Q14" s="10"/>
      <c r="R14" s="27"/>
      <c r="S14" s="16"/>
      <c r="U14" s="14"/>
      <c r="V14" s="26"/>
      <c r="W14" s="10"/>
      <c r="X14" s="10"/>
      <c r="Y14" s="10"/>
      <c r="Z14" s="10"/>
      <c r="AA14" s="10"/>
      <c r="AB14" s="27"/>
      <c r="AC14" s="10"/>
      <c r="AD14" s="26"/>
      <c r="AE14" s="15"/>
      <c r="AF14" s="10"/>
      <c r="AG14" s="10"/>
      <c r="AH14" s="27"/>
      <c r="AI14" s="16"/>
    </row>
    <row r="15" spans="1:35" ht="34" x14ac:dyDescent="0.2">
      <c r="A15" s="10"/>
      <c r="B15" s="14"/>
      <c r="C15" s="26"/>
      <c r="D15" s="10"/>
      <c r="E15" s="10"/>
      <c r="F15" s="10"/>
      <c r="G15" s="10"/>
      <c r="H15" s="10"/>
      <c r="I15" s="27"/>
      <c r="J15" s="10"/>
      <c r="K15" s="26" t="s">
        <v>122</v>
      </c>
      <c r="L15" s="30" t="s">
        <v>117</v>
      </c>
      <c r="M15" s="10"/>
      <c r="N15" s="10"/>
      <c r="O15" s="10"/>
      <c r="P15" s="10"/>
      <c r="Q15" s="10"/>
      <c r="R15" s="27"/>
      <c r="S15" s="16"/>
      <c r="U15" s="14"/>
      <c r="V15" s="26"/>
      <c r="W15" s="10"/>
      <c r="X15" s="10"/>
      <c r="Y15" s="10"/>
      <c r="Z15" s="10"/>
      <c r="AA15" s="10"/>
      <c r="AB15" s="27"/>
      <c r="AC15" s="10"/>
      <c r="AD15" s="26"/>
      <c r="AE15" s="39" t="s">
        <v>25</v>
      </c>
      <c r="AF15" s="10"/>
      <c r="AG15" s="10"/>
      <c r="AH15" s="27"/>
      <c r="AI15" s="16"/>
    </row>
    <row r="16" spans="1:35" x14ac:dyDescent="0.2">
      <c r="A16" s="10"/>
      <c r="B16" s="14"/>
      <c r="C16" s="26"/>
      <c r="D16" s="10"/>
      <c r="E16" s="10"/>
      <c r="F16" s="10"/>
      <c r="H16" s="10"/>
      <c r="I16" s="27"/>
      <c r="J16" s="10"/>
      <c r="K16" s="26"/>
      <c r="L16" s="10" t="s">
        <v>125</v>
      </c>
      <c r="M16" s="10"/>
      <c r="N16" s="10"/>
      <c r="O16" s="10"/>
      <c r="P16" s="10"/>
      <c r="Q16" s="10"/>
      <c r="R16" s="27"/>
      <c r="S16" s="16"/>
      <c r="U16" s="14"/>
      <c r="V16" s="26"/>
      <c r="W16" s="10"/>
      <c r="X16" s="10"/>
      <c r="Y16" s="10"/>
      <c r="Z16" s="10"/>
      <c r="AA16" s="10"/>
      <c r="AB16" s="27"/>
      <c r="AC16" s="10"/>
      <c r="AD16" s="26"/>
      <c r="AE16" s="6">
        <f>L12</f>
        <v>2</v>
      </c>
      <c r="AF16" s="10"/>
      <c r="AG16" s="10"/>
      <c r="AH16" s="27"/>
      <c r="AI16" s="16"/>
    </row>
    <row r="17" spans="1:35" x14ac:dyDescent="0.2">
      <c r="A17" s="10"/>
      <c r="B17" s="14"/>
      <c r="C17" s="26"/>
      <c r="D17" s="10"/>
      <c r="E17" s="10"/>
      <c r="F17" s="10"/>
      <c r="G17" s="10"/>
      <c r="H17" s="10"/>
      <c r="I17" s="27"/>
      <c r="J17" s="10"/>
      <c r="K17" s="26"/>
      <c r="L17" s="31">
        <f>IF( 'Loss Event Frequency'!BG3 &gt; 'Loss Event Frequency'!BH3, NA(), IF( 'Loss Event Frequency'!BH3 &gt; 'Loss Event Frequency'!BI3, NA(), IF( 'Loss Event Frequency'!BG3 = 'Loss Event Frequency'!BI3, 'Loss Event Frequency'!BH3, IF( L20 &lt; (( 'Loss Event Frequency'!BH3 - 'Loss Event Frequency'!BG3 ) / ( 'Loss Event Frequency'!BI3 - 'Loss Event Frequency'!BG3 )), 'Loss Event Frequency'!BG3 + SQRT( L20 * ( 'Loss Event Frequency'!BH3 - 'Loss Event Frequency'!BG3 ) * ( 'Loss Event Frequency'!BI3 - 'Loss Event Frequency'!BG3 )), 'Loss Event Frequency'!BI3 - SQRT(( 1 - L20 ) * ( 'Loss Event Frequency'!BI3 - 'Loss Event Frequency'!BG3 ) * ( 'Loss Event Frequency'!BI3 - 'Loss Event Frequency'!BH3 ))))))</f>
        <v>2.1169902945345278</v>
      </c>
      <c r="M17" s="10"/>
      <c r="N17" s="10"/>
      <c r="O17" s="10"/>
      <c r="P17" s="10"/>
      <c r="Q17" s="10"/>
      <c r="R17" s="27"/>
      <c r="S17" s="16"/>
      <c r="U17" s="14"/>
      <c r="V17" s="26"/>
      <c r="W17" s="10"/>
      <c r="X17" s="10"/>
      <c r="Y17" s="10"/>
      <c r="Z17" s="10"/>
      <c r="AA17" s="10"/>
      <c r="AB17" s="27"/>
      <c r="AC17" s="10"/>
      <c r="AD17" s="26"/>
      <c r="AE17" s="10"/>
      <c r="AF17" s="10"/>
      <c r="AG17" s="10"/>
      <c r="AH17" s="27"/>
      <c r="AI17" s="16"/>
    </row>
    <row r="18" spans="1:35" ht="15.75" customHeight="1" x14ac:dyDescent="0.2">
      <c r="A18" s="10"/>
      <c r="B18" s="14"/>
      <c r="C18" s="26"/>
      <c r="F18" s="10"/>
      <c r="G18" s="10"/>
      <c r="H18" s="10"/>
      <c r="I18" s="27"/>
      <c r="J18" s="10"/>
      <c r="K18" s="26"/>
      <c r="L18" s="31" t="s">
        <v>201</v>
      </c>
      <c r="M18" s="10"/>
      <c r="N18" s="10">
        <f>IF(OR('Loss Event Frequency'!BV4,'Loss Event Frequency'!BV5),L19,L17)</f>
        <v>2.1169902945345278</v>
      </c>
      <c r="O18" s="10" t="s">
        <v>199</v>
      </c>
      <c r="P18" s="10"/>
      <c r="Q18" s="10"/>
      <c r="R18" s="27"/>
      <c r="S18" s="16"/>
      <c r="U18" s="14"/>
      <c r="V18" s="26"/>
      <c r="W18" s="10"/>
      <c r="X18" s="10"/>
      <c r="Y18" s="10"/>
      <c r="Z18" s="10"/>
      <c r="AA18" s="10"/>
      <c r="AB18" s="27"/>
      <c r="AC18" s="10"/>
      <c r="AD18" s="26"/>
      <c r="AE18" s="10"/>
      <c r="AF18" s="10"/>
      <c r="AG18" s="32"/>
      <c r="AH18" s="27"/>
      <c r="AI18" s="16"/>
    </row>
    <row r="19" spans="1:35" x14ac:dyDescent="0.2">
      <c r="A19" s="10"/>
      <c r="B19" s="14"/>
      <c r="C19" s="26"/>
      <c r="G19" s="10" t="s">
        <v>77</v>
      </c>
      <c r="H19" s="10" t="s">
        <v>34</v>
      </c>
      <c r="I19" s="27" t="s">
        <v>166</v>
      </c>
      <c r="J19" s="10"/>
      <c r="K19" s="29">
        <f>K12+1</f>
        <v>1002</v>
      </c>
      <c r="L19" s="200">
        <f>N24*P24</f>
        <v>9.4464385715022043</v>
      </c>
      <c r="M19" s="10"/>
      <c r="N19" s="10"/>
      <c r="O19" s="10"/>
      <c r="P19" s="10"/>
      <c r="Q19" s="10"/>
      <c r="R19" s="27"/>
      <c r="S19" s="16"/>
      <c r="U19" s="14"/>
      <c r="V19" s="26"/>
      <c r="Z19" s="10" t="s">
        <v>77</v>
      </c>
      <c r="AA19" s="10" t="s">
        <v>34</v>
      </c>
      <c r="AB19" s="27" t="s">
        <v>166</v>
      </c>
      <c r="AC19" s="10"/>
      <c r="AD19" s="26"/>
      <c r="AE19" s="10"/>
      <c r="AF19" s="10"/>
      <c r="AG19" s="10"/>
      <c r="AH19" s="27"/>
      <c r="AI19" s="16"/>
    </row>
    <row r="20" spans="1:35" x14ac:dyDescent="0.2">
      <c r="A20" s="10"/>
      <c r="B20" s="14"/>
      <c r="C20" s="26" t="s">
        <v>93</v>
      </c>
      <c r="G20" s="212">
        <f>K28+1</f>
        <v>1005</v>
      </c>
      <c r="H20" s="166">
        <f>IF(OR(I20,$L$12=0),0,'SUMS of IID Triangles'!I33)</f>
        <v>7.8622725089598973</v>
      </c>
      <c r="I20" s="27" t="b">
        <f>AND(Current_Calc!I20,'Loss Magnitude'!D18=0,'Loss Magnitude'!E18=0,'Loss Magnitude'!F18=0)</f>
        <v>0</v>
      </c>
      <c r="J20" s="10"/>
      <c r="K20" s="26"/>
      <c r="L20" s="225">
        <f>( MOD((( MOD( (K19+1000000)^2 + (K19+1000000)*(PM_Index+10000000), 99999989 )) + 1000007 ) * (( MOD( (PM_Index+10000000)^2 + (PM_Index+10000000) * ( MOD( (K19+1000000)^2 + (K19+1000000)*(PM_Index+10000000), 99999989 )), 99999989 )) + 1000013 ), 2147483647 ) + 0.5 ) / 2147483647</f>
        <v>0.87004897667563008</v>
      </c>
      <c r="M20" s="10"/>
      <c r="N20" s="10"/>
      <c r="O20" s="10"/>
      <c r="P20" s="10"/>
      <c r="Q20" s="10"/>
      <c r="R20" s="27"/>
      <c r="S20" s="16"/>
      <c r="U20" s="14"/>
      <c r="V20" s="26" t="s">
        <v>99</v>
      </c>
      <c r="Z20" s="165">
        <f>AD12+1</f>
        <v>2002</v>
      </c>
      <c r="AA20" s="166">
        <f>IF(OR(AB20,$AE$12=0),0,'SUMS of IID Triangles'!I39)</f>
        <v>0</v>
      </c>
      <c r="AB20" s="27" t="b">
        <f>AND(Current_Calc!AB20,'Loss Magnitude'!K22=0,'Loss Magnitude'!L22=0,'Loss Magnitude'!M22=0)</f>
        <v>1</v>
      </c>
      <c r="AC20" s="10"/>
      <c r="AD20" s="26"/>
      <c r="AE20" s="10"/>
      <c r="AF20" s="10"/>
      <c r="AG20" s="10"/>
      <c r="AH20" s="27"/>
      <c r="AI20" s="16"/>
    </row>
    <row r="21" spans="1:35" x14ac:dyDescent="0.2">
      <c r="A21" s="10"/>
      <c r="B21" s="14"/>
      <c r="C21" s="26" t="s">
        <v>94</v>
      </c>
      <c r="G21" s="212">
        <f>G20+1</f>
        <v>1006</v>
      </c>
      <c r="H21" s="166">
        <f>IF(OR(I21,$L$12=0),0,'SUMS of IID Triangles'!I34)</f>
        <v>0</v>
      </c>
      <c r="I21" s="27" t="b">
        <f>AND(Current_Calc!I21,'Loss Magnitude'!D19=0,'Loss Magnitude'!E19=0,'Loss Magnitude'!F19=0)</f>
        <v>1</v>
      </c>
      <c r="J21" s="10"/>
      <c r="K21" s="7" t="s">
        <v>126</v>
      </c>
      <c r="L21" s="7" t="s">
        <v>125</v>
      </c>
      <c r="M21" s="10"/>
      <c r="N21" s="10"/>
      <c r="O21" s="10"/>
      <c r="P21" s="10"/>
      <c r="Q21" s="10"/>
      <c r="R21" s="27"/>
      <c r="S21" s="16"/>
      <c r="U21" s="14"/>
      <c r="V21" s="26" t="s">
        <v>100</v>
      </c>
      <c r="Z21" s="165">
        <f>Z20+1</f>
        <v>2003</v>
      </c>
      <c r="AA21" s="166">
        <f>IF(OR(AB21,$AE$12=0),0,'SUMS of IID Triangles'!I40)</f>
        <v>0</v>
      </c>
      <c r="AB21" s="27" t="b">
        <f>AND(Current_Calc!AB21,'Loss Magnitude'!K23=0,'Loss Magnitude'!L23=0,'Loss Magnitude'!M23=0)</f>
        <v>1</v>
      </c>
      <c r="AC21" s="10"/>
      <c r="AD21" s="26"/>
      <c r="AE21" s="10"/>
      <c r="AF21" s="10"/>
      <c r="AG21" s="10"/>
      <c r="AH21" s="27"/>
      <c r="AI21" s="16"/>
    </row>
    <row r="22" spans="1:35" x14ac:dyDescent="0.2">
      <c r="A22" s="10"/>
      <c r="B22" s="14"/>
      <c r="C22" s="26" t="s">
        <v>95</v>
      </c>
      <c r="G22" s="212">
        <f t="shared" ref="G22:G25" si="0">G21+1</f>
        <v>1007</v>
      </c>
      <c r="H22" s="166">
        <f>IF(OR(I22,$L$12=0),0,'SUMS of IID Triangles'!I35)</f>
        <v>0</v>
      </c>
      <c r="I22" s="27" t="b">
        <f>AND(Current_Calc!I22,'Loss Magnitude'!D20=0,'Loss Magnitude'!E20=0,'Loss Magnitude'!F20=0)</f>
        <v>1</v>
      </c>
      <c r="J22" s="10"/>
      <c r="K22" s="26"/>
      <c r="L22" s="7">
        <f>IF( 'Loss Event Frequency'!BG4 &gt; 'Loss Event Frequency'!BH4, NA(), IF( 'Loss Event Frequency'!BH4 &gt; 'Loss Event Frequency'!BI4, NA(), IF( 'Loss Event Frequency'!BG4 = 'Loss Event Frequency'!BI4, 'Loss Event Frequency'!BH4, IF( L26 &lt; (( 'Loss Event Frequency'!BH4 - 'Loss Event Frequency'!BG4 ) / ( 'Loss Event Frequency'!BI4 - 'Loss Event Frequency'!BG4 )), 'Loss Event Frequency'!BG4 + SQRT( L26 * ( 'Loss Event Frequency'!BH4 - 'Loss Event Frequency'!BG4 ) * ( 'Loss Event Frequency'!BI4 - 'Loss Event Frequency'!BG4 )), 'Loss Event Frequency'!BI4 - SQRT(( 1 - L26 ) * ( 'Loss Event Frequency'!BI4 - 'Loss Event Frequency'!BG4 ) * ( 'Loss Event Frequency'!BI4 - 'Loss Event Frequency'!BH4 ))))))</f>
        <v>6.6775789503897309</v>
      </c>
      <c r="M22" s="10"/>
      <c r="N22" s="10"/>
      <c r="O22" s="10"/>
      <c r="P22" s="10"/>
      <c r="Q22" s="10"/>
      <c r="R22" s="27"/>
      <c r="S22" s="16"/>
      <c r="U22" s="14"/>
      <c r="V22" s="26" t="s">
        <v>101</v>
      </c>
      <c r="Z22" s="165">
        <f t="shared" ref="Z22:Z25" si="1">Z21+1</f>
        <v>2004</v>
      </c>
      <c r="AA22" s="166">
        <f>IF(OR(AB22,$AE$12=0),0,'SUMS of IID Triangles'!I41)</f>
        <v>0</v>
      </c>
      <c r="AB22" s="27" t="b">
        <f>AND(Current_Calc!AB22,'Loss Magnitude'!K24=0,'Loss Magnitude'!L24=0,'Loss Magnitude'!M24=0)</f>
        <v>1</v>
      </c>
      <c r="AC22" s="10"/>
      <c r="AD22" s="26"/>
      <c r="AE22" s="10"/>
      <c r="AF22" s="10"/>
      <c r="AG22" s="10"/>
      <c r="AH22" s="27"/>
      <c r="AI22" s="16"/>
    </row>
    <row r="23" spans="1:35" x14ac:dyDescent="0.2">
      <c r="A23" s="10"/>
      <c r="B23" s="14"/>
      <c r="C23" s="26" t="s">
        <v>96</v>
      </c>
      <c r="G23" s="212">
        <f t="shared" si="0"/>
        <v>1008</v>
      </c>
      <c r="H23" s="166">
        <f>IF(OR(I23,$L$12=0),0,'SUMS of IID Triangles'!I36)</f>
        <v>0</v>
      </c>
      <c r="I23" s="27" t="b">
        <f>AND(Current_Calc!I23,'Loss Magnitude'!D21=0,'Loss Magnitude'!E21=0,'Loss Magnitude'!F21=0)</f>
        <v>1</v>
      </c>
      <c r="J23" s="10"/>
      <c r="K23" s="26"/>
      <c r="L23" s="31" t="s">
        <v>204</v>
      </c>
      <c r="M23" s="10"/>
      <c r="N23" s="10" t="s">
        <v>126</v>
      </c>
      <c r="O23" s="10"/>
      <c r="P23" s="10" t="s">
        <v>200</v>
      </c>
      <c r="Q23" s="10"/>
      <c r="R23" s="27"/>
      <c r="S23" s="16"/>
      <c r="U23" s="14"/>
      <c r="V23" s="26" t="s">
        <v>102</v>
      </c>
      <c r="Z23" s="165">
        <f t="shared" si="1"/>
        <v>2005</v>
      </c>
      <c r="AA23" s="166">
        <f>IF(OR(AB23,$AE$12=0),0,'SUMS of IID Triangles'!I42)</f>
        <v>0</v>
      </c>
      <c r="AB23" s="27" t="b">
        <f>AND(Current_Calc!AB23,'Loss Magnitude'!K25=0,'Loss Magnitude'!L25=0,'Loss Magnitude'!M25=0)</f>
        <v>0</v>
      </c>
      <c r="AC23" s="10"/>
      <c r="AD23" s="26"/>
      <c r="AE23" s="10"/>
      <c r="AF23" s="10"/>
      <c r="AG23" s="10"/>
      <c r="AH23" s="27"/>
      <c r="AI23" s="16"/>
    </row>
    <row r="24" spans="1:35" x14ac:dyDescent="0.2">
      <c r="A24" s="10"/>
      <c r="B24" s="14"/>
      <c r="C24" s="26" t="s">
        <v>97</v>
      </c>
      <c r="G24" s="212">
        <f t="shared" si="0"/>
        <v>1009</v>
      </c>
      <c r="H24" s="166">
        <f>IF(OR(I24,$L$12=0),0,'SUMS of IID Triangles'!I37)</f>
        <v>0</v>
      </c>
      <c r="I24" s="27" t="b">
        <f>AND(Current_Calc!I24,'Loss Magnitude'!D22=0,'Loss Magnitude'!E22=0,'Loss Magnitude'!F22=0)</f>
        <v>1</v>
      </c>
      <c r="J24" s="10"/>
      <c r="K24" s="29">
        <f>K19+1</f>
        <v>1003</v>
      </c>
      <c r="L24" s="10" t="s">
        <v>29</v>
      </c>
      <c r="M24" s="10"/>
      <c r="N24" s="10">
        <f>IF(OR(TEF_CF,TEF_PoA),L25,L22)</f>
        <v>18.892877143004409</v>
      </c>
      <c r="O24" s="10"/>
      <c r="P24" s="10">
        <f>IF(OR(Vul_TC,Vul_RS),P33,P31)</f>
        <v>0.5</v>
      </c>
      <c r="Q24" s="10"/>
      <c r="R24" s="27"/>
      <c r="S24" s="16"/>
      <c r="U24" s="14"/>
      <c r="V24" s="26" t="s">
        <v>103</v>
      </c>
      <c r="Z24" s="165">
        <f t="shared" si="1"/>
        <v>2006</v>
      </c>
      <c r="AA24" s="166">
        <f>IF(OR(AB24,$AE$12=0),0,'SUMS of IID Triangles'!I43)</f>
        <v>0</v>
      </c>
      <c r="AB24" s="27" t="b">
        <f>AND(Current_Calc!AB24,'Loss Magnitude'!K26=0,'Loss Magnitude'!L26=0,'Loss Magnitude'!M26=0)</f>
        <v>1</v>
      </c>
      <c r="AC24" s="10"/>
      <c r="AD24" s="26"/>
      <c r="AE24" s="10"/>
      <c r="AF24" s="10"/>
      <c r="AG24" s="10"/>
      <c r="AH24" s="27"/>
      <c r="AI24" s="16"/>
    </row>
    <row r="25" spans="1:35" x14ac:dyDescent="0.2">
      <c r="A25" s="10"/>
      <c r="B25" s="14"/>
      <c r="C25" s="26" t="s">
        <v>98</v>
      </c>
      <c r="G25" s="212">
        <f t="shared" si="0"/>
        <v>1010</v>
      </c>
      <c r="H25" s="166">
        <f>IF(OR(I25,$L$12=0),0,'SUMS of IID Triangles'!I38)</f>
        <v>0</v>
      </c>
      <c r="I25" s="27" t="b">
        <f>AND(Current_Calc!I25,'Loss Magnitude'!D23=0,'Loss Magnitude'!E23=0,'Loss Magnitude'!F23=0)</f>
        <v>1</v>
      </c>
      <c r="J25" s="10"/>
      <c r="K25" s="26"/>
      <c r="L25" s="199">
        <f>L33*N33</f>
        <v>18.892877143004409</v>
      </c>
      <c r="M25" s="10"/>
      <c r="N25" s="10"/>
      <c r="O25" s="10"/>
      <c r="P25"/>
      <c r="Q25"/>
      <c r="R25" s="27"/>
      <c r="S25" s="16"/>
      <c r="U25" s="14"/>
      <c r="V25" s="26" t="s">
        <v>104</v>
      </c>
      <c r="Z25" s="165">
        <f t="shared" si="1"/>
        <v>2007</v>
      </c>
      <c r="AA25" s="166">
        <f>IF(OR(AB25,$AE$12=0),0,'SUMS of IID Triangles'!I44)</f>
        <v>0</v>
      </c>
      <c r="AB25" s="27" t="b">
        <f>AND(Current_Calc!AB25,'Loss Magnitude'!K27=0,'Loss Magnitude'!L27=0,'Loss Magnitude'!M27=0)</f>
        <v>0</v>
      </c>
      <c r="AC25" s="10"/>
      <c r="AD25" s="26"/>
      <c r="AE25" s="10"/>
      <c r="AF25" s="10"/>
      <c r="AG25" s="10"/>
      <c r="AH25" s="27"/>
      <c r="AI25" s="16"/>
    </row>
    <row r="26" spans="1:35" x14ac:dyDescent="0.2">
      <c r="A26" s="10"/>
      <c r="B26" s="14"/>
      <c r="C26" s="26"/>
      <c r="D26" s="10"/>
      <c r="E26" s="10"/>
      <c r="F26" s="10"/>
      <c r="G26" s="10"/>
      <c r="H26" s="10"/>
      <c r="I26" s="27"/>
      <c r="J26" s="10"/>
      <c r="K26" s="26"/>
      <c r="L26" s="29">
        <f>( MOD((( MOD( (K24+1000000)^2 + (K24+1000000)*(PM_Index+10000000), 99999989 )) + 1000007 ) * (( MOD( (PM_Index+10000000)^2 + (PM_Index+10000000) * ( MOD( (K24+1000000)^2 + (K24+1000000)*(PM_Index+10000000), 99999989 )), 99999989 )) + 1000013 ), 2147483647 ) + 0.5 ) / 2147483647</f>
        <v>0.6065532523703544</v>
      </c>
      <c r="M26" s="10"/>
      <c r="P26"/>
      <c r="Q26"/>
      <c r="R26" s="40"/>
      <c r="S26" s="41"/>
      <c r="T26" s="42"/>
      <c r="U26" s="47"/>
      <c r="V26" s="26"/>
      <c r="W26" s="10"/>
      <c r="X26" s="10"/>
      <c r="Y26" s="10"/>
      <c r="Z26" s="10"/>
      <c r="AA26" s="10"/>
      <c r="AB26" s="27"/>
      <c r="AC26" s="10"/>
      <c r="AD26" s="26"/>
      <c r="AE26" s="10"/>
      <c r="AF26" s="10"/>
      <c r="AG26" s="10"/>
      <c r="AH26" s="27"/>
      <c r="AI26" s="16"/>
    </row>
    <row r="27" spans="1:35" x14ac:dyDescent="0.2">
      <c r="A27" s="10"/>
      <c r="B27" s="14"/>
      <c r="C27" s="26"/>
      <c r="D27" s="10"/>
      <c r="E27" s="10"/>
      <c r="F27" s="10"/>
      <c r="G27" s="10"/>
      <c r="H27" s="10"/>
      <c r="I27" s="27"/>
      <c r="J27" s="10"/>
      <c r="K27" s="26"/>
      <c r="L27" s="29">
        <f>( MOD((( MOD( (K25+1000000)^2 + (K25+1000000)*(PM_Index+10000000), 99999989 )) + 1000007 ) * (( MOD( (PM_Index+10000000)^2 + (PM_Index+10000000) * ( MOD( (K25+1000000)^2 + (K25+1000000)*(PM_Index+10000000), 99999989 )), 99999989 )) + 1000013 ), 2147483647 ) + 0.5 ) / 2147483647</f>
        <v>0.10807109466198417</v>
      </c>
      <c r="M27" s="10"/>
      <c r="Q27"/>
      <c r="R27" s="43"/>
      <c r="S27" s="44"/>
      <c r="T27" s="32"/>
      <c r="U27" s="48"/>
      <c r="V27" s="26"/>
      <c r="W27" s="10"/>
      <c r="X27" s="10"/>
      <c r="Y27" s="10"/>
      <c r="Z27" s="10"/>
      <c r="AA27" s="10"/>
      <c r="AB27" s="27"/>
      <c r="AC27" s="10"/>
      <c r="AD27" s="26"/>
      <c r="AE27" s="10"/>
      <c r="AF27" s="10"/>
      <c r="AG27" s="10"/>
      <c r="AH27" s="27"/>
      <c r="AI27" s="16"/>
    </row>
    <row r="28" spans="1:35" x14ac:dyDescent="0.2">
      <c r="A28" s="10"/>
      <c r="B28" s="14"/>
      <c r="C28" s="26"/>
      <c r="D28" s="10"/>
      <c r="E28" s="10"/>
      <c r="F28" s="10"/>
      <c r="G28" s="10"/>
      <c r="H28" s="10"/>
      <c r="I28" s="27"/>
      <c r="J28" s="10"/>
      <c r="K28" s="29">
        <f>K24+1</f>
        <v>1004</v>
      </c>
      <c r="L28" s="29">
        <f>( MOD((( MOD( (K26+1000000)^2 + (K26+1000000)*(PM_Index+10000000), 99999989 )) + 1000007 ) * (( MOD( (PM_Index+10000000)^2 + (PM_Index+10000000) * ( MOD( (K26+1000000)^2 + (K26+1000000)*(PM_Index+10000000), 99999989 )), 99999989 )) + 1000013 ), 2147483647 ) + 0.5 ) / 2147483647</f>
        <v>0.10807109466198417</v>
      </c>
      <c r="M28" s="10"/>
      <c r="P28"/>
      <c r="Q28"/>
      <c r="R28" s="43"/>
      <c r="S28" s="44"/>
      <c r="T28" s="32"/>
      <c r="U28" s="48"/>
      <c r="V28" s="26"/>
      <c r="W28" s="10"/>
      <c r="X28" s="10"/>
      <c r="Y28" s="10"/>
      <c r="Z28" s="10"/>
      <c r="AA28" s="10"/>
      <c r="AB28" s="27"/>
      <c r="AC28" s="10"/>
      <c r="AD28" s="26"/>
      <c r="AE28" s="10"/>
      <c r="AF28" s="10"/>
      <c r="AG28" s="10"/>
      <c r="AH28" s="27"/>
      <c r="AI28" s="16"/>
    </row>
    <row r="29" spans="1:35" x14ac:dyDescent="0.2">
      <c r="A29" s="10"/>
      <c r="B29" s="14"/>
      <c r="C29" s="26"/>
      <c r="D29" s="10"/>
      <c r="E29" s="10"/>
      <c r="F29" s="10"/>
      <c r="G29" s="10"/>
      <c r="H29" s="10"/>
      <c r="I29" s="27"/>
      <c r="J29" s="10"/>
      <c r="K29" s="26"/>
      <c r="L29" s="29">
        <f>( MOD((( MOD( (K27+1000000)^2 + (K27+1000000)*(PM_Index+10000000), 99999989 )) + 1000007 ) * (( MOD( (PM_Index+10000000)^2 + (PM_Index+10000000) * ( MOD( (K27+1000000)^2 + (K27+1000000)*(PM_Index+10000000), 99999989 )), 99999989 )) + 1000013 ), 2147483647 ) + 0.5 ) / 2147483647</f>
        <v>0.10807109466198417</v>
      </c>
      <c r="M29" s="10"/>
      <c r="N29" s="10"/>
      <c r="O29" s="10"/>
      <c r="P29" t="s">
        <v>127</v>
      </c>
      <c r="Q29"/>
      <c r="R29" s="27"/>
      <c r="S29" s="16"/>
      <c r="U29" s="14"/>
      <c r="V29" s="26"/>
      <c r="W29" s="10"/>
      <c r="X29" s="10"/>
      <c r="Y29" s="10"/>
      <c r="Z29" s="10"/>
      <c r="AA29" s="10"/>
      <c r="AB29" s="27"/>
      <c r="AC29" s="10"/>
      <c r="AD29" s="26"/>
      <c r="AE29" s="10"/>
      <c r="AF29" s="10">
        <f>Z25+1</f>
        <v>2008</v>
      </c>
      <c r="AG29" s="10">
        <f>( MOD((( MOD( (AF29+1000000)^2 + (AF29+1000000)*(PM_Index+10000000), 99999989 )) + 1000007 ) * (( MOD( (PM_Index+10000000)^2 + (PM_Index+10000000) * ( MOD( (AF29+1000000)^2 + (AF29+1000000)*(PM_Index+10000000), 99999989 )), 99999989 )) + 1000013 ), 2147483647 ) + 0.5 ) / 2147483647</f>
        <v>0.56949394199507963</v>
      </c>
      <c r="AH29" s="27"/>
      <c r="AI29" s="16"/>
    </row>
    <row r="30" spans="1:35" ht="16" customHeight="1" x14ac:dyDescent="0.2">
      <c r="A30" s="10"/>
      <c r="B30" s="14"/>
      <c r="C30" s="26"/>
      <c r="F30" s="10"/>
      <c r="G30" s="10"/>
      <c r="H30" s="10"/>
      <c r="I30" s="27"/>
      <c r="J30" s="10"/>
      <c r="K30" s="26"/>
      <c r="L30" s="29">
        <f>( MOD((( MOD( (K28+1000000)^2 + (K28+1000000)*(PM_Index+10000000), 99999989 )) + 1000007 ) * (( MOD( (PM_Index+10000000)^2 + (PM_Index+10000000) * ( MOD( (K28+1000000)^2 + (K28+1000000)*(PM_Index+10000000), 99999989 )), 99999989 )) + 1000013 ), 2147483647 ) + 0.5 ) / 2147483647</f>
        <v>0.88763827103545812</v>
      </c>
      <c r="M30" s="10"/>
      <c r="P30" t="s">
        <v>125</v>
      </c>
      <c r="Q30"/>
      <c r="R30" s="27"/>
      <c r="S30" s="16"/>
      <c r="U30" s="14"/>
      <c r="V30" s="26"/>
      <c r="W30" s="10"/>
      <c r="X30" s="10"/>
      <c r="Y30" s="10"/>
      <c r="Z30" s="10"/>
      <c r="AA30" s="10"/>
      <c r="AB30" s="27"/>
      <c r="AC30" s="10"/>
      <c r="AD30" s="26"/>
      <c r="AE30" s="10"/>
      <c r="AF30" s="10"/>
      <c r="AG30" s="10"/>
      <c r="AH30" s="27"/>
      <c r="AI30" s="16"/>
    </row>
    <row r="31" spans="1:35" x14ac:dyDescent="0.2">
      <c r="A31" s="10"/>
      <c r="B31" s="14"/>
      <c r="C31" s="26"/>
      <c r="F31" s="10"/>
      <c r="G31" s="10"/>
      <c r="H31" s="10"/>
      <c r="I31" s="27"/>
      <c r="J31" s="10"/>
      <c r="K31" s="26"/>
      <c r="P31" s="7">
        <f>IF( 'Loss Event Frequency'!BM3 &gt; 'Loss Event Frequency'!BN3, NA(), IF( 'Loss Event Frequency'!BN3 &gt; 'Loss Event Frequency'!BO3, NA(), IF( 'Loss Event Frequency'!BM3 = 'Loss Event Frequency'!BO3, 'Loss Event Frequency'!BN3, IF( Q34 &lt; (( 'Loss Event Frequency'!BN3 - 'Loss Event Frequency'!BM3 ) / ( 'Loss Event Frequency'!BO3 - 'Loss Event Frequency'!BM3 )), 'Loss Event Frequency'!BM3 + SQRT( Q34 * ( 'Loss Event Frequency'!BN3 - 'Loss Event Frequency'!BM3 ) * ( 'Loss Event Frequency'!BO3 - 'Loss Event Frequency'!BM3 )), 'Loss Event Frequency'!BO3 - SQRT(( 1 - Q34 ) * ( 'Loss Event Frequency'!BO3 - 'Loss Event Frequency'!BM3 ) * ( 'Loss Event Frequency'!BO3 - 'Loss Event Frequency'!BN3 ))))))</f>
        <v>0.57710977578143796</v>
      </c>
      <c r="Q31"/>
      <c r="R31" s="27"/>
      <c r="S31" s="16"/>
      <c r="U31" s="14"/>
      <c r="V31" s="26"/>
      <c r="W31" s="10"/>
      <c r="X31" s="10"/>
      <c r="Y31" s="10"/>
      <c r="Z31" s="10"/>
      <c r="AA31" s="10"/>
      <c r="AB31" s="27"/>
      <c r="AC31" s="10"/>
      <c r="AD31" s="26"/>
      <c r="AF31" s="10"/>
      <c r="AG31" s="10" t="s">
        <v>24</v>
      </c>
      <c r="AH31" s="27"/>
      <c r="AI31" s="16"/>
    </row>
    <row r="32" spans="1:35" x14ac:dyDescent="0.2">
      <c r="A32" s="10"/>
      <c r="B32" s="14"/>
      <c r="C32" s="26"/>
      <c r="F32" s="10"/>
      <c r="G32" s="10"/>
      <c r="H32" s="10"/>
      <c r="I32" s="27"/>
      <c r="J32" s="10"/>
      <c r="K32" s="26"/>
      <c r="L32" s="10" t="s">
        <v>26</v>
      </c>
      <c r="M32" s="10"/>
      <c r="N32" s="10" t="s">
        <v>27</v>
      </c>
      <c r="O32" s="10"/>
      <c r="P32" s="10" t="s">
        <v>28</v>
      </c>
      <c r="Q32"/>
      <c r="R32" s="27"/>
      <c r="S32" s="16"/>
      <c r="U32" s="14"/>
      <c r="V32" s="26"/>
      <c r="W32" s="10"/>
      <c r="X32" s="10"/>
      <c r="Y32" s="10"/>
      <c r="Z32" s="10"/>
      <c r="AA32" s="10"/>
      <c r="AB32" s="27"/>
      <c r="AC32" s="10"/>
      <c r="AD32" s="26"/>
      <c r="AF32" s="10"/>
      <c r="AG32" s="58">
        <f>IF( 'Loss Magnitude'!BH14 &gt; 'Loss Magnitude'!BI14, NA(), IF( 'Loss Magnitude'!BI14 &gt; 'Loss Magnitude'!BJ14, NA(), IF( 'Loss Magnitude'!BH14 = 'Loss Magnitude'!BJ14, 'Loss Magnitude'!BI14, IF( AG29 &lt; (( 'Loss Magnitude'!BI14 - 'Loss Magnitude'!BH14 ) / ( 'Loss Magnitude'!BJ14 - 'Loss Magnitude'!BH14 )), 'Loss Magnitude'!BH14 + SQRT( AG29 * ( 'Loss Magnitude'!BI14 - 'Loss Magnitude'!BH14 ) * ( 'Loss Magnitude'!BJ14 - 'Loss Magnitude'!BH14 )), 'Loss Magnitude'!BJ14 - SQRT(( 1 - AG29 ) * ( 'Loss Magnitude'!BJ14 - 'Loss Magnitude'!BH14 ) * ( 'Loss Magnitude'!BJ14 - 'Loss Magnitude'!BI14 ))))))</f>
        <v>2.9227400038193945E-2</v>
      </c>
      <c r="AH32" s="27"/>
      <c r="AI32" s="16"/>
    </row>
    <row r="33" spans="1:35" x14ac:dyDescent="0.2">
      <c r="A33" s="10"/>
      <c r="B33" s="14"/>
      <c r="C33" s="26"/>
      <c r="F33" s="10"/>
      <c r="G33" s="10"/>
      <c r="H33" s="10"/>
      <c r="I33" s="27"/>
      <c r="J33" s="10"/>
      <c r="K33" s="26"/>
      <c r="L33" s="227">
        <f>IF( 'Loss Event Frequency'!BC17 &gt; 'Loss Event Frequency'!BC18, NA(), IF( 'Loss Event Frequency'!BC18 &gt; 'Loss Event Frequency'!BC19, NA(), IF( 'Loss Event Frequency'!BC17 = 'Loss Event Frequency'!BC19, 'Loss Event Frequency'!BC18, IF( L34 &lt; (( 'Loss Event Frequency'!BC18 - 'Loss Event Frequency'!BC17 ) / ( 'Loss Event Frequency'!BC19 - 'Loss Event Frequency'!BC17 )), 'Loss Event Frequency'!BC17 + SQRT( L34 * ( 'Loss Event Frequency'!BC18 - 'Loss Event Frequency'!BC17 ) * ( 'Loss Event Frequency'!BC19 - 'Loss Event Frequency'!BC17 )), 'Loss Event Frequency'!BC19 - SQRT(( 1 - L34 ) * ( 'Loss Event Frequency'!BC19 - 'Loss Event Frequency'!BC17 ) * ( 'Loss Event Frequency'!BC19 - 'Loss Event Frequency'!BC18 ))))))</f>
        <v>39.393963785330378</v>
      </c>
      <c r="M33" s="10"/>
      <c r="N33" s="228">
        <f>IF( 'Loss Event Frequency'!BE17 &gt; 'Loss Event Frequency'!BE18, NA(), IF( 'Loss Event Frequency'!BE18 &gt; 'Loss Event Frequency'!BE19, NA(), IF( 'Loss Event Frequency'!BE17 = 'Loss Event Frequency'!BE19, 'Loss Event Frequency'!BE18, IF( N34 &lt; (( 'Loss Event Frequency'!BE18 - 'Loss Event Frequency'!BE17 ) / ( 'Loss Event Frequency'!BE19 - 'Loss Event Frequency'!BE17 )), 'Loss Event Frequency'!BE17 + SQRT( N34 * ( 'Loss Event Frequency'!BE18 - 'Loss Event Frequency'!BE17 ) * ( 'Loss Event Frequency'!BE19 - 'Loss Event Frequency'!BE17 )), 'Loss Event Frequency'!BE19 - SQRT(( 1 - N34 ) * ( 'Loss Event Frequency'!BE19 - 'Loss Event Frequency'!BE17 ) * ( 'Loss Event Frequency'!BE19 - 'Loss Event Frequency'!BE18 ))))))</f>
        <v>0.47958812283926056</v>
      </c>
      <c r="O33" s="10"/>
      <c r="P33" s="228">
        <f>Vulnerability!J35</f>
        <v>0.5</v>
      </c>
      <c r="Q33"/>
      <c r="R33" s="27"/>
      <c r="S33" s="16"/>
      <c r="U33" s="14"/>
      <c r="V33" s="33"/>
      <c r="W33" s="34"/>
      <c r="X33" s="34"/>
      <c r="Y33" s="34"/>
      <c r="Z33" s="34"/>
      <c r="AA33" s="34"/>
      <c r="AB33" s="35"/>
      <c r="AC33" s="10"/>
      <c r="AD33" s="33"/>
      <c r="AE33" s="34"/>
      <c r="AF33" s="34"/>
      <c r="AG33" s="34"/>
      <c r="AH33" s="35"/>
      <c r="AI33" s="16"/>
    </row>
    <row r="34" spans="1:35" x14ac:dyDescent="0.2">
      <c r="A34" s="10"/>
      <c r="B34" s="14"/>
      <c r="C34" s="33"/>
      <c r="D34" s="34"/>
      <c r="E34" s="34"/>
      <c r="F34" s="34"/>
      <c r="G34" s="34"/>
      <c r="H34" s="34"/>
      <c r="I34" s="35"/>
      <c r="J34" s="10"/>
      <c r="K34" s="33">
        <f>Current_Calc!K34</f>
        <v>1006</v>
      </c>
      <c r="L34" s="34">
        <f>( MOD((( MOD( (K34+1000000)^2 + (K34+1000000)*(PM_Index+10000000), 99999989 )) + 1000007 ) * (( MOD( (PM_Index+10000000)^2 + (PM_Index+10000000) * ( MOD( (K34+1000000)^2 + (K34+1000000)*(PM_Index+10000000), 99999989 )), 99999989 )) + 1000013 ), 2147483647 ) + 0.5 ) / 2147483647</f>
        <v>0.91667555245416033</v>
      </c>
      <c r="M34" s="34">
        <f>K34+1</f>
        <v>1007</v>
      </c>
      <c r="N34" s="34">
        <f>( MOD((( MOD( (M34+1000000)^2 + (M34+1000000)*(PM_Index+10000000), 99999989 )) + 1000007 ) * (( MOD( (PM_Index+10000000)^2 + (PM_Index+10000000) * ( MOD( (M34+1000000)^2 + (M34+1000000)*(PM_Index+10000000), 99999989 )), 99999989 )) + 1000013 ), 2147483647 ) + 0.5 ) / 2147483647</f>
        <v>0.67858205138639638</v>
      </c>
      <c r="O34" s="34"/>
      <c r="P34" s="197">
        <f>Current_Calc!P34</f>
        <v>1005</v>
      </c>
      <c r="Q34" s="197">
        <f>( MOD((( MOD( (P34+1000000)^2 + (P34+1000000)*(PM_Index+10000000), 99999989 )) + 1000007 ) * (( MOD( (PM_Index+10000000)^2 + (PM_Index+10000000) * ( MOD( (P34+1000000)^2 + (P34+1000000)*(PM_Index+10000000), 99999989 )), 99999989 )) + 1000013 ), 2147483647 ) + 0.5 ) / 2147483647</f>
        <v>0.99126729392039925</v>
      </c>
      <c r="R34" s="35"/>
      <c r="S34" s="16"/>
      <c r="U34" s="14"/>
      <c r="V34" s="10"/>
      <c r="W34" s="10"/>
      <c r="X34" s="10"/>
      <c r="Y34" s="10"/>
      <c r="Z34" s="10"/>
      <c r="AA34" s="10"/>
      <c r="AB34" s="10"/>
      <c r="AC34" s="10"/>
      <c r="AD34" s="10"/>
      <c r="AE34" s="10"/>
      <c r="AF34" s="10"/>
      <c r="AG34" s="10"/>
      <c r="AH34" s="10"/>
      <c r="AI34" s="16"/>
    </row>
    <row r="35" spans="1:35" ht="17" thickBot="1" x14ac:dyDescent="0.25">
      <c r="A35" s="10"/>
      <c r="B35" s="36"/>
      <c r="C35" s="37"/>
      <c r="D35" s="37"/>
      <c r="E35" s="37"/>
      <c r="F35" s="37"/>
      <c r="G35" s="37"/>
      <c r="H35" s="37"/>
      <c r="I35" s="37"/>
      <c r="J35" s="37"/>
      <c r="K35" s="37"/>
      <c r="L35" s="37"/>
      <c r="M35" s="37"/>
      <c r="N35" s="37"/>
      <c r="O35" s="37"/>
      <c r="P35" s="37"/>
      <c r="Q35" s="37"/>
      <c r="R35" s="37"/>
      <c r="S35" s="38"/>
      <c r="U35" s="36"/>
      <c r="V35" s="37"/>
      <c r="W35" s="37"/>
      <c r="X35" s="37"/>
      <c r="Y35" s="37"/>
      <c r="Z35" s="37"/>
      <c r="AA35" s="37"/>
      <c r="AB35" s="37"/>
      <c r="AC35" s="37"/>
      <c r="AD35" s="37"/>
      <c r="AE35" s="37"/>
      <c r="AF35" s="37"/>
      <c r="AG35" s="37"/>
      <c r="AH35" s="37"/>
      <c r="AI35" s="38"/>
    </row>
    <row r="36" spans="1:35" x14ac:dyDescent="0.2">
      <c r="A36" s="10"/>
    </row>
  </sheetData>
  <pageMargins left="0.7" right="0.7" top="0.75" bottom="0.75" header="0.3" footer="0.3"/>
  <pageSetup orientation="portrait" horizontalDpi="0" verticalDpi="0"/>
  <drawing r:id="rId1"/>
  <extLst>
    <ext xmlns:x14="http://schemas.microsoft.com/office/spreadsheetml/2009/9/main" uri="{05C60535-1F16-4fd2-B633-F4F36F0B64E0}">
      <x14:sparklineGroups xmlns:xm="http://schemas.microsoft.com/office/excel/2006/main">
        <x14:sparklineGroup manualMax="0" manualMin="0" type="column" displayEmptyCellsAs="gap" minAxisType="custom" xr2:uid="{00000000-0003-0000-0500-000007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PM_What_If_hist_data</xm:f>
              <xm:sqref>E5</xm:sqref>
            </x14:sparkline>
          </x14:sparklines>
        </x14:sparklineGroup>
        <x14:sparklineGroup manualMax="0" manualMin="0" type="column" displayEmptyCellsAs="gap" minAxisType="custom" xr2:uid="{00000000-0003-0000-0500-000008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JUNK</xm:f>
              <xm:sqref>X8</xm:sqref>
            </x14:sparkline>
          </x14:sparklines>
        </x14:sparklineGroup>
        <x14:sparklineGroup manualMax="0" manualMin="0" type="column" displayEmptyCellsAs="gap" minAxisType="custom" xr2:uid="{00000000-0003-0000-0500-000009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PM_Primary_hist_data</xm:f>
              <xm:sqref>E8</xm:sqref>
            </x14:sparkline>
          </x14:sparklines>
        </x14:sparklineGroup>
        <x14:sparklineGroup manualMax="0" manualMin="0" type="column" displayEmptyCellsAs="gap" minAxisType="custom" xr2:uid="{00000000-0003-0000-0500-00000A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PM_Pr_Mi_Mag1_hist_data</xm:f>
              <xm:sqref>H20</xm:sqref>
            </x14:sparkline>
            <x14:sparkline>
              <xm:f>PM_Pr_Mi_Mag1_hist_data</xm:f>
              <xm:sqref>H21</xm:sqref>
            </x14:sparkline>
            <x14:sparkline>
              <xm:f>PM_Pr_Mi_Mag1_hist_data</xm:f>
              <xm:sqref>H22</xm:sqref>
            </x14:sparkline>
            <x14:sparkline>
              <xm:f>PM_Pr_Mi_Mag1_hist_data</xm:f>
              <xm:sqref>H23</xm:sqref>
            </x14:sparkline>
            <x14:sparkline>
              <xm:f>PM_Pr_Mi_Mag1_hist_data</xm:f>
              <xm:sqref>H24</xm:sqref>
            </x14:sparkline>
            <x14:sparkline>
              <xm:f>PM_Pr_Mi_Mag1_hist_data</xm:f>
              <xm:sqref>H25</xm:sqref>
            </x14:sparkline>
          </x14:sparklines>
        </x14:sparklineGroup>
        <x14:sparklineGroup manualMax="0" manualMin="0" type="column" displayEmptyCellsAs="gap" minAxisType="custom" xr2:uid="{00000000-0003-0000-0500-00000B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PM_Se_Mi_Mag1_hist_data</xm:f>
              <xm:sqref>AA20</xm:sqref>
            </x14:sparkline>
            <x14:sparkline>
              <xm:f>PM_Se_Mi_Mag1_hist_data</xm:f>
              <xm:sqref>AA21</xm:sqref>
            </x14:sparkline>
            <x14:sparkline>
              <xm:f>PM_Se_Mi_Mag1_hist_data</xm:f>
              <xm:sqref>AA22</xm:sqref>
            </x14:sparkline>
            <x14:sparkline>
              <xm:f>PM_Se_Mi_Mag1_hist_data</xm:f>
              <xm:sqref>AA23</xm:sqref>
            </x14:sparkline>
            <x14:sparkline>
              <xm:f>PM_Se_Mi_Mag1_hist_data</xm:f>
              <xm:sqref>AA24</xm:sqref>
            </x14:sparkline>
            <x14:sparkline>
              <xm:f>PM_Se_Mi_Mag1_hist_data</xm:f>
              <xm:sqref>AA25</xm:sqref>
            </x14:sparkline>
          </x14:sparklines>
        </x14:sparklineGroup>
        <x14:sparklineGroup manualMax="0" manualMin="0" type="column" displayEmptyCellsAs="gap" minAxisType="custom" xr2:uid="{00000000-0003-0000-0500-00000C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PM_Proposed_Loss_Events_hist_data</xm:f>
              <xm:sqref>L12</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AF51"/>
  <sheetViews>
    <sheetView zoomScale="70" zoomScaleNormal="70" workbookViewId="0">
      <selection activeCell="D17" sqref="D17"/>
    </sheetView>
  </sheetViews>
  <sheetFormatPr baseColWidth="10" defaultColWidth="8.83203125" defaultRowHeight="15" x14ac:dyDescent="0.2"/>
  <cols>
    <col min="1" max="2" width="8.83203125" style="59"/>
    <col min="3" max="3" width="10.33203125" style="59" customWidth="1"/>
    <col min="4" max="10" width="8.83203125" style="59"/>
    <col min="11" max="11" width="6.33203125" style="59" customWidth="1"/>
    <col min="12" max="12" width="4.33203125" style="59" customWidth="1"/>
    <col min="13" max="13" width="4" style="59" customWidth="1"/>
    <col min="14" max="24" width="3.83203125" style="59" customWidth="1"/>
    <col min="25" max="25" width="4.5" style="59" customWidth="1"/>
    <col min="26" max="32" width="3.83203125" style="59" customWidth="1"/>
    <col min="33" max="16384" width="8.83203125" style="59"/>
  </cols>
  <sheetData>
    <row r="2" spans="4:32" x14ac:dyDescent="0.2">
      <c r="E2" s="229" t="s">
        <v>156</v>
      </c>
    </row>
    <row r="3" spans="4:32" x14ac:dyDescent="0.2">
      <c r="J3" s="60"/>
    </row>
    <row r="4" spans="4:32" ht="16" x14ac:dyDescent="0.2">
      <c r="J4" s="61"/>
    </row>
    <row r="5" spans="4:32" x14ac:dyDescent="0.2">
      <c r="J5" s="62"/>
      <c r="L5" s="63">
        <v>0</v>
      </c>
      <c r="M5" s="64">
        <v>0.05</v>
      </c>
      <c r="N5" s="64">
        <v>0.1</v>
      </c>
      <c r="O5" s="64">
        <v>0.15</v>
      </c>
      <c r="P5" s="64">
        <v>0.2</v>
      </c>
      <c r="Q5" s="64">
        <v>0.25</v>
      </c>
      <c r="R5" s="64">
        <v>0.3</v>
      </c>
      <c r="S5" s="64">
        <v>0.35</v>
      </c>
      <c r="T5" s="64">
        <v>0.4</v>
      </c>
      <c r="U5" s="64">
        <v>0.45</v>
      </c>
      <c r="V5" s="64">
        <v>0.5</v>
      </c>
      <c r="W5" s="64">
        <v>0.55000000000000004</v>
      </c>
      <c r="X5" s="64">
        <v>0.6</v>
      </c>
      <c r="Y5" s="64">
        <v>0.65</v>
      </c>
      <c r="Z5" s="64">
        <v>0.7</v>
      </c>
      <c r="AA5" s="64">
        <v>0.75</v>
      </c>
      <c r="AB5" s="64">
        <v>0.8</v>
      </c>
      <c r="AC5" s="64">
        <v>0.85</v>
      </c>
      <c r="AD5" s="64">
        <v>0.9</v>
      </c>
      <c r="AE5" s="64">
        <v>0.95</v>
      </c>
      <c r="AF5" s="65">
        <v>1</v>
      </c>
    </row>
    <row r="6" spans="4:32" x14ac:dyDescent="0.2">
      <c r="D6" s="229" t="s">
        <v>115</v>
      </c>
      <c r="K6" s="66">
        <v>0</v>
      </c>
      <c r="L6" s="67"/>
      <c r="M6" s="67">
        <f t="shared" ref="M6:AF6" si="0">IF( $E$8 &gt; $E$9, NA(), IF( $E$9 &gt; $E$10, NA(), IF( $E$8 = $E$10, $E$9, IF( M$5 &lt; (( $E$9 - $E$8 ) / ( $E$10 - $E$8 )), $E$8 + SQRT( M$5 * ( $E$9 - $E$8 ) * ( $E$10 - $E$8 )), $E$10 - SQRT(( 1 - M$5 ) * ( $E$10 - $E$8 ) * ( $E$10 - $E$9 ))))))-IF( $D$8 &gt; $D$9, NA(), IF( $D$9 &gt; $D$10, NA(), IF( $D$8 = $D$10, $D$9, IF( $K6 &lt; (( $D$9 - $D$8 ) / ( $D$10 - $D$8 )), $D$8 + SQRT( $K6 * ( $D$9 - $D$8 ) * ( $D$10 - $D$8 )), $D$10 - SQRT(( 1 - $K6 ) * ( $D$10 - $D$8 ) * ( $D$10 - $D$9 ))))))</f>
        <v>0.1</v>
      </c>
      <c r="N6" s="67">
        <f t="shared" si="0"/>
        <v>0.14142135623730953</v>
      </c>
      <c r="O6" s="67">
        <f t="shared" si="0"/>
        <v>0.17320508075688776</v>
      </c>
      <c r="P6" s="67">
        <f t="shared" si="0"/>
        <v>0.20000000000000004</v>
      </c>
      <c r="Q6" s="67">
        <f t="shared" si="0"/>
        <v>0.22360679774997896</v>
      </c>
      <c r="R6" s="67">
        <f t="shared" si="0"/>
        <v>0.24494897427831783</v>
      </c>
      <c r="S6" s="67">
        <f t="shared" si="0"/>
        <v>0.26457513110645903</v>
      </c>
      <c r="T6" s="67">
        <f t="shared" si="0"/>
        <v>0.28284271247461912</v>
      </c>
      <c r="U6" s="67">
        <f t="shared" si="0"/>
        <v>0.30000000000000004</v>
      </c>
      <c r="V6" s="67">
        <f t="shared" si="0"/>
        <v>0.316227766016838</v>
      </c>
      <c r="W6" s="67">
        <f t="shared" si="0"/>
        <v>0.33166247903554003</v>
      </c>
      <c r="X6" s="67">
        <f t="shared" si="0"/>
        <v>0.34641016151377546</v>
      </c>
      <c r="Y6" s="67">
        <f t="shared" si="0"/>
        <v>0.36055512754639896</v>
      </c>
      <c r="Z6" s="67">
        <f t="shared" si="0"/>
        <v>0.37416573867739411</v>
      </c>
      <c r="AA6" s="67">
        <f t="shared" si="0"/>
        <v>0.3872983346207417</v>
      </c>
      <c r="AB6" s="67">
        <f t="shared" si="0"/>
        <v>0.4</v>
      </c>
      <c r="AC6" s="67">
        <f t="shared" si="0"/>
        <v>0.41339745962155616</v>
      </c>
      <c r="AD6" s="67">
        <f t="shared" si="0"/>
        <v>0.42928932188134528</v>
      </c>
      <c r="AE6" s="67">
        <f t="shared" si="0"/>
        <v>0.44999999999999996</v>
      </c>
      <c r="AF6" s="67">
        <f t="shared" si="0"/>
        <v>0.5</v>
      </c>
    </row>
    <row r="7" spans="4:32" x14ac:dyDescent="0.2">
      <c r="D7" s="59" t="s">
        <v>40</v>
      </c>
      <c r="E7" s="59" t="s">
        <v>39</v>
      </c>
      <c r="K7" s="68">
        <v>0.05</v>
      </c>
      <c r="L7" s="67">
        <f t="shared" ref="L7:L26" si="1">IF( $E$8 &gt; $E$9, NA(), IF( $E$9 &gt; $E$10, NA(), IF( $E$8 = $E$10, $E$9, IF( L$5 &lt; (( $E$9 - $E$8 ) / ( $E$10 - $E$8 )), $E$8 + SQRT( L$5 * ( $E$9 - $E$8 ) * ( $E$10 - $E$8 )), $E$10 - SQRT(( 1 - L$5 ) * ( $E$10 - $E$8 ) * ( $E$10 - $E$9 ))))))-IF( $D$8 &gt; $D$9, NA(), IF( $D$9 &gt; $D$10, NA(), IF( $D$8 = $D$10, $D$9, IF( $K7 &lt; (( $D$9 - $D$8 ) / ( $D$10 - $D$8 )), $D$8 + SQRT( $K7 * ( $D$9 - $D$8 ) * ( $D$10 - $D$8 )), $D$10 - SQRT(( 1 - $K7 ) * ( $D$10 - $D$8 ) * ( $D$10 - $D$9 ))))))</f>
        <v>-0.1</v>
      </c>
      <c r="M7" s="67"/>
      <c r="N7" s="67">
        <f t="shared" ref="N7:AF7" si="2">IF( $E$8 &gt; $E$9, NA(), IF( $E$9 &gt; $E$10, NA(), IF( $E$8 = $E$10, $E$9, IF( N$5 &lt; (( $E$9 - $E$8 ) / ( $E$10 - $E$8 )), $E$8 + SQRT( N$5 * ( $E$9 - $E$8 ) * ( $E$10 - $E$8 )), $E$10 - SQRT(( 1 - N$5 ) * ( $E$10 - $E$8 ) * ( $E$10 - $E$9 ))))))-IF( $D$8 &gt; $D$9, NA(), IF( $D$9 &gt; $D$10, NA(), IF( $D$8 = $D$10, $D$9, IF( $K7 &lt; (( $D$9 - $D$8 ) / ( $D$10 - $D$8 )), $D$8 + SQRT( $K7 * ( $D$9 - $D$8 ) * ( $D$10 - $D$8 )), $D$10 - SQRT(( 1 - $K7 ) * ( $D$10 - $D$8 ) * ( $D$10 - $D$9 ))))))</f>
        <v>4.1421356237309526E-2</v>
      </c>
      <c r="O7" s="67">
        <f t="shared" si="2"/>
        <v>7.3205080756887753E-2</v>
      </c>
      <c r="P7" s="67">
        <f t="shared" si="2"/>
        <v>0.10000000000000003</v>
      </c>
      <c r="Q7" s="67">
        <f t="shared" si="2"/>
        <v>0.12360679774997896</v>
      </c>
      <c r="R7" s="67">
        <f t="shared" si="2"/>
        <v>0.14494897427831782</v>
      </c>
      <c r="S7" s="67">
        <f t="shared" si="2"/>
        <v>0.16457513110645899</v>
      </c>
      <c r="T7" s="67">
        <f t="shared" si="2"/>
        <v>0.18284271247461908</v>
      </c>
      <c r="U7" s="67">
        <f t="shared" si="2"/>
        <v>0.2</v>
      </c>
      <c r="V7" s="67">
        <f t="shared" si="2"/>
        <v>0.21622776601683796</v>
      </c>
      <c r="W7" s="67">
        <f t="shared" si="2"/>
        <v>0.23166247903553999</v>
      </c>
      <c r="X7" s="67">
        <f t="shared" si="2"/>
        <v>0.24641016151377543</v>
      </c>
      <c r="Y7" s="67">
        <f t="shared" si="2"/>
        <v>0.26055512754639892</v>
      </c>
      <c r="Z7" s="67">
        <f t="shared" si="2"/>
        <v>0.27416573867739408</v>
      </c>
      <c r="AA7" s="67">
        <f t="shared" si="2"/>
        <v>0.28729833462074167</v>
      </c>
      <c r="AB7" s="67">
        <f t="shared" si="2"/>
        <v>0.3</v>
      </c>
      <c r="AC7" s="67">
        <f t="shared" si="2"/>
        <v>0.31339745962155613</v>
      </c>
      <c r="AD7" s="67">
        <f t="shared" si="2"/>
        <v>0.32928932188134524</v>
      </c>
      <c r="AE7" s="67">
        <f t="shared" si="2"/>
        <v>0.34999999999999992</v>
      </c>
      <c r="AF7" s="67">
        <f t="shared" si="2"/>
        <v>0.39999999999999997</v>
      </c>
    </row>
    <row r="8" spans="4:32" x14ac:dyDescent="0.2">
      <c r="D8" s="70">
        <f>'Loss Event Frequency'!L19</f>
        <v>0.1</v>
      </c>
      <c r="E8" s="70">
        <f>'Loss Event Frequency'!P19</f>
        <v>0.1</v>
      </c>
      <c r="K8" s="68">
        <v>0.1</v>
      </c>
      <c r="L8" s="67">
        <f t="shared" si="1"/>
        <v>-0.14142135623730953</v>
      </c>
      <c r="M8" s="67">
        <f t="shared" ref="M8:M26" si="3">IF( $E$8 &gt; $E$9, NA(), IF( $E$9 &gt; $E$10, NA(), IF( $E$8 = $E$10, $E$9, IF( M$5 &lt; (( $E$9 - $E$8 ) / ( $E$10 - $E$8 )), $E$8 + SQRT( M$5 * ( $E$9 - $E$8 ) * ( $E$10 - $E$8 )), $E$10 - SQRT(( 1 - M$5 ) * ( $E$10 - $E$8 ) * ( $E$10 - $E$9 ))))))-IF( $D$8 &gt; $D$9, NA(), IF( $D$9 &gt; $D$10, NA(), IF( $D$8 = $D$10, $D$9, IF( $K8 &lt; (( $D$9 - $D$8 ) / ( $D$10 - $D$8 )), $D$8 + SQRT( $K8 * ( $D$9 - $D$8 ) * ( $D$10 - $D$8 )), $D$10 - SQRT(( 1 - $K8 ) * ( $D$10 - $D$8 ) * ( $D$10 - $D$9 ))))))</f>
        <v>-4.1421356237309526E-2</v>
      </c>
      <c r="N8" s="67"/>
      <c r="O8" s="67">
        <f t="shared" ref="O8:AF8" si="4">IF( $E$8 &gt; $E$9, NA(), IF( $E$9 &gt; $E$10, NA(), IF( $E$8 = $E$10, $E$9, IF( O$5 &lt; (( $E$9 - $E$8 ) / ( $E$10 - $E$8 )), $E$8 + SQRT( O$5 * ( $E$9 - $E$8 ) * ( $E$10 - $E$8 )), $E$10 - SQRT(( 1 - O$5 ) * ( $E$10 - $E$8 ) * ( $E$10 - $E$9 ))))))-IF( $D$8 &gt; $D$9, NA(), IF( $D$9 &gt; $D$10, NA(), IF( $D$8 = $D$10, $D$9, IF( $K8 &lt; (( $D$9 - $D$8 ) / ( $D$10 - $D$8 )), $D$8 + SQRT( $K8 * ( $D$9 - $D$8 ) * ( $D$10 - $D$8 )), $D$10 - SQRT(( 1 - $K8 ) * ( $D$10 - $D$8 ) * ( $D$10 - $D$9 ))))))</f>
        <v>3.1783724519578227E-2</v>
      </c>
      <c r="P8" s="67">
        <f t="shared" si="4"/>
        <v>5.8578643762690508E-2</v>
      </c>
      <c r="Q8" s="67">
        <f t="shared" si="4"/>
        <v>8.2185441512669433E-2</v>
      </c>
      <c r="R8" s="67">
        <f t="shared" si="4"/>
        <v>0.1035276180410083</v>
      </c>
      <c r="S8" s="67">
        <f t="shared" si="4"/>
        <v>0.12315377486914947</v>
      </c>
      <c r="T8" s="67">
        <f t="shared" si="4"/>
        <v>0.14142135623730956</v>
      </c>
      <c r="U8" s="67">
        <f t="shared" si="4"/>
        <v>0.15857864376269049</v>
      </c>
      <c r="V8" s="67">
        <f t="shared" si="4"/>
        <v>0.17480640977952844</v>
      </c>
      <c r="W8" s="67">
        <f t="shared" si="4"/>
        <v>0.19024112279823047</v>
      </c>
      <c r="X8" s="67">
        <f t="shared" si="4"/>
        <v>0.2049888052764659</v>
      </c>
      <c r="Y8" s="67">
        <f t="shared" si="4"/>
        <v>0.2191337713090894</v>
      </c>
      <c r="Z8" s="67">
        <f t="shared" si="4"/>
        <v>0.23274438244008455</v>
      </c>
      <c r="AA8" s="67">
        <f t="shared" si="4"/>
        <v>0.24587697838343214</v>
      </c>
      <c r="AB8" s="67">
        <f t="shared" si="4"/>
        <v>0.25857864376269046</v>
      </c>
      <c r="AC8" s="67">
        <f t="shared" si="4"/>
        <v>0.2719761033842466</v>
      </c>
      <c r="AD8" s="67">
        <f t="shared" si="4"/>
        <v>0.28786796564403572</v>
      </c>
      <c r="AE8" s="67">
        <f t="shared" si="4"/>
        <v>0.3085786437626904</v>
      </c>
      <c r="AF8" s="67">
        <f t="shared" si="4"/>
        <v>0.35857864376269044</v>
      </c>
    </row>
    <row r="9" spans="4:32" x14ac:dyDescent="0.2">
      <c r="D9" s="70">
        <f>'Loss Event Frequency'!L20</f>
        <v>0.5</v>
      </c>
      <c r="E9" s="70">
        <f>'Loss Event Frequency'!P20</f>
        <v>0.5</v>
      </c>
      <c r="K9" s="68">
        <v>0.15</v>
      </c>
      <c r="L9" s="67">
        <f t="shared" si="1"/>
        <v>-0.17320508075688776</v>
      </c>
      <c r="M9" s="67">
        <f t="shared" si="3"/>
        <v>-7.3205080756887753E-2</v>
      </c>
      <c r="N9" s="67">
        <f t="shared" ref="N9:N26" si="5">IF( $E$8 &gt; $E$9, NA(), IF( $E$9 &gt; $E$10, NA(), IF( $E$8 = $E$10, $E$9, IF( N$5 &lt; (( $E$9 - $E$8 ) / ( $E$10 - $E$8 )), $E$8 + SQRT( N$5 * ( $E$9 - $E$8 ) * ( $E$10 - $E$8 )), $E$10 - SQRT(( 1 - N$5 ) * ( $E$10 - $E$8 ) * ( $E$10 - $E$9 ))))))-IF( $D$8 &gt; $D$9, NA(), IF( $D$9 &gt; $D$10, NA(), IF( $D$8 = $D$10, $D$9, IF( $K9 &lt; (( $D$9 - $D$8 ) / ( $D$10 - $D$8 )), $D$8 + SQRT( $K9 * ( $D$9 - $D$8 ) * ( $D$10 - $D$8 )), $D$10 - SQRT(( 1 - $K9 ) * ( $D$10 - $D$8 ) * ( $D$10 - $D$9 ))))))</f>
        <v>-3.1783724519578227E-2</v>
      </c>
      <c r="O9" s="67"/>
      <c r="P9" s="67">
        <f t="shared" ref="P9:AF9" si="6">IF( $E$8 &gt; $E$9, NA(), IF( $E$9 &gt; $E$10, NA(), IF( $E$8 = $E$10, $E$9, IF( P$5 &lt; (( $E$9 - $E$8 ) / ( $E$10 - $E$8 )), $E$8 + SQRT( P$5 * ( $E$9 - $E$8 ) * ( $E$10 - $E$8 )), $E$10 - SQRT(( 1 - P$5 ) * ( $E$10 - $E$8 ) * ( $E$10 - $E$9 ))))))-IF( $D$8 &gt; $D$9, NA(), IF( $D$9 &gt; $D$10, NA(), IF( $D$8 = $D$10, $D$9, IF( $K9 &lt; (( $D$9 - $D$8 ) / ( $D$10 - $D$8 )), $D$8 + SQRT( $K9 * ( $D$9 - $D$8 ) * ( $D$10 - $D$8 )), $D$10 - SQRT(( 1 - $K9 ) * ( $D$10 - $D$8 ) * ( $D$10 - $D$9 ))))))</f>
        <v>2.6794919243112281E-2</v>
      </c>
      <c r="Q9" s="67">
        <f t="shared" si="6"/>
        <v>5.0401716993091206E-2</v>
      </c>
      <c r="R9" s="67">
        <f t="shared" si="6"/>
        <v>7.1743893521430069E-2</v>
      </c>
      <c r="S9" s="67">
        <f t="shared" si="6"/>
        <v>9.1370050349571241E-2</v>
      </c>
      <c r="T9" s="67">
        <f t="shared" si="6"/>
        <v>0.10963763171773133</v>
      </c>
      <c r="U9" s="67">
        <f t="shared" si="6"/>
        <v>0.12679491924311226</v>
      </c>
      <c r="V9" s="67">
        <f t="shared" si="6"/>
        <v>0.14302268525995021</v>
      </c>
      <c r="W9" s="67">
        <f t="shared" si="6"/>
        <v>0.15845739827865224</v>
      </c>
      <c r="X9" s="67">
        <f t="shared" si="6"/>
        <v>0.17320508075688767</v>
      </c>
      <c r="Y9" s="67">
        <f t="shared" si="6"/>
        <v>0.18735004678951117</v>
      </c>
      <c r="Z9" s="67">
        <f t="shared" si="6"/>
        <v>0.20096065792050632</v>
      </c>
      <c r="AA9" s="67">
        <f t="shared" si="6"/>
        <v>0.21409325386385392</v>
      </c>
      <c r="AB9" s="67">
        <f t="shared" si="6"/>
        <v>0.22679491924311224</v>
      </c>
      <c r="AC9" s="67">
        <f t="shared" si="6"/>
        <v>0.24019237886466838</v>
      </c>
      <c r="AD9" s="67">
        <f t="shared" si="6"/>
        <v>0.25608424112445749</v>
      </c>
      <c r="AE9" s="67">
        <f t="shared" si="6"/>
        <v>0.27679491924311217</v>
      </c>
      <c r="AF9" s="67">
        <f t="shared" si="6"/>
        <v>0.32679491924311221</v>
      </c>
    </row>
    <row r="10" spans="4:32" ht="16" x14ac:dyDescent="0.2">
      <c r="D10" s="70">
        <f>'Loss Event Frequency'!L21</f>
        <v>0.6</v>
      </c>
      <c r="E10" s="70">
        <f>'Loss Event Frequency'!P21</f>
        <v>0.6</v>
      </c>
      <c r="I10" s="167" t="s">
        <v>106</v>
      </c>
      <c r="J10" s="61">
        <f>COUNTIF(L6:AF26,"&lt;0")/420</f>
        <v>0.5</v>
      </c>
      <c r="K10" s="68">
        <v>0.2</v>
      </c>
      <c r="L10" s="67">
        <f t="shared" si="1"/>
        <v>-0.20000000000000004</v>
      </c>
      <c r="M10" s="67">
        <f t="shared" si="3"/>
        <v>-0.10000000000000003</v>
      </c>
      <c r="N10" s="67">
        <f t="shared" si="5"/>
        <v>-5.8578643762690508E-2</v>
      </c>
      <c r="O10" s="67">
        <f t="shared" ref="O10:O26" si="7">IF( $E$8 &gt; $E$9, NA(), IF( $E$9 &gt; $E$10, NA(), IF( $E$8 = $E$10, $E$9, IF( O$5 &lt; (( $E$9 - $E$8 ) / ( $E$10 - $E$8 )), $E$8 + SQRT( O$5 * ( $E$9 - $E$8 ) * ( $E$10 - $E$8 )), $E$10 - SQRT(( 1 - O$5 ) * ( $E$10 - $E$8 ) * ( $E$10 - $E$9 ))))))-IF( $D$8 &gt; $D$9, NA(), IF( $D$9 &gt; $D$10, NA(), IF( $D$8 = $D$10, $D$9, IF( $K10 &lt; (( $D$9 - $D$8 ) / ( $D$10 - $D$8 )), $D$8 + SQRT( $K10 * ( $D$9 - $D$8 ) * ( $D$10 - $D$8 )), $D$10 - SQRT(( 1 - $K10 ) * ( $D$10 - $D$8 ) * ( $D$10 - $D$9 ))))))</f>
        <v>-2.6794919243112281E-2</v>
      </c>
      <c r="P10" s="67"/>
      <c r="Q10" s="67">
        <f t="shared" ref="Q10:AF10" si="8">IF( $E$8 &gt; $E$9, NA(), IF( $E$9 &gt; $E$10, NA(), IF( $E$8 = $E$10, $E$9, IF( Q$5 &lt; (( $E$9 - $E$8 ) / ( $E$10 - $E$8 )), $E$8 + SQRT( Q$5 * ( $E$9 - $E$8 ) * ( $E$10 - $E$8 )), $E$10 - SQRT(( 1 - Q$5 ) * ( $E$10 - $E$8 ) * ( $E$10 - $E$9 ))))))-IF( $D$8 &gt; $D$9, NA(), IF( $D$9 &gt; $D$10, NA(), IF( $D$8 = $D$10, $D$9, IF( $K10 &lt; (( $D$9 - $D$8 ) / ( $D$10 - $D$8 )), $D$8 + SQRT( $K10 * ( $D$9 - $D$8 ) * ( $D$10 - $D$8 )), $D$10 - SQRT(( 1 - $K10 ) * ( $D$10 - $D$8 ) * ( $D$10 - $D$9 ))))))</f>
        <v>2.3606797749978925E-2</v>
      </c>
      <c r="R10" s="67">
        <f t="shared" si="8"/>
        <v>4.4948974278317788E-2</v>
      </c>
      <c r="S10" s="67">
        <f t="shared" si="8"/>
        <v>6.4575131106458961E-2</v>
      </c>
      <c r="T10" s="67">
        <f t="shared" si="8"/>
        <v>8.2842712474619051E-2</v>
      </c>
      <c r="U10" s="67">
        <f t="shared" si="8"/>
        <v>9.9999999999999978E-2</v>
      </c>
      <c r="V10" s="67">
        <f t="shared" si="8"/>
        <v>0.11622776601683793</v>
      </c>
      <c r="W10" s="67">
        <f t="shared" si="8"/>
        <v>0.13166247903553996</v>
      </c>
      <c r="X10" s="67">
        <f t="shared" si="8"/>
        <v>0.14641016151377539</v>
      </c>
      <c r="Y10" s="67">
        <f t="shared" si="8"/>
        <v>0.16055512754639889</v>
      </c>
      <c r="Z10" s="67">
        <f t="shared" si="8"/>
        <v>0.17416573867739404</v>
      </c>
      <c r="AA10" s="67">
        <f t="shared" si="8"/>
        <v>0.18729833462074164</v>
      </c>
      <c r="AB10" s="67">
        <f t="shared" si="8"/>
        <v>0.19999999999999996</v>
      </c>
      <c r="AC10" s="67">
        <f t="shared" si="8"/>
        <v>0.2133974596215561</v>
      </c>
      <c r="AD10" s="67">
        <f t="shared" si="8"/>
        <v>0.22928932188134521</v>
      </c>
      <c r="AE10" s="67">
        <f t="shared" si="8"/>
        <v>0.24999999999999989</v>
      </c>
      <c r="AF10" s="67">
        <f t="shared" si="8"/>
        <v>0.29999999999999993</v>
      </c>
    </row>
    <row r="11" spans="4:32" x14ac:dyDescent="0.2">
      <c r="J11" s="62">
        <f>1-J10</f>
        <v>0.5</v>
      </c>
      <c r="K11" s="68">
        <v>0.25</v>
      </c>
      <c r="L11" s="67">
        <f t="shared" si="1"/>
        <v>-0.22360679774997896</v>
      </c>
      <c r="M11" s="67">
        <f t="shared" si="3"/>
        <v>-0.12360679774997896</v>
      </c>
      <c r="N11" s="67">
        <f t="shared" si="5"/>
        <v>-8.2185441512669433E-2</v>
      </c>
      <c r="O11" s="67">
        <f t="shared" si="7"/>
        <v>-5.0401716993091206E-2</v>
      </c>
      <c r="P11" s="67">
        <f t="shared" ref="P11:P26" si="9">IF( $E$8 &gt; $E$9, NA(), IF( $E$9 &gt; $E$10, NA(), IF( $E$8 = $E$10, $E$9, IF( P$5 &lt; (( $E$9 - $E$8 ) / ( $E$10 - $E$8 )), $E$8 + SQRT( P$5 * ( $E$9 - $E$8 ) * ( $E$10 - $E$8 )), $E$10 - SQRT(( 1 - P$5 ) * ( $E$10 - $E$8 ) * ( $E$10 - $E$9 ))))))-IF( $D$8 &gt; $D$9, NA(), IF( $D$9 &gt; $D$10, NA(), IF( $D$8 = $D$10, $D$9, IF( $K11 &lt; (( $D$9 - $D$8 ) / ( $D$10 - $D$8 )), $D$8 + SQRT( $K11 * ( $D$9 - $D$8 ) * ( $D$10 - $D$8 )), $D$10 - SQRT(( 1 - $K11 ) * ( $D$10 - $D$8 ) * ( $D$10 - $D$9 ))))))</f>
        <v>-2.3606797749978925E-2</v>
      </c>
      <c r="Q11" s="67"/>
      <c r="R11" s="67">
        <f t="shared" ref="R11:AF11" si="10">IF( $E$8 &gt; $E$9, NA(), IF( $E$9 &gt; $E$10, NA(), IF( $E$8 = $E$10, $E$9, IF( R$5 &lt; (( $E$9 - $E$8 ) / ( $E$10 - $E$8 )), $E$8 + SQRT( R$5 * ( $E$9 - $E$8 ) * ( $E$10 - $E$8 )), $E$10 - SQRT(( 1 - R$5 ) * ( $E$10 - $E$8 ) * ( $E$10 - $E$9 ))))))-IF( $D$8 &gt; $D$9, NA(), IF( $D$9 &gt; $D$10, NA(), IF( $D$8 = $D$10, $D$9, IF( $K11 &lt; (( $D$9 - $D$8 ) / ( $D$10 - $D$8 )), $D$8 + SQRT( $K11 * ( $D$9 - $D$8 ) * ( $D$10 - $D$8 )), $D$10 - SQRT(( 1 - $K11 ) * ( $D$10 - $D$8 ) * ( $D$10 - $D$9 ))))))</f>
        <v>2.1342176528338863E-2</v>
      </c>
      <c r="S11" s="67">
        <f t="shared" si="10"/>
        <v>4.0968333356480036E-2</v>
      </c>
      <c r="T11" s="67">
        <f t="shared" si="10"/>
        <v>5.9235914724640126E-2</v>
      </c>
      <c r="U11" s="67">
        <f t="shared" si="10"/>
        <v>7.6393202250021053E-2</v>
      </c>
      <c r="V11" s="67">
        <f t="shared" si="10"/>
        <v>9.2620968266859005E-2</v>
      </c>
      <c r="W11" s="67">
        <f t="shared" si="10"/>
        <v>0.10805568128556103</v>
      </c>
      <c r="X11" s="67">
        <f t="shared" si="10"/>
        <v>0.12280336376379647</v>
      </c>
      <c r="Y11" s="67">
        <f t="shared" si="10"/>
        <v>0.13694832979641997</v>
      </c>
      <c r="Z11" s="67">
        <f t="shared" si="10"/>
        <v>0.15055894092741512</v>
      </c>
      <c r="AA11" s="67">
        <f t="shared" si="10"/>
        <v>0.16369153687076271</v>
      </c>
      <c r="AB11" s="67">
        <f t="shared" si="10"/>
        <v>0.17639320225002103</v>
      </c>
      <c r="AC11" s="67">
        <f t="shared" si="10"/>
        <v>0.18979066187157717</v>
      </c>
      <c r="AD11" s="67">
        <f t="shared" si="10"/>
        <v>0.20568252413136628</v>
      </c>
      <c r="AE11" s="67">
        <f t="shared" si="10"/>
        <v>0.22639320225002096</v>
      </c>
      <c r="AF11" s="67">
        <f t="shared" si="10"/>
        <v>0.27639320225002101</v>
      </c>
    </row>
    <row r="12" spans="4:32" x14ac:dyDescent="0.2">
      <c r="K12" s="68">
        <v>0.3</v>
      </c>
      <c r="L12" s="67">
        <f t="shared" si="1"/>
        <v>-0.24494897427831783</v>
      </c>
      <c r="M12" s="67">
        <f t="shared" si="3"/>
        <v>-0.14494897427831782</v>
      </c>
      <c r="N12" s="67">
        <f t="shared" si="5"/>
        <v>-0.1035276180410083</v>
      </c>
      <c r="O12" s="67">
        <f t="shared" si="7"/>
        <v>-7.1743893521430069E-2</v>
      </c>
      <c r="P12" s="67">
        <f t="shared" si="9"/>
        <v>-4.4948974278317788E-2</v>
      </c>
      <c r="Q12" s="67">
        <f t="shared" ref="Q12:Q26" si="11">IF( $E$8 &gt; $E$9, NA(), IF( $E$9 &gt; $E$10, NA(), IF( $E$8 = $E$10, $E$9, IF( Q$5 &lt; (( $E$9 - $E$8 ) / ( $E$10 - $E$8 )), $E$8 + SQRT( Q$5 * ( $E$9 - $E$8 ) * ( $E$10 - $E$8 )), $E$10 - SQRT(( 1 - Q$5 ) * ( $E$10 - $E$8 ) * ( $E$10 - $E$9 ))))))-IF( $D$8 &gt; $D$9, NA(), IF( $D$9 &gt; $D$10, NA(), IF( $D$8 = $D$10, $D$9, IF( $K12 &lt; (( $D$9 - $D$8 ) / ( $D$10 - $D$8 )), $D$8 + SQRT( $K12 * ( $D$9 - $D$8 ) * ( $D$10 - $D$8 )), $D$10 - SQRT(( 1 - $K12 ) * ( $D$10 - $D$8 ) * ( $D$10 - $D$9 ))))))</f>
        <v>-2.1342176528338863E-2</v>
      </c>
      <c r="R12" s="67"/>
      <c r="S12" s="67">
        <f t="shared" ref="S12:AF12" si="12">IF( $E$8 &gt; $E$9, NA(), IF( $E$9 &gt; $E$10, NA(), IF( $E$8 = $E$10, $E$9, IF( S$5 &lt; (( $E$9 - $E$8 ) / ( $E$10 - $E$8 )), $E$8 + SQRT( S$5 * ( $E$9 - $E$8 ) * ( $E$10 - $E$8 )), $E$10 - SQRT(( 1 - S$5 ) * ( $E$10 - $E$8 ) * ( $E$10 - $E$9 ))))))-IF( $D$8 &gt; $D$9, NA(), IF( $D$9 &gt; $D$10, NA(), IF( $D$8 = $D$10, $D$9, IF( $K12 &lt; (( $D$9 - $D$8 ) / ( $D$10 - $D$8 )), $D$8 + SQRT( $K12 * ( $D$9 - $D$8 ) * ( $D$10 - $D$8 )), $D$10 - SQRT(( 1 - $K12 ) * ( $D$10 - $D$8 ) * ( $D$10 - $D$9 ))))))</f>
        <v>1.9626156828141172E-2</v>
      </c>
      <c r="T12" s="67">
        <f t="shared" si="12"/>
        <v>3.7893738196301263E-2</v>
      </c>
      <c r="U12" s="67">
        <f t="shared" si="12"/>
        <v>5.505102572168219E-2</v>
      </c>
      <c r="V12" s="67">
        <f t="shared" si="12"/>
        <v>7.1278791738520142E-2</v>
      </c>
      <c r="W12" s="67">
        <f t="shared" si="12"/>
        <v>8.6713504757222171E-2</v>
      </c>
      <c r="X12" s="67">
        <f t="shared" si="12"/>
        <v>0.10146118723545761</v>
      </c>
      <c r="Y12" s="67">
        <f t="shared" si="12"/>
        <v>0.1156061532680811</v>
      </c>
      <c r="Z12" s="67">
        <f t="shared" si="12"/>
        <v>0.12921676439907626</v>
      </c>
      <c r="AA12" s="67">
        <f t="shared" si="12"/>
        <v>0.14234936034242385</v>
      </c>
      <c r="AB12" s="67">
        <f t="shared" si="12"/>
        <v>0.15505102572168217</v>
      </c>
      <c r="AC12" s="67">
        <f t="shared" si="12"/>
        <v>0.16844848534323831</v>
      </c>
      <c r="AD12" s="67">
        <f t="shared" si="12"/>
        <v>0.18434034760302742</v>
      </c>
      <c r="AE12" s="67">
        <f t="shared" si="12"/>
        <v>0.2050510257216821</v>
      </c>
      <c r="AF12" s="67">
        <f t="shared" si="12"/>
        <v>0.25505102572168215</v>
      </c>
    </row>
    <row r="13" spans="4:32" x14ac:dyDescent="0.2">
      <c r="D13" s="229" t="s">
        <v>116</v>
      </c>
      <c r="K13" s="68">
        <v>0.35</v>
      </c>
      <c r="L13" s="67">
        <f t="shared" si="1"/>
        <v>-0.26457513110645903</v>
      </c>
      <c r="M13" s="67">
        <f t="shared" si="3"/>
        <v>-0.16457513110645899</v>
      </c>
      <c r="N13" s="67">
        <f t="shared" si="5"/>
        <v>-0.12315377486914947</v>
      </c>
      <c r="O13" s="67">
        <f t="shared" si="7"/>
        <v>-9.1370050349571241E-2</v>
      </c>
      <c r="P13" s="67">
        <f t="shared" si="9"/>
        <v>-6.4575131106458961E-2</v>
      </c>
      <c r="Q13" s="67">
        <f t="shared" si="11"/>
        <v>-4.0968333356480036E-2</v>
      </c>
      <c r="R13" s="67">
        <f t="shared" ref="R13:R26" si="13">IF( $E$8 &gt; $E$9, NA(), IF( $E$9 &gt; $E$10, NA(), IF( $E$8 = $E$10, $E$9, IF( R$5 &lt; (( $E$9 - $E$8 ) / ( $E$10 - $E$8 )), $E$8 + SQRT( R$5 * ( $E$9 - $E$8 ) * ( $E$10 - $E$8 )), $E$10 - SQRT(( 1 - R$5 ) * ( $E$10 - $E$8 ) * ( $E$10 - $E$9 ))))))-IF( $D$8 &gt; $D$9, NA(), IF( $D$9 &gt; $D$10, NA(), IF( $D$8 = $D$10, $D$9, IF( $K13 &lt; (( $D$9 - $D$8 ) / ( $D$10 - $D$8 )), $D$8 + SQRT( $K13 * ( $D$9 - $D$8 ) * ( $D$10 - $D$8 )), $D$10 - SQRT(( 1 - $K13 ) * ( $D$10 - $D$8 ) * ( $D$10 - $D$9 ))))))</f>
        <v>-1.9626156828141172E-2</v>
      </c>
      <c r="S13" s="67"/>
      <c r="T13" s="67">
        <f t="shared" ref="T13:AF13" si="14">IF( $E$8 &gt; $E$9, NA(), IF( $E$9 &gt; $E$10, NA(), IF( $E$8 = $E$10, $E$9, IF( T$5 &lt; (( $E$9 - $E$8 ) / ( $E$10 - $E$8 )), $E$8 + SQRT( T$5 * ( $E$9 - $E$8 ) * ( $E$10 - $E$8 )), $E$10 - SQRT(( 1 - T$5 ) * ( $E$10 - $E$8 ) * ( $E$10 - $E$9 ))))))-IF( $D$8 &gt; $D$9, NA(), IF( $D$9 &gt; $D$10, NA(), IF( $D$8 = $D$10, $D$9, IF( $K13 &lt; (( $D$9 - $D$8 ) / ( $D$10 - $D$8 )), $D$8 + SQRT( $K13 * ( $D$9 - $D$8 ) * ( $D$10 - $D$8 )), $D$10 - SQRT(( 1 - $K13 ) * ( $D$10 - $D$8 ) * ( $D$10 - $D$9 ))))))</f>
        <v>1.8267581368160091E-2</v>
      </c>
      <c r="U13" s="67">
        <f t="shared" si="14"/>
        <v>3.5424868893541017E-2</v>
      </c>
      <c r="V13" s="67">
        <f t="shared" si="14"/>
        <v>5.1652634910378969E-2</v>
      </c>
      <c r="W13" s="67">
        <f t="shared" si="14"/>
        <v>6.7087347929080998E-2</v>
      </c>
      <c r="X13" s="67">
        <f t="shared" si="14"/>
        <v>8.1835030407316434E-2</v>
      </c>
      <c r="Y13" s="67">
        <f t="shared" si="14"/>
        <v>9.597999643993993E-2</v>
      </c>
      <c r="Z13" s="67">
        <f t="shared" si="14"/>
        <v>0.10959060757093508</v>
      </c>
      <c r="AA13" s="67">
        <f t="shared" si="14"/>
        <v>0.12272320351428267</v>
      </c>
      <c r="AB13" s="67">
        <f t="shared" si="14"/>
        <v>0.13542486889354099</v>
      </c>
      <c r="AC13" s="67">
        <f t="shared" si="14"/>
        <v>0.14882232851509714</v>
      </c>
      <c r="AD13" s="67">
        <f t="shared" si="14"/>
        <v>0.16471419077488625</v>
      </c>
      <c r="AE13" s="67">
        <f t="shared" si="14"/>
        <v>0.18542486889354093</v>
      </c>
      <c r="AF13" s="67">
        <f t="shared" si="14"/>
        <v>0.23542486889354097</v>
      </c>
    </row>
    <row r="14" spans="4:32" x14ac:dyDescent="0.2">
      <c r="D14" s="59" t="s">
        <v>40</v>
      </c>
      <c r="E14" s="59" t="s">
        <v>39</v>
      </c>
      <c r="K14" s="68">
        <v>0.4</v>
      </c>
      <c r="L14" s="67">
        <f t="shared" si="1"/>
        <v>-0.28284271247461912</v>
      </c>
      <c r="M14" s="67">
        <f t="shared" si="3"/>
        <v>-0.18284271247461908</v>
      </c>
      <c r="N14" s="67">
        <f t="shared" si="5"/>
        <v>-0.14142135623730956</v>
      </c>
      <c r="O14" s="67">
        <f t="shared" si="7"/>
        <v>-0.10963763171773133</v>
      </c>
      <c r="P14" s="67">
        <f t="shared" si="9"/>
        <v>-8.2842712474619051E-2</v>
      </c>
      <c r="Q14" s="67">
        <f t="shared" si="11"/>
        <v>-5.9235914724640126E-2</v>
      </c>
      <c r="R14" s="67">
        <f t="shared" si="13"/>
        <v>-3.7893738196301263E-2</v>
      </c>
      <c r="S14" s="67">
        <f t="shared" ref="S14:S26" si="15">IF( $E$8 &gt; $E$9, NA(), IF( $E$9 &gt; $E$10, NA(), IF( $E$8 = $E$10, $E$9, IF( S$5 &lt; (( $E$9 - $E$8 ) / ( $E$10 - $E$8 )), $E$8 + SQRT( S$5 * ( $E$9 - $E$8 ) * ( $E$10 - $E$8 )), $E$10 - SQRT(( 1 - S$5 ) * ( $E$10 - $E$8 ) * ( $E$10 - $E$9 ))))))-IF( $D$8 &gt; $D$9, NA(), IF( $D$9 &gt; $D$10, NA(), IF( $D$8 = $D$10, $D$9, IF( $K14 &lt; (( $D$9 - $D$8 ) / ( $D$10 - $D$8 )), $D$8 + SQRT( $K14 * ( $D$9 - $D$8 ) * ( $D$10 - $D$8 )), $D$10 - SQRT(( 1 - $K14 ) * ( $D$10 - $D$8 ) * ( $D$10 - $D$9 ))))))</f>
        <v>-1.8267581368160091E-2</v>
      </c>
      <c r="T14" s="67"/>
      <c r="U14" s="67">
        <f t="shared" ref="U14:AF14" si="16">IF( $E$8 &gt; $E$9, NA(), IF( $E$9 &gt; $E$10, NA(), IF( $E$8 = $E$10, $E$9, IF( U$5 &lt; (( $E$9 - $E$8 ) / ( $E$10 - $E$8 )), $E$8 + SQRT( U$5 * ( $E$9 - $E$8 ) * ( $E$10 - $E$8 )), $E$10 - SQRT(( 1 - U$5 ) * ( $E$10 - $E$8 ) * ( $E$10 - $E$9 ))))))-IF( $D$8 &gt; $D$9, NA(), IF( $D$9 &gt; $D$10, NA(), IF( $D$8 = $D$10, $D$9, IF( $K14 &lt; (( $D$9 - $D$8 ) / ( $D$10 - $D$8 )), $D$8 + SQRT( $K14 * ( $D$9 - $D$8 ) * ( $D$10 - $D$8 )), $D$10 - SQRT(( 1 - $K14 ) * ( $D$10 - $D$8 ) * ( $D$10 - $D$9 ))))))</f>
        <v>1.7157287525380926E-2</v>
      </c>
      <c r="V14" s="67">
        <f t="shared" si="16"/>
        <v>3.3385053542218879E-2</v>
      </c>
      <c r="W14" s="67">
        <f t="shared" si="16"/>
        <v>4.8819766560920907E-2</v>
      </c>
      <c r="X14" s="67">
        <f t="shared" si="16"/>
        <v>6.3567449039156343E-2</v>
      </c>
      <c r="Y14" s="67">
        <f t="shared" si="16"/>
        <v>7.7712415071779839E-2</v>
      </c>
      <c r="Z14" s="67">
        <f t="shared" si="16"/>
        <v>9.1323026202774993E-2</v>
      </c>
      <c r="AA14" s="67">
        <f t="shared" si="16"/>
        <v>0.10445562214612258</v>
      </c>
      <c r="AB14" s="67">
        <f t="shared" si="16"/>
        <v>0.1171572875253809</v>
      </c>
      <c r="AC14" s="67">
        <f t="shared" si="16"/>
        <v>0.13055474714693704</v>
      </c>
      <c r="AD14" s="67">
        <f t="shared" si="16"/>
        <v>0.14644660940672616</v>
      </c>
      <c r="AE14" s="67">
        <f t="shared" si="16"/>
        <v>0.16715728752538084</v>
      </c>
      <c r="AF14" s="67">
        <f t="shared" si="16"/>
        <v>0.21715728752538088</v>
      </c>
    </row>
    <row r="15" spans="4:32" x14ac:dyDescent="0.2">
      <c r="D15" s="70">
        <f>'Loss Event Frequency'!BI17</f>
        <v>0.1</v>
      </c>
      <c r="E15" s="70">
        <f>'Loss Event Frequency'!BL17</f>
        <v>0.1</v>
      </c>
      <c r="K15" s="68">
        <v>0.45</v>
      </c>
      <c r="L15" s="67">
        <f t="shared" si="1"/>
        <v>-0.30000000000000004</v>
      </c>
      <c r="M15" s="67">
        <f t="shared" si="3"/>
        <v>-0.2</v>
      </c>
      <c r="N15" s="67">
        <f t="shared" si="5"/>
        <v>-0.15857864376269049</v>
      </c>
      <c r="O15" s="67">
        <f t="shared" si="7"/>
        <v>-0.12679491924311226</v>
      </c>
      <c r="P15" s="67">
        <f t="shared" si="9"/>
        <v>-9.9999999999999978E-2</v>
      </c>
      <c r="Q15" s="67">
        <f t="shared" si="11"/>
        <v>-7.6393202250021053E-2</v>
      </c>
      <c r="R15" s="67">
        <f t="shared" si="13"/>
        <v>-5.505102572168219E-2</v>
      </c>
      <c r="S15" s="67">
        <f t="shared" si="15"/>
        <v>-3.5424868893541017E-2</v>
      </c>
      <c r="T15" s="67">
        <f t="shared" ref="T15:T26" si="17">IF( $E$8 &gt; $E$9, NA(), IF( $E$9 &gt; $E$10, NA(), IF( $E$8 = $E$10, $E$9, IF( T$5 &lt; (( $E$9 - $E$8 ) / ( $E$10 - $E$8 )), $E$8 + SQRT( T$5 * ( $E$9 - $E$8 ) * ( $E$10 - $E$8 )), $E$10 - SQRT(( 1 - T$5 ) * ( $E$10 - $E$8 ) * ( $E$10 - $E$9 ))))))-IF( $D$8 &gt; $D$9, NA(), IF( $D$9 &gt; $D$10, NA(), IF( $D$8 = $D$10, $D$9, IF( $K15 &lt; (( $D$9 - $D$8 ) / ( $D$10 - $D$8 )), $D$8 + SQRT( $K15 * ( $D$9 - $D$8 ) * ( $D$10 - $D$8 )), $D$10 - SQRT(( 1 - $K15 ) * ( $D$10 - $D$8 ) * ( $D$10 - $D$9 ))))))</f>
        <v>-1.7157287525380926E-2</v>
      </c>
      <c r="U15" s="67"/>
      <c r="V15" s="67">
        <f t="shared" ref="V15:AF15" si="18">IF( $E$8 &gt; $E$9, NA(), IF( $E$9 &gt; $E$10, NA(), IF( $E$8 = $E$10, $E$9, IF( V$5 &lt; (( $E$9 - $E$8 ) / ( $E$10 - $E$8 )), $E$8 + SQRT( V$5 * ( $E$9 - $E$8 ) * ( $E$10 - $E$8 )), $E$10 - SQRT(( 1 - V$5 ) * ( $E$10 - $E$8 ) * ( $E$10 - $E$9 ))))))-IF( $D$8 &gt; $D$9, NA(), IF( $D$9 &gt; $D$10, NA(), IF( $D$8 = $D$10, $D$9, IF( $K15 &lt; (( $D$9 - $D$8 ) / ( $D$10 - $D$8 )), $D$8 + SQRT( $K15 * ( $D$9 - $D$8 ) * ( $D$10 - $D$8 )), $D$10 - SQRT(( 1 - $K15 ) * ( $D$10 - $D$8 ) * ( $D$10 - $D$9 ))))))</f>
        <v>1.6227766016837952E-2</v>
      </c>
      <c r="W15" s="67">
        <f t="shared" si="18"/>
        <v>3.1662479035539981E-2</v>
      </c>
      <c r="X15" s="67">
        <f t="shared" si="18"/>
        <v>4.6410161513775416E-2</v>
      </c>
      <c r="Y15" s="67">
        <f t="shared" si="18"/>
        <v>6.0555127546398912E-2</v>
      </c>
      <c r="Z15" s="67">
        <f t="shared" si="18"/>
        <v>7.4165738677394066E-2</v>
      </c>
      <c r="AA15" s="67">
        <f t="shared" si="18"/>
        <v>8.7298334620741658E-2</v>
      </c>
      <c r="AB15" s="67">
        <f t="shared" si="18"/>
        <v>9.9999999999999978E-2</v>
      </c>
      <c r="AC15" s="67">
        <f t="shared" si="18"/>
        <v>0.11339745962155612</v>
      </c>
      <c r="AD15" s="67">
        <f t="shared" si="18"/>
        <v>0.12928932188134523</v>
      </c>
      <c r="AE15" s="67">
        <f t="shared" si="18"/>
        <v>0.14999999999999991</v>
      </c>
      <c r="AF15" s="67">
        <f t="shared" si="18"/>
        <v>0.19999999999999996</v>
      </c>
    </row>
    <row r="16" spans="4:32" x14ac:dyDescent="0.2">
      <c r="D16" s="70">
        <f>'Loss Event Frequency'!BI18</f>
        <v>0.5</v>
      </c>
      <c r="E16" s="70">
        <f>'Loss Event Frequency'!BL18</f>
        <v>0.5</v>
      </c>
      <c r="K16" s="68">
        <v>0.5</v>
      </c>
      <c r="L16" s="67">
        <f t="shared" si="1"/>
        <v>-0.316227766016838</v>
      </c>
      <c r="M16" s="67">
        <f t="shared" si="3"/>
        <v>-0.21622776601683796</v>
      </c>
      <c r="N16" s="67">
        <f t="shared" si="5"/>
        <v>-0.17480640977952844</v>
      </c>
      <c r="O16" s="67">
        <f t="shared" si="7"/>
        <v>-0.14302268525995021</v>
      </c>
      <c r="P16" s="67">
        <f t="shared" si="9"/>
        <v>-0.11622776601683793</v>
      </c>
      <c r="Q16" s="67">
        <f t="shared" si="11"/>
        <v>-9.2620968266859005E-2</v>
      </c>
      <c r="R16" s="67">
        <f t="shared" si="13"/>
        <v>-7.1278791738520142E-2</v>
      </c>
      <c r="S16" s="67">
        <f t="shared" si="15"/>
        <v>-5.1652634910378969E-2</v>
      </c>
      <c r="T16" s="67">
        <f t="shared" si="17"/>
        <v>-3.3385053542218879E-2</v>
      </c>
      <c r="U16" s="67">
        <f t="shared" ref="U16:U26" si="19">IF( $E$8 &gt; $E$9, NA(), IF( $E$9 &gt; $E$10, NA(), IF( $E$8 = $E$10, $E$9, IF( U$5 &lt; (( $E$9 - $E$8 ) / ( $E$10 - $E$8 )), $E$8 + SQRT( U$5 * ( $E$9 - $E$8 ) * ( $E$10 - $E$8 )), $E$10 - SQRT(( 1 - U$5 ) * ( $E$10 - $E$8 ) * ( $E$10 - $E$9 ))))))-IF( $D$8 &gt; $D$9, NA(), IF( $D$9 &gt; $D$10, NA(), IF( $D$8 = $D$10, $D$9, IF( $K16 &lt; (( $D$9 - $D$8 ) / ( $D$10 - $D$8 )), $D$8 + SQRT( $K16 * ( $D$9 - $D$8 ) * ( $D$10 - $D$8 )), $D$10 - SQRT(( 1 - $K16 ) * ( $D$10 - $D$8 ) * ( $D$10 - $D$9 ))))))</f>
        <v>-1.6227766016837952E-2</v>
      </c>
      <c r="V16" s="67"/>
      <c r="W16" s="67">
        <f t="shared" ref="W16:AF16" si="20">IF( $E$8 &gt; $E$9, NA(), IF( $E$9 &gt; $E$10, NA(), IF( $E$8 = $E$10, $E$9, IF( W$5 &lt; (( $E$9 - $E$8 ) / ( $E$10 - $E$8 )), $E$8 + SQRT( W$5 * ( $E$9 - $E$8 ) * ( $E$10 - $E$8 )), $E$10 - SQRT(( 1 - W$5 ) * ( $E$10 - $E$8 ) * ( $E$10 - $E$9 ))))))-IF( $D$8 &gt; $D$9, NA(), IF( $D$9 &gt; $D$10, NA(), IF( $D$8 = $D$10, $D$9, IF( $K16 &lt; (( $D$9 - $D$8 ) / ( $D$10 - $D$8 )), $D$8 + SQRT( $K16 * ( $D$9 - $D$8 ) * ( $D$10 - $D$8 )), $D$10 - SQRT(( 1 - $K16 ) * ( $D$10 - $D$8 ) * ( $D$10 - $D$9 ))))))</f>
        <v>1.5434713018702029E-2</v>
      </c>
      <c r="X16" s="67">
        <f t="shared" si="20"/>
        <v>3.0182395496937464E-2</v>
      </c>
      <c r="Y16" s="67">
        <f t="shared" si="20"/>
        <v>4.432736152956096E-2</v>
      </c>
      <c r="Z16" s="67">
        <f t="shared" si="20"/>
        <v>5.7937972660556114E-2</v>
      </c>
      <c r="AA16" s="67">
        <f t="shared" si="20"/>
        <v>7.1070568603903705E-2</v>
      </c>
      <c r="AB16" s="67">
        <f t="shared" si="20"/>
        <v>8.3772233983162026E-2</v>
      </c>
      <c r="AC16" s="67">
        <f t="shared" si="20"/>
        <v>9.7169693604718166E-2</v>
      </c>
      <c r="AD16" s="67">
        <f t="shared" si="20"/>
        <v>0.11306155586450728</v>
      </c>
      <c r="AE16" s="67">
        <f t="shared" si="20"/>
        <v>0.13377223398316196</v>
      </c>
      <c r="AF16" s="67">
        <f t="shared" si="20"/>
        <v>0.183772233983162</v>
      </c>
    </row>
    <row r="17" spans="2:32" x14ac:dyDescent="0.2">
      <c r="D17" s="70">
        <f>'Loss Event Frequency'!BI19</f>
        <v>0.6</v>
      </c>
      <c r="E17" s="70">
        <f>'Loss Event Frequency'!BL19</f>
        <v>0.6</v>
      </c>
      <c r="K17" s="68">
        <v>0.55000000000000004</v>
      </c>
      <c r="L17" s="67">
        <f t="shared" si="1"/>
        <v>-0.33166247903554003</v>
      </c>
      <c r="M17" s="67">
        <f t="shared" si="3"/>
        <v>-0.23166247903553999</v>
      </c>
      <c r="N17" s="67">
        <f t="shared" si="5"/>
        <v>-0.19024112279823047</v>
      </c>
      <c r="O17" s="67">
        <f t="shared" si="7"/>
        <v>-0.15845739827865224</v>
      </c>
      <c r="P17" s="67">
        <f t="shared" si="9"/>
        <v>-0.13166247903553996</v>
      </c>
      <c r="Q17" s="67">
        <f t="shared" si="11"/>
        <v>-0.10805568128556103</v>
      </c>
      <c r="R17" s="67">
        <f t="shared" si="13"/>
        <v>-8.6713504757222171E-2</v>
      </c>
      <c r="S17" s="67">
        <f t="shared" si="15"/>
        <v>-6.7087347929080998E-2</v>
      </c>
      <c r="T17" s="67">
        <f t="shared" si="17"/>
        <v>-4.8819766560920907E-2</v>
      </c>
      <c r="U17" s="67">
        <f t="shared" si="19"/>
        <v>-3.1662479035539981E-2</v>
      </c>
      <c r="V17" s="67">
        <f t="shared" ref="V17:V26" si="21">IF( $E$8 &gt; $E$9, NA(), IF( $E$9 &gt; $E$10, NA(), IF( $E$8 = $E$10, $E$9, IF( V$5 &lt; (( $E$9 - $E$8 ) / ( $E$10 - $E$8 )), $E$8 + SQRT( V$5 * ( $E$9 - $E$8 ) * ( $E$10 - $E$8 )), $E$10 - SQRT(( 1 - V$5 ) * ( $E$10 - $E$8 ) * ( $E$10 - $E$9 ))))))-IF( $D$8 &gt; $D$9, NA(), IF( $D$9 &gt; $D$10, NA(), IF( $D$8 = $D$10, $D$9, IF( $K17 &lt; (( $D$9 - $D$8 ) / ( $D$10 - $D$8 )), $D$8 + SQRT( $K17 * ( $D$9 - $D$8 ) * ( $D$10 - $D$8 )), $D$10 - SQRT(( 1 - $K17 ) * ( $D$10 - $D$8 ) * ( $D$10 - $D$9 ))))))</f>
        <v>-1.5434713018702029E-2</v>
      </c>
      <c r="W17" s="67"/>
      <c r="X17" s="67">
        <f t="shared" ref="X17:AF17" si="22">IF( $E$8 &gt; $E$9, NA(), IF( $E$9 &gt; $E$10, NA(), IF( $E$8 = $E$10, $E$9, IF( X$5 &lt; (( $E$9 - $E$8 ) / ( $E$10 - $E$8 )), $E$8 + SQRT( X$5 * ( $E$9 - $E$8 ) * ( $E$10 - $E$8 )), $E$10 - SQRT(( 1 - X$5 ) * ( $E$10 - $E$8 ) * ( $E$10 - $E$9 ))))))-IF( $D$8 &gt; $D$9, NA(), IF( $D$9 &gt; $D$10, NA(), IF( $D$8 = $D$10, $D$9, IF( $K17 &lt; (( $D$9 - $D$8 ) / ( $D$10 - $D$8 )), $D$8 + SQRT( $K17 * ( $D$9 - $D$8 ) * ( $D$10 - $D$8 )), $D$10 - SQRT(( 1 - $K17 ) * ( $D$10 - $D$8 ) * ( $D$10 - $D$9 ))))))</f>
        <v>1.4747682478235435E-2</v>
      </c>
      <c r="Y17" s="67">
        <f t="shared" si="22"/>
        <v>2.8892648510858931E-2</v>
      </c>
      <c r="Z17" s="67">
        <f t="shared" si="22"/>
        <v>4.2503259641854085E-2</v>
      </c>
      <c r="AA17" s="67">
        <f t="shared" si="22"/>
        <v>5.5635855585201677E-2</v>
      </c>
      <c r="AB17" s="67">
        <f t="shared" si="22"/>
        <v>6.8337520964459997E-2</v>
      </c>
      <c r="AC17" s="67">
        <f t="shared" si="22"/>
        <v>8.1734980586016137E-2</v>
      </c>
      <c r="AD17" s="67">
        <f t="shared" si="22"/>
        <v>9.7626842845805251E-2</v>
      </c>
      <c r="AE17" s="67">
        <f t="shared" si="22"/>
        <v>0.11833752096445993</v>
      </c>
      <c r="AF17" s="67">
        <f t="shared" si="22"/>
        <v>0.16833752096445997</v>
      </c>
    </row>
    <row r="18" spans="2:32" x14ac:dyDescent="0.2">
      <c r="K18" s="68">
        <v>0.6</v>
      </c>
      <c r="L18" s="67">
        <f t="shared" si="1"/>
        <v>-0.34641016151377546</v>
      </c>
      <c r="M18" s="67">
        <f t="shared" si="3"/>
        <v>-0.24641016151377543</v>
      </c>
      <c r="N18" s="67">
        <f t="shared" si="5"/>
        <v>-0.2049888052764659</v>
      </c>
      <c r="O18" s="67">
        <f t="shared" si="7"/>
        <v>-0.17320508075688767</v>
      </c>
      <c r="P18" s="67">
        <f t="shared" si="9"/>
        <v>-0.14641016151377539</v>
      </c>
      <c r="Q18" s="67">
        <f t="shared" si="11"/>
        <v>-0.12280336376379647</v>
      </c>
      <c r="R18" s="67">
        <f t="shared" si="13"/>
        <v>-0.10146118723545761</v>
      </c>
      <c r="S18" s="67">
        <f t="shared" si="15"/>
        <v>-8.1835030407316434E-2</v>
      </c>
      <c r="T18" s="67">
        <f t="shared" si="17"/>
        <v>-6.3567449039156343E-2</v>
      </c>
      <c r="U18" s="67">
        <f t="shared" si="19"/>
        <v>-4.6410161513775416E-2</v>
      </c>
      <c r="V18" s="67">
        <f t="shared" si="21"/>
        <v>-3.0182395496937464E-2</v>
      </c>
      <c r="W18" s="67">
        <f t="shared" ref="W18:W26" si="23">IF( $E$8 &gt; $E$9, NA(), IF( $E$9 &gt; $E$10, NA(), IF( $E$8 = $E$10, $E$9, IF( W$5 &lt; (( $E$9 - $E$8 ) / ( $E$10 - $E$8 )), $E$8 + SQRT( W$5 * ( $E$9 - $E$8 ) * ( $E$10 - $E$8 )), $E$10 - SQRT(( 1 - W$5 ) * ( $E$10 - $E$8 ) * ( $E$10 - $E$9 ))))))-IF( $D$8 &gt; $D$9, NA(), IF( $D$9 &gt; $D$10, NA(), IF( $D$8 = $D$10, $D$9, IF( $K18 &lt; (( $D$9 - $D$8 ) / ( $D$10 - $D$8 )), $D$8 + SQRT( $K18 * ( $D$9 - $D$8 ) * ( $D$10 - $D$8 )), $D$10 - SQRT(( 1 - $K18 ) * ( $D$10 - $D$8 ) * ( $D$10 - $D$9 ))))))</f>
        <v>-1.4747682478235435E-2</v>
      </c>
      <c r="X18" s="67"/>
      <c r="Y18" s="67">
        <f t="shared" ref="Y18:AF18" si="24">IF( $E$8 &gt; $E$9, NA(), IF( $E$9 &gt; $E$10, NA(), IF( $E$8 = $E$10, $E$9, IF( Y$5 &lt; (( $E$9 - $E$8 ) / ( $E$10 - $E$8 )), $E$8 + SQRT( Y$5 * ( $E$9 - $E$8 ) * ( $E$10 - $E$8 )), $E$10 - SQRT(( 1 - Y$5 ) * ( $E$10 - $E$8 ) * ( $E$10 - $E$9 ))))))-IF( $D$8 &gt; $D$9, NA(), IF( $D$9 &gt; $D$10, NA(), IF( $D$8 = $D$10, $D$9, IF( $K18 &lt; (( $D$9 - $D$8 ) / ( $D$10 - $D$8 )), $D$8 + SQRT( $K18 * ( $D$9 - $D$8 ) * ( $D$10 - $D$8 )), $D$10 - SQRT(( 1 - $K18 ) * ( $D$10 - $D$8 ) * ( $D$10 - $D$9 ))))))</f>
        <v>1.4144966032623496E-2</v>
      </c>
      <c r="Z18" s="67">
        <f t="shared" si="24"/>
        <v>2.775557716361865E-2</v>
      </c>
      <c r="AA18" s="67">
        <f t="shared" si="24"/>
        <v>4.0888173106966241E-2</v>
      </c>
      <c r="AB18" s="67">
        <f t="shared" si="24"/>
        <v>5.3589838486224561E-2</v>
      </c>
      <c r="AC18" s="67">
        <f t="shared" si="24"/>
        <v>6.6987298107780702E-2</v>
      </c>
      <c r="AD18" s="67">
        <f t="shared" si="24"/>
        <v>8.2879160367569815E-2</v>
      </c>
      <c r="AE18" s="67">
        <f t="shared" si="24"/>
        <v>0.10358983848622449</v>
      </c>
      <c r="AF18" s="67">
        <f t="shared" si="24"/>
        <v>0.15358983848622454</v>
      </c>
    </row>
    <row r="19" spans="2:32" x14ac:dyDescent="0.2">
      <c r="K19" s="68">
        <v>0.65</v>
      </c>
      <c r="L19" s="67">
        <f t="shared" si="1"/>
        <v>-0.36055512754639896</v>
      </c>
      <c r="M19" s="67">
        <f t="shared" si="3"/>
        <v>-0.26055512754639892</v>
      </c>
      <c r="N19" s="67">
        <f t="shared" si="5"/>
        <v>-0.2191337713090894</v>
      </c>
      <c r="O19" s="67">
        <f t="shared" si="7"/>
        <v>-0.18735004678951117</v>
      </c>
      <c r="P19" s="67">
        <f t="shared" si="9"/>
        <v>-0.16055512754639889</v>
      </c>
      <c r="Q19" s="67">
        <f t="shared" si="11"/>
        <v>-0.13694832979641997</v>
      </c>
      <c r="R19" s="67">
        <f t="shared" si="13"/>
        <v>-0.1156061532680811</v>
      </c>
      <c r="S19" s="67">
        <f t="shared" si="15"/>
        <v>-9.597999643993993E-2</v>
      </c>
      <c r="T19" s="67">
        <f t="shared" si="17"/>
        <v>-7.7712415071779839E-2</v>
      </c>
      <c r="U19" s="67">
        <f t="shared" si="19"/>
        <v>-6.0555127546398912E-2</v>
      </c>
      <c r="V19" s="67">
        <f t="shared" si="21"/>
        <v>-4.432736152956096E-2</v>
      </c>
      <c r="W19" s="67">
        <f t="shared" si="23"/>
        <v>-2.8892648510858931E-2</v>
      </c>
      <c r="X19" s="67">
        <f t="shared" ref="X19:X26" si="25">IF( $E$8 &gt; $E$9, NA(), IF( $E$9 &gt; $E$10, NA(), IF( $E$8 = $E$10, $E$9, IF( X$5 &lt; (( $E$9 - $E$8 ) / ( $E$10 - $E$8 )), $E$8 + SQRT( X$5 * ( $E$9 - $E$8 ) * ( $E$10 - $E$8 )), $E$10 - SQRT(( 1 - X$5 ) * ( $E$10 - $E$8 ) * ( $E$10 - $E$9 ))))))-IF( $D$8 &gt; $D$9, NA(), IF( $D$9 &gt; $D$10, NA(), IF( $D$8 = $D$10, $D$9, IF( $K19 &lt; (( $D$9 - $D$8 ) / ( $D$10 - $D$8 )), $D$8 + SQRT( $K19 * ( $D$9 - $D$8 ) * ( $D$10 - $D$8 )), $D$10 - SQRT(( 1 - $K19 ) * ( $D$10 - $D$8 ) * ( $D$10 - $D$9 ))))))</f>
        <v>-1.4144966032623496E-2</v>
      </c>
      <c r="Y19" s="67"/>
      <c r="Z19" s="67">
        <f t="shared" ref="Z19:AF19" si="26">IF( $E$8 &gt; $E$9, NA(), IF( $E$9 &gt; $E$10, NA(), IF( $E$8 = $E$10, $E$9, IF( Z$5 &lt; (( $E$9 - $E$8 ) / ( $E$10 - $E$8 )), $E$8 + SQRT( Z$5 * ( $E$9 - $E$8 ) * ( $E$10 - $E$8 )), $E$10 - SQRT(( 1 - Z$5 ) * ( $E$10 - $E$8 ) * ( $E$10 - $E$9 ))))))-IF( $D$8 &gt; $D$9, NA(), IF( $D$9 &gt; $D$10, NA(), IF( $D$8 = $D$10, $D$9, IF( $K19 &lt; (( $D$9 - $D$8 ) / ( $D$10 - $D$8 )), $D$8 + SQRT( $K19 * ( $D$9 - $D$8 ) * ( $D$10 - $D$8 )), $D$10 - SQRT(( 1 - $K19 ) * ( $D$10 - $D$8 ) * ( $D$10 - $D$9 ))))))</f>
        <v>1.3610611130995154E-2</v>
      </c>
      <c r="AA19" s="67">
        <f t="shared" si="26"/>
        <v>2.6743207074342745E-2</v>
      </c>
      <c r="AB19" s="67">
        <f t="shared" si="26"/>
        <v>3.9444872453601065E-2</v>
      </c>
      <c r="AC19" s="67">
        <f t="shared" si="26"/>
        <v>5.2842332075157206E-2</v>
      </c>
      <c r="AD19" s="67">
        <f t="shared" si="26"/>
        <v>6.8734194334946319E-2</v>
      </c>
      <c r="AE19" s="67">
        <f t="shared" si="26"/>
        <v>8.9444872453600999E-2</v>
      </c>
      <c r="AF19" s="67">
        <f t="shared" si="26"/>
        <v>0.13944487245360104</v>
      </c>
    </row>
    <row r="20" spans="2:32" x14ac:dyDescent="0.2">
      <c r="K20" s="68">
        <v>0.7</v>
      </c>
      <c r="L20" s="67">
        <f t="shared" si="1"/>
        <v>-0.37416573867739411</v>
      </c>
      <c r="M20" s="67">
        <f t="shared" si="3"/>
        <v>-0.27416573867739408</v>
      </c>
      <c r="N20" s="67">
        <f t="shared" si="5"/>
        <v>-0.23274438244008455</v>
      </c>
      <c r="O20" s="67">
        <f t="shared" si="7"/>
        <v>-0.20096065792050632</v>
      </c>
      <c r="P20" s="67">
        <f t="shared" si="9"/>
        <v>-0.17416573867739404</v>
      </c>
      <c r="Q20" s="67">
        <f t="shared" si="11"/>
        <v>-0.15055894092741512</v>
      </c>
      <c r="R20" s="67">
        <f t="shared" si="13"/>
        <v>-0.12921676439907626</v>
      </c>
      <c r="S20" s="67">
        <f t="shared" si="15"/>
        <v>-0.10959060757093508</v>
      </c>
      <c r="T20" s="67">
        <f t="shared" si="17"/>
        <v>-9.1323026202774993E-2</v>
      </c>
      <c r="U20" s="67">
        <f t="shared" si="19"/>
        <v>-7.4165738677394066E-2</v>
      </c>
      <c r="V20" s="67">
        <f t="shared" si="21"/>
        <v>-5.7937972660556114E-2</v>
      </c>
      <c r="W20" s="67">
        <f t="shared" si="23"/>
        <v>-4.2503259641854085E-2</v>
      </c>
      <c r="X20" s="67">
        <f t="shared" si="25"/>
        <v>-2.775557716361865E-2</v>
      </c>
      <c r="Y20" s="67">
        <f t="shared" ref="Y20:Y26" si="27">IF( $E$8 &gt; $E$9, NA(), IF( $E$9 &gt; $E$10, NA(), IF( $E$8 = $E$10, $E$9, IF( Y$5 &lt; (( $E$9 - $E$8 ) / ( $E$10 - $E$8 )), $E$8 + SQRT( Y$5 * ( $E$9 - $E$8 ) * ( $E$10 - $E$8 )), $E$10 - SQRT(( 1 - Y$5 ) * ( $E$10 - $E$8 ) * ( $E$10 - $E$9 ))))))-IF( $D$8 &gt; $D$9, NA(), IF( $D$9 &gt; $D$10, NA(), IF( $D$8 = $D$10, $D$9, IF( $K20 &lt; (( $D$9 - $D$8 ) / ( $D$10 - $D$8 )), $D$8 + SQRT( $K20 * ( $D$9 - $D$8 ) * ( $D$10 - $D$8 )), $D$10 - SQRT(( 1 - $K20 ) * ( $D$10 - $D$8 ) * ( $D$10 - $D$9 ))))))</f>
        <v>-1.3610611130995154E-2</v>
      </c>
      <c r="Z20" s="67"/>
      <c r="AA20" s="67">
        <f t="shared" ref="AA20:AF20" si="28">IF( $E$8 &gt; $E$9, NA(), IF( $E$9 &gt; $E$10, NA(), IF( $E$8 = $E$10, $E$9, IF( AA$5 &lt; (( $E$9 - $E$8 ) / ( $E$10 - $E$8 )), $E$8 + SQRT( AA$5 * ( $E$9 - $E$8 ) * ( $E$10 - $E$8 )), $E$10 - SQRT(( 1 - AA$5 ) * ( $E$10 - $E$8 ) * ( $E$10 - $E$9 ))))))-IF( $D$8 &gt; $D$9, NA(), IF( $D$9 &gt; $D$10, NA(), IF( $D$8 = $D$10, $D$9, IF( $K20 &lt; (( $D$9 - $D$8 ) / ( $D$10 - $D$8 )), $D$8 + SQRT( $K20 * ( $D$9 - $D$8 ) * ( $D$10 - $D$8 )), $D$10 - SQRT(( 1 - $K20 ) * ( $D$10 - $D$8 ) * ( $D$10 - $D$9 ))))))</f>
        <v>1.3132595943347591E-2</v>
      </c>
      <c r="AB20" s="67">
        <f t="shared" si="28"/>
        <v>2.5834261322605911E-2</v>
      </c>
      <c r="AC20" s="67">
        <f t="shared" si="28"/>
        <v>3.9231720944162052E-2</v>
      </c>
      <c r="AD20" s="67">
        <f t="shared" si="28"/>
        <v>5.5123583203951165E-2</v>
      </c>
      <c r="AE20" s="67">
        <f t="shared" si="28"/>
        <v>7.5834261322605845E-2</v>
      </c>
      <c r="AF20" s="67">
        <f t="shared" si="28"/>
        <v>0.12583426132260589</v>
      </c>
    </row>
    <row r="21" spans="2:32" x14ac:dyDescent="0.2">
      <c r="K21" s="68">
        <v>0.75</v>
      </c>
      <c r="L21" s="67">
        <f t="shared" si="1"/>
        <v>-0.3872983346207417</v>
      </c>
      <c r="M21" s="67">
        <f t="shared" si="3"/>
        <v>-0.28729833462074167</v>
      </c>
      <c r="N21" s="67">
        <f t="shared" si="5"/>
        <v>-0.24587697838343214</v>
      </c>
      <c r="O21" s="67">
        <f t="shared" si="7"/>
        <v>-0.21409325386385392</v>
      </c>
      <c r="P21" s="67">
        <f t="shared" si="9"/>
        <v>-0.18729833462074164</v>
      </c>
      <c r="Q21" s="67">
        <f t="shared" si="11"/>
        <v>-0.16369153687076271</v>
      </c>
      <c r="R21" s="67">
        <f t="shared" si="13"/>
        <v>-0.14234936034242385</v>
      </c>
      <c r="S21" s="67">
        <f t="shared" si="15"/>
        <v>-0.12272320351428267</v>
      </c>
      <c r="T21" s="67">
        <f t="shared" si="17"/>
        <v>-0.10445562214612258</v>
      </c>
      <c r="U21" s="67">
        <f t="shared" si="19"/>
        <v>-8.7298334620741658E-2</v>
      </c>
      <c r="V21" s="67">
        <f t="shared" si="21"/>
        <v>-7.1070568603903705E-2</v>
      </c>
      <c r="W21" s="67">
        <f t="shared" si="23"/>
        <v>-5.5635855585201677E-2</v>
      </c>
      <c r="X21" s="67">
        <f t="shared" si="25"/>
        <v>-4.0888173106966241E-2</v>
      </c>
      <c r="Y21" s="67">
        <f t="shared" si="27"/>
        <v>-2.6743207074342745E-2</v>
      </c>
      <c r="Z21" s="67">
        <f t="shared" ref="Z21:Z26" si="29">IF( $E$8 &gt; $E$9, NA(), IF( $E$9 &gt; $E$10, NA(), IF( $E$8 = $E$10, $E$9, IF( Z$5 &lt; (( $E$9 - $E$8 ) / ( $E$10 - $E$8 )), $E$8 + SQRT( Z$5 * ( $E$9 - $E$8 ) * ( $E$10 - $E$8 )), $E$10 - SQRT(( 1 - Z$5 ) * ( $E$10 - $E$8 ) * ( $E$10 - $E$9 ))))))-IF( $D$8 &gt; $D$9, NA(), IF( $D$9 &gt; $D$10, NA(), IF( $D$8 = $D$10, $D$9, IF( $K21 &lt; (( $D$9 - $D$8 ) / ( $D$10 - $D$8 )), $D$8 + SQRT( $K21 * ( $D$9 - $D$8 ) * ( $D$10 - $D$8 )), $D$10 - SQRT(( 1 - $K21 ) * ( $D$10 - $D$8 ) * ( $D$10 - $D$9 ))))))</f>
        <v>-1.3132595943347591E-2</v>
      </c>
      <c r="AA21" s="67"/>
      <c r="AB21" s="67">
        <f>IF( $E$8 &gt; $E$9, NA(), IF( $E$9 &gt; $E$10, NA(), IF( $E$8 = $E$10, $E$9, IF( AB$5 &lt; (( $E$9 - $E$8 ) / ( $E$10 - $E$8 )), $E$8 + SQRT( AB$5 * ( $E$9 - $E$8 ) * ( $E$10 - $E$8 )), $E$10 - SQRT(( 1 - AB$5 ) * ( $E$10 - $E$8 ) * ( $E$10 - $E$9 ))))))-IF( $D$8 &gt; $D$9, NA(), IF( $D$9 &gt; $D$10, NA(), IF( $D$8 = $D$10, $D$9, IF( $K21 &lt; (( $D$9 - $D$8 ) / ( $D$10 - $D$8 )), $D$8 + SQRT( $K21 * ( $D$9 - $D$8 ) * ( $D$10 - $D$8 )), $D$10 - SQRT(( 1 - $K21 ) * ( $D$10 - $D$8 ) * ( $D$10 - $D$9 ))))))</f>
        <v>1.270166537925832E-2</v>
      </c>
      <c r="AC21" s="67">
        <f>IF( $E$8 &gt; $E$9, NA(), IF( $E$9 &gt; $E$10, NA(), IF( $E$8 = $E$10, $E$9, IF( AC$5 &lt; (( $E$9 - $E$8 ) / ( $E$10 - $E$8 )), $E$8 + SQRT( AC$5 * ( $E$9 - $E$8 ) * ( $E$10 - $E$8 )), $E$10 - SQRT(( 1 - AC$5 ) * ( $E$10 - $E$8 ) * ( $E$10 - $E$9 ))))))-IF( $D$8 &gt; $D$9, NA(), IF( $D$9 &gt; $D$10, NA(), IF( $D$8 = $D$10, $D$9, IF( $K21 &lt; (( $D$9 - $D$8 ) / ( $D$10 - $D$8 )), $D$8 + SQRT( $K21 * ( $D$9 - $D$8 ) * ( $D$10 - $D$8 )), $D$10 - SQRT(( 1 - $K21 ) * ( $D$10 - $D$8 ) * ( $D$10 - $D$9 ))))))</f>
        <v>2.609912500081446E-2</v>
      </c>
      <c r="AD21" s="67">
        <f>IF( $E$8 &gt; $E$9, NA(), IF( $E$9 &gt; $E$10, NA(), IF( $E$8 = $E$10, $E$9, IF( AD$5 &lt; (( $E$9 - $E$8 ) / ( $E$10 - $E$8 )), $E$8 + SQRT( AD$5 * ( $E$9 - $E$8 ) * ( $E$10 - $E$8 )), $E$10 - SQRT(( 1 - AD$5 ) * ( $E$10 - $E$8 ) * ( $E$10 - $E$9 ))))))-IF( $D$8 &gt; $D$9, NA(), IF( $D$9 &gt; $D$10, NA(), IF( $D$8 = $D$10, $D$9, IF( $K21 &lt; (( $D$9 - $D$8 ) / ( $D$10 - $D$8 )), $D$8 + SQRT( $K21 * ( $D$9 - $D$8 ) * ( $D$10 - $D$8 )), $D$10 - SQRT(( 1 - $K21 ) * ( $D$10 - $D$8 ) * ( $D$10 - $D$9 ))))))</f>
        <v>4.1990987260603574E-2</v>
      </c>
      <c r="AE21" s="67">
        <f>IF( $E$8 &gt; $E$9, NA(), IF( $E$9 &gt; $E$10, NA(), IF( $E$8 = $E$10, $E$9, IF( AE$5 &lt; (( $E$9 - $E$8 ) / ( $E$10 - $E$8 )), $E$8 + SQRT( AE$5 * ( $E$9 - $E$8 ) * ( $E$10 - $E$8 )), $E$10 - SQRT(( 1 - AE$5 ) * ( $E$10 - $E$8 ) * ( $E$10 - $E$9 ))))))-IF( $D$8 &gt; $D$9, NA(), IF( $D$9 &gt; $D$10, NA(), IF( $D$8 = $D$10, $D$9, IF( $K21 &lt; (( $D$9 - $D$8 ) / ( $D$10 - $D$8 )), $D$8 + SQRT( $K21 * ( $D$9 - $D$8 ) * ( $D$10 - $D$8 )), $D$10 - SQRT(( 1 - $K21 ) * ( $D$10 - $D$8 ) * ( $D$10 - $D$9 ))))))</f>
        <v>6.2701665379258253E-2</v>
      </c>
      <c r="AF21" s="67">
        <f>IF( $E$8 &gt; $E$9, NA(), IF( $E$9 &gt; $E$10, NA(), IF( $E$8 = $E$10, $E$9, IF( AF$5 &lt; (( $E$9 - $E$8 ) / ( $E$10 - $E$8 )), $E$8 + SQRT( AF$5 * ( $E$9 - $E$8 ) * ( $E$10 - $E$8 )), $E$10 - SQRT(( 1 - AF$5 ) * ( $E$10 - $E$8 ) * ( $E$10 - $E$9 ))))))-IF( $D$8 &gt; $D$9, NA(), IF( $D$9 &gt; $D$10, NA(), IF( $D$8 = $D$10, $D$9, IF( $K21 &lt; (( $D$9 - $D$8 ) / ( $D$10 - $D$8 )), $D$8 + SQRT( $K21 * ( $D$9 - $D$8 ) * ( $D$10 - $D$8 )), $D$10 - SQRT(( 1 - $K21 ) * ( $D$10 - $D$8 ) * ( $D$10 - $D$9 ))))))</f>
        <v>0.1127016653792583</v>
      </c>
    </row>
    <row r="22" spans="2:32" x14ac:dyDescent="0.2">
      <c r="K22" s="68">
        <v>0.8</v>
      </c>
      <c r="L22" s="67">
        <f t="shared" si="1"/>
        <v>-0.4</v>
      </c>
      <c r="M22" s="67">
        <f t="shared" si="3"/>
        <v>-0.3</v>
      </c>
      <c r="N22" s="67">
        <f t="shared" si="5"/>
        <v>-0.25857864376269046</v>
      </c>
      <c r="O22" s="67">
        <f t="shared" si="7"/>
        <v>-0.22679491924311224</v>
      </c>
      <c r="P22" s="67">
        <f t="shared" si="9"/>
        <v>-0.19999999999999996</v>
      </c>
      <c r="Q22" s="67">
        <f t="shared" si="11"/>
        <v>-0.17639320225002103</v>
      </c>
      <c r="R22" s="67">
        <f t="shared" si="13"/>
        <v>-0.15505102572168217</v>
      </c>
      <c r="S22" s="67">
        <f t="shared" si="15"/>
        <v>-0.13542486889354099</v>
      </c>
      <c r="T22" s="67">
        <f t="shared" si="17"/>
        <v>-0.1171572875253809</v>
      </c>
      <c r="U22" s="67">
        <f t="shared" si="19"/>
        <v>-9.9999999999999978E-2</v>
      </c>
      <c r="V22" s="67">
        <f t="shared" si="21"/>
        <v>-8.3772233983162026E-2</v>
      </c>
      <c r="W22" s="67">
        <f t="shared" si="23"/>
        <v>-6.8337520964459997E-2</v>
      </c>
      <c r="X22" s="67">
        <f t="shared" si="25"/>
        <v>-5.3589838486224561E-2</v>
      </c>
      <c r="Y22" s="67">
        <f t="shared" si="27"/>
        <v>-3.9444872453601065E-2</v>
      </c>
      <c r="Z22" s="67">
        <f t="shared" si="29"/>
        <v>-2.5834261322605911E-2</v>
      </c>
      <c r="AA22" s="67">
        <f>IF( $E$8 &gt; $E$9, NA(), IF( $E$9 &gt; $E$10, NA(), IF( $E$8 = $E$10, $E$9, IF( AA$5 &lt; (( $E$9 - $E$8 ) / ( $E$10 - $E$8 )), $E$8 + SQRT( AA$5 * ( $E$9 - $E$8 ) * ( $E$10 - $E$8 )), $E$10 - SQRT(( 1 - AA$5 ) * ( $E$10 - $E$8 ) * ( $E$10 - $E$9 ))))))-IF( $D$8 &gt; $D$9, NA(), IF( $D$9 &gt; $D$10, NA(), IF( $D$8 = $D$10, $D$9, IF( $K22 &lt; (( $D$9 - $D$8 ) / ( $D$10 - $D$8 )), $D$8 + SQRT( $K22 * ( $D$9 - $D$8 ) * ( $D$10 - $D$8 )), $D$10 - SQRT(( 1 - $K22 ) * ( $D$10 - $D$8 ) * ( $D$10 - $D$9 ))))))</f>
        <v>-1.270166537925832E-2</v>
      </c>
      <c r="AB22" s="67"/>
      <c r="AC22" s="67">
        <f>IF( $E$8 &gt; $E$9, NA(), IF( $E$9 &gt; $E$10, NA(), IF( $E$8 = $E$10, $E$9, IF( AC$5 &lt; (( $E$9 - $E$8 ) / ( $E$10 - $E$8 )), $E$8 + SQRT( AC$5 * ( $E$9 - $E$8 ) * ( $E$10 - $E$8 )), $E$10 - SQRT(( 1 - AC$5 ) * ( $E$10 - $E$8 ) * ( $E$10 - $E$9 ))))))-IF( $D$8 &gt; $D$9, NA(), IF( $D$9 &gt; $D$10, NA(), IF( $D$8 = $D$10, $D$9, IF( $K22 &lt; (( $D$9 - $D$8 ) / ( $D$10 - $D$8 )), $D$8 + SQRT( $K22 * ( $D$9 - $D$8 ) * ( $D$10 - $D$8 )), $D$10 - SQRT(( 1 - $K22 ) * ( $D$10 - $D$8 ) * ( $D$10 - $D$9 ))))))</f>
        <v>1.339745962155614E-2</v>
      </c>
      <c r="AD22" s="67">
        <f>IF( $E$8 &gt; $E$9, NA(), IF( $E$9 &gt; $E$10, NA(), IF( $E$8 = $E$10, $E$9, IF( AD$5 &lt; (( $E$9 - $E$8 ) / ( $E$10 - $E$8 )), $E$8 + SQRT( AD$5 * ( $E$9 - $E$8 ) * ( $E$10 - $E$8 )), $E$10 - SQRT(( 1 - AD$5 ) * ( $E$10 - $E$8 ) * ( $E$10 - $E$9 ))))))-IF( $D$8 &gt; $D$9, NA(), IF( $D$9 &gt; $D$10, NA(), IF( $D$8 = $D$10, $D$9, IF( $K22 &lt; (( $D$9 - $D$8 ) / ( $D$10 - $D$8 )), $D$8 + SQRT( $K22 * ( $D$9 - $D$8 ) * ( $D$10 - $D$8 )), $D$10 - SQRT(( 1 - $K22 ) * ( $D$10 - $D$8 ) * ( $D$10 - $D$9 ))))))</f>
        <v>2.9289321881345254E-2</v>
      </c>
      <c r="AE22" s="67">
        <f>IF( $E$8 &gt; $E$9, NA(), IF( $E$9 &gt; $E$10, NA(), IF( $E$8 = $E$10, $E$9, IF( AE$5 &lt; (( $E$9 - $E$8 ) / ( $E$10 - $E$8 )), $E$8 + SQRT( AE$5 * ( $E$9 - $E$8 ) * ( $E$10 - $E$8 )), $E$10 - SQRT(( 1 - AE$5 ) * ( $E$10 - $E$8 ) * ( $E$10 - $E$9 ))))))-IF( $D$8 &gt; $D$9, NA(), IF( $D$9 &gt; $D$10, NA(), IF( $D$8 = $D$10, $D$9, IF( $K22 &lt; (( $D$9 - $D$8 ) / ( $D$10 - $D$8 )), $D$8 + SQRT( $K22 * ( $D$9 - $D$8 ) * ( $D$10 - $D$8 )), $D$10 - SQRT(( 1 - $K22 ) * ( $D$10 - $D$8 ) * ( $D$10 - $D$9 ))))))</f>
        <v>4.9999999999999933E-2</v>
      </c>
      <c r="AF22" s="67">
        <f>IF( $E$8 &gt; $E$9, NA(), IF( $E$9 &gt; $E$10, NA(), IF( $E$8 = $E$10, $E$9, IF( AF$5 &lt; (( $E$9 - $E$8 ) / ( $E$10 - $E$8 )), $E$8 + SQRT( AF$5 * ( $E$9 - $E$8 ) * ( $E$10 - $E$8 )), $E$10 - SQRT(( 1 - AF$5 ) * ( $E$10 - $E$8 ) * ( $E$10 - $E$9 ))))))-IF( $D$8 &gt; $D$9, NA(), IF( $D$9 &gt; $D$10, NA(), IF( $D$8 = $D$10, $D$9, IF( $K22 &lt; (( $D$9 - $D$8 ) / ( $D$10 - $D$8 )), $D$8 + SQRT( $K22 * ( $D$9 - $D$8 ) * ( $D$10 - $D$8 )), $D$10 - SQRT(( 1 - $K22 ) * ( $D$10 - $D$8 ) * ( $D$10 - $D$9 ))))))</f>
        <v>9.9999999999999978E-2</v>
      </c>
    </row>
    <row r="23" spans="2:32" x14ac:dyDescent="0.2">
      <c r="K23" s="68">
        <v>0.85</v>
      </c>
      <c r="L23" s="67">
        <f t="shared" si="1"/>
        <v>-0.41339745962155616</v>
      </c>
      <c r="M23" s="67">
        <f t="shared" si="3"/>
        <v>-0.31339745962155613</v>
      </c>
      <c r="N23" s="67">
        <f t="shared" si="5"/>
        <v>-0.2719761033842466</v>
      </c>
      <c r="O23" s="67">
        <f t="shared" si="7"/>
        <v>-0.24019237886466838</v>
      </c>
      <c r="P23" s="67">
        <f t="shared" si="9"/>
        <v>-0.2133974596215561</v>
      </c>
      <c r="Q23" s="67">
        <f t="shared" si="11"/>
        <v>-0.18979066187157717</v>
      </c>
      <c r="R23" s="67">
        <f t="shared" si="13"/>
        <v>-0.16844848534323831</v>
      </c>
      <c r="S23" s="67">
        <f t="shared" si="15"/>
        <v>-0.14882232851509714</v>
      </c>
      <c r="T23" s="67">
        <f t="shared" si="17"/>
        <v>-0.13055474714693704</v>
      </c>
      <c r="U23" s="67">
        <f t="shared" si="19"/>
        <v>-0.11339745962155612</v>
      </c>
      <c r="V23" s="67">
        <f t="shared" si="21"/>
        <v>-9.7169693604718166E-2</v>
      </c>
      <c r="W23" s="67">
        <f t="shared" si="23"/>
        <v>-8.1734980586016137E-2</v>
      </c>
      <c r="X23" s="67">
        <f t="shared" si="25"/>
        <v>-6.6987298107780702E-2</v>
      </c>
      <c r="Y23" s="67">
        <f t="shared" si="27"/>
        <v>-5.2842332075157206E-2</v>
      </c>
      <c r="Z23" s="67">
        <f t="shared" si="29"/>
        <v>-3.9231720944162052E-2</v>
      </c>
      <c r="AA23" s="67">
        <f>IF( $E$8 &gt; $E$9, NA(), IF( $E$9 &gt; $E$10, NA(), IF( $E$8 = $E$10, $E$9, IF( AA$5 &lt; (( $E$9 - $E$8 ) / ( $E$10 - $E$8 )), $E$8 + SQRT( AA$5 * ( $E$9 - $E$8 ) * ( $E$10 - $E$8 )), $E$10 - SQRT(( 1 - AA$5 ) * ( $E$10 - $E$8 ) * ( $E$10 - $E$9 ))))))-IF( $D$8 &gt; $D$9, NA(), IF( $D$9 &gt; $D$10, NA(), IF( $D$8 = $D$10, $D$9, IF( $K23 &lt; (( $D$9 - $D$8 ) / ( $D$10 - $D$8 )), $D$8 + SQRT( $K23 * ( $D$9 - $D$8 ) * ( $D$10 - $D$8 )), $D$10 - SQRT(( 1 - $K23 ) * ( $D$10 - $D$8 ) * ( $D$10 - $D$9 ))))))</f>
        <v>-2.609912500081446E-2</v>
      </c>
      <c r="AB23" s="67">
        <f>IF( $E$8 &gt; $E$9, NA(), IF( $E$9 &gt; $E$10, NA(), IF( $E$8 = $E$10, $E$9, IF( AB$5 &lt; (( $E$9 - $E$8 ) / ( $E$10 - $E$8 )), $E$8 + SQRT( AB$5 * ( $E$9 - $E$8 ) * ( $E$10 - $E$8 )), $E$10 - SQRT(( 1 - AB$5 ) * ( $E$10 - $E$8 ) * ( $E$10 - $E$9 ))))))-IF( $D$8 &gt; $D$9, NA(), IF( $D$9 &gt; $D$10, NA(), IF( $D$8 = $D$10, $D$9, IF( $K23 &lt; (( $D$9 - $D$8 ) / ( $D$10 - $D$8 )), $D$8 + SQRT( $K23 * ( $D$9 - $D$8 ) * ( $D$10 - $D$8 )), $D$10 - SQRT(( 1 - $K23 ) * ( $D$10 - $D$8 ) * ( $D$10 - $D$9 ))))))</f>
        <v>-1.339745962155614E-2</v>
      </c>
      <c r="AC23" s="67"/>
      <c r="AD23" s="67">
        <f>IF( $E$8 &gt; $E$9, NA(), IF( $E$9 &gt; $E$10, NA(), IF( $E$8 = $E$10, $E$9, IF( AD$5 &lt; (( $E$9 - $E$8 ) / ( $E$10 - $E$8 )), $E$8 + SQRT( AD$5 * ( $E$9 - $E$8 ) * ( $E$10 - $E$8 )), $E$10 - SQRT(( 1 - AD$5 ) * ( $E$10 - $E$8 ) * ( $E$10 - $E$9 ))))))-IF( $D$8 &gt; $D$9, NA(), IF( $D$9 &gt; $D$10, NA(), IF( $D$8 = $D$10, $D$9, IF( $K23 &lt; (( $D$9 - $D$8 ) / ( $D$10 - $D$8 )), $D$8 + SQRT( $K23 * ( $D$9 - $D$8 ) * ( $D$10 - $D$8 )), $D$10 - SQRT(( 1 - $K23 ) * ( $D$10 - $D$8 ) * ( $D$10 - $D$9 ))))))</f>
        <v>1.5891862259789113E-2</v>
      </c>
      <c r="AE23" s="67">
        <f>IF( $E$8 &gt; $E$9, NA(), IF( $E$9 &gt; $E$10, NA(), IF( $E$8 = $E$10, $E$9, IF( AE$5 &lt; (( $E$9 - $E$8 ) / ( $E$10 - $E$8 )), $E$8 + SQRT( AE$5 * ( $E$9 - $E$8 ) * ( $E$10 - $E$8 )), $E$10 - SQRT(( 1 - AE$5 ) * ( $E$10 - $E$8 ) * ( $E$10 - $E$9 ))))))-IF( $D$8 &gt; $D$9, NA(), IF( $D$9 &gt; $D$10, NA(), IF( $D$8 = $D$10, $D$9, IF( $K23 &lt; (( $D$9 - $D$8 ) / ( $D$10 - $D$8 )), $D$8 + SQRT( $K23 * ( $D$9 - $D$8 ) * ( $D$10 - $D$8 )), $D$10 - SQRT(( 1 - $K23 ) * ( $D$10 - $D$8 ) * ( $D$10 - $D$9 ))))))</f>
        <v>3.6602540378443793E-2</v>
      </c>
      <c r="AF23" s="67">
        <f>IF( $E$8 &gt; $E$9, NA(), IF( $E$9 &gt; $E$10, NA(), IF( $E$8 = $E$10, $E$9, IF( AF$5 &lt; (( $E$9 - $E$8 ) / ( $E$10 - $E$8 )), $E$8 + SQRT( AF$5 * ( $E$9 - $E$8 ) * ( $E$10 - $E$8 )), $E$10 - SQRT(( 1 - AF$5 ) * ( $E$10 - $E$8 ) * ( $E$10 - $E$9 ))))))-IF( $D$8 &gt; $D$9, NA(), IF( $D$9 &gt; $D$10, NA(), IF( $D$8 = $D$10, $D$9, IF( $K23 &lt; (( $D$9 - $D$8 ) / ( $D$10 - $D$8 )), $D$8 + SQRT( $K23 * ( $D$9 - $D$8 ) * ( $D$10 - $D$8 )), $D$10 - SQRT(( 1 - $K23 ) * ( $D$10 - $D$8 ) * ( $D$10 - $D$9 ))))))</f>
        <v>8.6602540378443837E-2</v>
      </c>
    </row>
    <row r="24" spans="2:32" x14ac:dyDescent="0.2">
      <c r="K24" s="68">
        <v>0.9</v>
      </c>
      <c r="L24" s="67">
        <f t="shared" si="1"/>
        <v>-0.42928932188134528</v>
      </c>
      <c r="M24" s="67">
        <f t="shared" si="3"/>
        <v>-0.32928932188134524</v>
      </c>
      <c r="N24" s="67">
        <f t="shared" si="5"/>
        <v>-0.28786796564403572</v>
      </c>
      <c r="O24" s="67">
        <f t="shared" si="7"/>
        <v>-0.25608424112445749</v>
      </c>
      <c r="P24" s="67">
        <f t="shared" si="9"/>
        <v>-0.22928932188134521</v>
      </c>
      <c r="Q24" s="67">
        <f t="shared" si="11"/>
        <v>-0.20568252413136628</v>
      </c>
      <c r="R24" s="67">
        <f t="shared" si="13"/>
        <v>-0.18434034760302742</v>
      </c>
      <c r="S24" s="67">
        <f t="shared" si="15"/>
        <v>-0.16471419077488625</v>
      </c>
      <c r="T24" s="67">
        <f t="shared" si="17"/>
        <v>-0.14644660940672616</v>
      </c>
      <c r="U24" s="67">
        <f t="shared" si="19"/>
        <v>-0.12928932188134523</v>
      </c>
      <c r="V24" s="67">
        <f t="shared" si="21"/>
        <v>-0.11306155586450728</v>
      </c>
      <c r="W24" s="67">
        <f t="shared" si="23"/>
        <v>-9.7626842845805251E-2</v>
      </c>
      <c r="X24" s="67">
        <f t="shared" si="25"/>
        <v>-8.2879160367569815E-2</v>
      </c>
      <c r="Y24" s="67">
        <f t="shared" si="27"/>
        <v>-6.8734194334946319E-2</v>
      </c>
      <c r="Z24" s="67">
        <f t="shared" si="29"/>
        <v>-5.5123583203951165E-2</v>
      </c>
      <c r="AA24" s="67">
        <f>IF( $E$8 &gt; $E$9, NA(), IF( $E$9 &gt; $E$10, NA(), IF( $E$8 = $E$10, $E$9, IF( AA$5 &lt; (( $E$9 - $E$8 ) / ( $E$10 - $E$8 )), $E$8 + SQRT( AA$5 * ( $E$9 - $E$8 ) * ( $E$10 - $E$8 )), $E$10 - SQRT(( 1 - AA$5 ) * ( $E$10 - $E$8 ) * ( $E$10 - $E$9 ))))))-IF( $D$8 &gt; $D$9, NA(), IF( $D$9 &gt; $D$10, NA(), IF( $D$8 = $D$10, $D$9, IF( $K24 &lt; (( $D$9 - $D$8 ) / ( $D$10 - $D$8 )), $D$8 + SQRT( $K24 * ( $D$9 - $D$8 ) * ( $D$10 - $D$8 )), $D$10 - SQRT(( 1 - $K24 ) * ( $D$10 - $D$8 ) * ( $D$10 - $D$9 ))))))</f>
        <v>-4.1990987260603574E-2</v>
      </c>
      <c r="AB24" s="67">
        <f>IF( $E$8 &gt; $E$9, NA(), IF( $E$9 &gt; $E$10, NA(), IF( $E$8 = $E$10, $E$9, IF( AB$5 &lt; (( $E$9 - $E$8 ) / ( $E$10 - $E$8 )), $E$8 + SQRT( AB$5 * ( $E$9 - $E$8 ) * ( $E$10 - $E$8 )), $E$10 - SQRT(( 1 - AB$5 ) * ( $E$10 - $E$8 ) * ( $E$10 - $E$9 ))))))-IF( $D$8 &gt; $D$9, NA(), IF( $D$9 &gt; $D$10, NA(), IF( $D$8 = $D$10, $D$9, IF( $K24 &lt; (( $D$9 - $D$8 ) / ( $D$10 - $D$8 )), $D$8 + SQRT( $K24 * ( $D$9 - $D$8 ) * ( $D$10 - $D$8 )), $D$10 - SQRT(( 1 - $K24 ) * ( $D$10 - $D$8 ) * ( $D$10 - $D$9 ))))))</f>
        <v>-2.9289321881345254E-2</v>
      </c>
      <c r="AC24" s="67">
        <f>IF( $E$8 &gt; $E$9, NA(), IF( $E$9 &gt; $E$10, NA(), IF( $E$8 = $E$10, $E$9, IF( AC$5 &lt; (( $E$9 - $E$8 ) / ( $E$10 - $E$8 )), $E$8 + SQRT( AC$5 * ( $E$9 - $E$8 ) * ( $E$10 - $E$8 )), $E$10 - SQRT(( 1 - AC$5 ) * ( $E$10 - $E$8 ) * ( $E$10 - $E$9 ))))))-IF( $D$8 &gt; $D$9, NA(), IF( $D$9 &gt; $D$10, NA(), IF( $D$8 = $D$10, $D$9, IF( $K24 &lt; (( $D$9 - $D$8 ) / ( $D$10 - $D$8 )), $D$8 + SQRT( $K24 * ( $D$9 - $D$8 ) * ( $D$10 - $D$8 )), $D$10 - SQRT(( 1 - $K24 ) * ( $D$10 - $D$8 ) * ( $D$10 - $D$9 ))))))</f>
        <v>-1.5891862259789113E-2</v>
      </c>
      <c r="AD24" s="67"/>
      <c r="AE24" s="67">
        <f>IF( $E$8 &gt; $E$9, NA(), IF( $E$9 &gt; $E$10, NA(), IF( $E$8 = $E$10, $E$9, IF( AE$5 &lt; (( $E$9 - $E$8 ) / ( $E$10 - $E$8 )), $E$8 + SQRT( AE$5 * ( $E$9 - $E$8 ) * ( $E$10 - $E$8 )), $E$10 - SQRT(( 1 - AE$5 ) * ( $E$10 - $E$8 ) * ( $E$10 - $E$9 ))))))-IF( $D$8 &gt; $D$9, NA(), IF( $D$9 &gt; $D$10, NA(), IF( $D$8 = $D$10, $D$9, IF( $K24 &lt; (( $D$9 - $D$8 ) / ( $D$10 - $D$8 )), $D$8 + SQRT( $K24 * ( $D$9 - $D$8 ) * ( $D$10 - $D$8 )), $D$10 - SQRT(( 1 - $K24 ) * ( $D$10 - $D$8 ) * ( $D$10 - $D$9 ))))))</f>
        <v>2.071067811865468E-2</v>
      </c>
      <c r="AF24" s="67">
        <f>IF( $E$8 &gt; $E$9, NA(), IF( $E$9 &gt; $E$10, NA(), IF( $E$8 = $E$10, $E$9, IF( AF$5 &lt; (( $E$9 - $E$8 ) / ( $E$10 - $E$8 )), $E$8 + SQRT( AF$5 * ( $E$9 - $E$8 ) * ( $E$10 - $E$8 )), $E$10 - SQRT(( 1 - AF$5 ) * ( $E$10 - $E$8 ) * ( $E$10 - $E$9 ))))))-IF( $D$8 &gt; $D$9, NA(), IF( $D$9 &gt; $D$10, NA(), IF( $D$8 = $D$10, $D$9, IF( $K24 &lt; (( $D$9 - $D$8 ) / ( $D$10 - $D$8 )), $D$8 + SQRT( $K24 * ( $D$9 - $D$8 ) * ( $D$10 - $D$8 )), $D$10 - SQRT(( 1 - $K24 ) * ( $D$10 - $D$8 ) * ( $D$10 - $D$9 ))))))</f>
        <v>7.0710678118654724E-2</v>
      </c>
    </row>
    <row r="25" spans="2:32" x14ac:dyDescent="0.2">
      <c r="K25" s="68">
        <v>0.95</v>
      </c>
      <c r="L25" s="67">
        <f t="shared" si="1"/>
        <v>-0.44999999999999996</v>
      </c>
      <c r="M25" s="67">
        <f t="shared" si="3"/>
        <v>-0.34999999999999992</v>
      </c>
      <c r="N25" s="67">
        <f t="shared" si="5"/>
        <v>-0.3085786437626904</v>
      </c>
      <c r="O25" s="67">
        <f t="shared" si="7"/>
        <v>-0.27679491924311217</v>
      </c>
      <c r="P25" s="67">
        <f t="shared" si="9"/>
        <v>-0.24999999999999989</v>
      </c>
      <c r="Q25" s="67">
        <f t="shared" si="11"/>
        <v>-0.22639320225002096</v>
      </c>
      <c r="R25" s="67">
        <f t="shared" si="13"/>
        <v>-0.2050510257216821</v>
      </c>
      <c r="S25" s="67">
        <f t="shared" si="15"/>
        <v>-0.18542486889354093</v>
      </c>
      <c r="T25" s="67">
        <f t="shared" si="17"/>
        <v>-0.16715728752538084</v>
      </c>
      <c r="U25" s="67">
        <f t="shared" si="19"/>
        <v>-0.14999999999999991</v>
      </c>
      <c r="V25" s="67">
        <f t="shared" si="21"/>
        <v>-0.13377223398316196</v>
      </c>
      <c r="W25" s="67">
        <f t="shared" si="23"/>
        <v>-0.11833752096445993</v>
      </c>
      <c r="X25" s="67">
        <f t="shared" si="25"/>
        <v>-0.10358983848622449</v>
      </c>
      <c r="Y25" s="67">
        <f t="shared" si="27"/>
        <v>-8.9444872453600999E-2</v>
      </c>
      <c r="Z25" s="67">
        <f t="shared" si="29"/>
        <v>-7.5834261322605845E-2</v>
      </c>
      <c r="AA25" s="67">
        <f>IF( $E$8 &gt; $E$9, NA(), IF( $E$9 &gt; $E$10, NA(), IF( $E$8 = $E$10, $E$9, IF( AA$5 &lt; (( $E$9 - $E$8 ) / ( $E$10 - $E$8 )), $E$8 + SQRT( AA$5 * ( $E$9 - $E$8 ) * ( $E$10 - $E$8 )), $E$10 - SQRT(( 1 - AA$5 ) * ( $E$10 - $E$8 ) * ( $E$10 - $E$9 ))))))-IF( $D$8 &gt; $D$9, NA(), IF( $D$9 &gt; $D$10, NA(), IF( $D$8 = $D$10, $D$9, IF( $K25 &lt; (( $D$9 - $D$8 ) / ( $D$10 - $D$8 )), $D$8 + SQRT( $K25 * ( $D$9 - $D$8 ) * ( $D$10 - $D$8 )), $D$10 - SQRT(( 1 - $K25 ) * ( $D$10 - $D$8 ) * ( $D$10 - $D$9 ))))))</f>
        <v>-6.2701665379258253E-2</v>
      </c>
      <c r="AB25" s="67">
        <f>IF( $E$8 &gt; $E$9, NA(), IF( $E$9 &gt; $E$10, NA(), IF( $E$8 = $E$10, $E$9, IF( AB$5 &lt; (( $E$9 - $E$8 ) / ( $E$10 - $E$8 )), $E$8 + SQRT( AB$5 * ( $E$9 - $E$8 ) * ( $E$10 - $E$8 )), $E$10 - SQRT(( 1 - AB$5 ) * ( $E$10 - $E$8 ) * ( $E$10 - $E$9 ))))))-IF( $D$8 &gt; $D$9, NA(), IF( $D$9 &gt; $D$10, NA(), IF( $D$8 = $D$10, $D$9, IF( $K25 &lt; (( $D$9 - $D$8 ) / ( $D$10 - $D$8 )), $D$8 + SQRT( $K25 * ( $D$9 - $D$8 ) * ( $D$10 - $D$8 )), $D$10 - SQRT(( 1 - $K25 ) * ( $D$10 - $D$8 ) * ( $D$10 - $D$9 ))))))</f>
        <v>-4.9999999999999933E-2</v>
      </c>
      <c r="AC25" s="67">
        <f>IF( $E$8 &gt; $E$9, NA(), IF( $E$9 &gt; $E$10, NA(), IF( $E$8 = $E$10, $E$9, IF( AC$5 &lt; (( $E$9 - $E$8 ) / ( $E$10 - $E$8 )), $E$8 + SQRT( AC$5 * ( $E$9 - $E$8 ) * ( $E$10 - $E$8 )), $E$10 - SQRT(( 1 - AC$5 ) * ( $E$10 - $E$8 ) * ( $E$10 - $E$9 ))))))-IF( $D$8 &gt; $D$9, NA(), IF( $D$9 &gt; $D$10, NA(), IF( $D$8 = $D$10, $D$9, IF( $K25 &lt; (( $D$9 - $D$8 ) / ( $D$10 - $D$8 )), $D$8 + SQRT( $K25 * ( $D$9 - $D$8 ) * ( $D$10 - $D$8 )), $D$10 - SQRT(( 1 - $K25 ) * ( $D$10 - $D$8 ) * ( $D$10 - $D$9 ))))))</f>
        <v>-3.6602540378443793E-2</v>
      </c>
      <c r="AD25" s="67">
        <f>IF( $E$8 &gt; $E$9, NA(), IF( $E$9 &gt; $E$10, NA(), IF( $E$8 = $E$10, $E$9, IF( AD$5 &lt; (( $E$9 - $E$8 ) / ( $E$10 - $E$8 )), $E$8 + SQRT( AD$5 * ( $E$9 - $E$8 ) * ( $E$10 - $E$8 )), $E$10 - SQRT(( 1 - AD$5 ) * ( $E$10 - $E$8 ) * ( $E$10 - $E$9 ))))))-IF( $D$8 &gt; $D$9, NA(), IF( $D$9 &gt; $D$10, NA(), IF( $D$8 = $D$10, $D$9, IF( $K25 &lt; (( $D$9 - $D$8 ) / ( $D$10 - $D$8 )), $D$8 + SQRT( $K25 * ( $D$9 - $D$8 ) * ( $D$10 - $D$8 )), $D$10 - SQRT(( 1 - $K25 ) * ( $D$10 - $D$8 ) * ( $D$10 - $D$9 ))))))</f>
        <v>-2.071067811865468E-2</v>
      </c>
      <c r="AE25" s="67"/>
      <c r="AF25" s="67">
        <f>IF( $E$8 &gt; $E$9, NA(), IF( $E$9 &gt; $E$10, NA(), IF( $E$8 = $E$10, $E$9, IF( AF$5 &lt; (( $E$9 - $E$8 ) / ( $E$10 - $E$8 )), $E$8 + SQRT( AF$5 * ( $E$9 - $E$8 ) * ( $E$10 - $E$8 )), $E$10 - SQRT(( 1 - AF$5 ) * ( $E$10 - $E$8 ) * ( $E$10 - $E$9 ))))))-IF( $D$8 &gt; $D$9, NA(), IF( $D$9 &gt; $D$10, NA(), IF( $D$8 = $D$10, $D$9, IF( $K25 &lt; (( $D$9 - $D$8 ) / ( $D$10 - $D$8 )), $D$8 + SQRT( $K25 * ( $D$9 - $D$8 ) * ( $D$10 - $D$8 )), $D$10 - SQRT(( 1 - $K25 ) * ( $D$10 - $D$8 ) * ( $D$10 - $D$9 ))))))</f>
        <v>5.0000000000000044E-2</v>
      </c>
    </row>
    <row r="26" spans="2:32" x14ac:dyDescent="0.2">
      <c r="B26" s="67">
        <f t="shared" ref="B26" si="30">IF( $E$8 &gt; $E$9, NA(), IF( $E$9 &gt; $E$10, NA(), IF( $E$8 = $E$10, $E$9, IF( B$5 &lt; (( $E$9 - $E$8 ) / ( $E$10 - $E$8 )), $E$8 + SQRT( B$5 * ( $E$9 - $E$8 ) * ( $E$10 - $E$8 )), $E$10 - SQRT(( 1 - B$5 ) * ( $E$10 - $E$8 ) * ( $E$10 - $E$9 ))))))-IF( $D$8 &gt; $D$9, NA(), IF( $D$9 &gt; $D$10, NA(), IF( $D$8 = $D$10, $D$9, IF( $K26 &lt; (( $D$9 - $D$8 ) / ( $D$10 - $D$8 )), $D$8 + SQRT( $K26 * ( $D$9 - $D$8 ) * ( $D$10 - $D$8 )), $D$10 - SQRT(( 1 - $K26 ) * ( $D$10 - $D$8 ) * ( $D$10 - $D$9 ))))))</f>
        <v>-0.5</v>
      </c>
      <c r="D26" s="276" t="s">
        <v>183</v>
      </c>
      <c r="K26" s="69">
        <v>1</v>
      </c>
      <c r="L26" s="67">
        <f t="shared" si="1"/>
        <v>-0.5</v>
      </c>
      <c r="M26" s="67">
        <f t="shared" si="3"/>
        <v>-0.39999999999999997</v>
      </c>
      <c r="N26" s="67">
        <f t="shared" si="5"/>
        <v>-0.35857864376269044</v>
      </c>
      <c r="O26" s="67">
        <f t="shared" si="7"/>
        <v>-0.32679491924311221</v>
      </c>
      <c r="P26" s="67">
        <f t="shared" si="9"/>
        <v>-0.29999999999999993</v>
      </c>
      <c r="Q26" s="67">
        <f t="shared" si="11"/>
        <v>-0.27639320225002101</v>
      </c>
      <c r="R26" s="67">
        <f t="shared" si="13"/>
        <v>-0.25505102572168215</v>
      </c>
      <c r="S26" s="67">
        <f t="shared" si="15"/>
        <v>-0.23542486889354097</v>
      </c>
      <c r="T26" s="67">
        <f t="shared" si="17"/>
        <v>-0.21715728752538088</v>
      </c>
      <c r="U26" s="67">
        <f t="shared" si="19"/>
        <v>-0.19999999999999996</v>
      </c>
      <c r="V26" s="67">
        <f t="shared" si="21"/>
        <v>-0.183772233983162</v>
      </c>
      <c r="W26" s="67">
        <f t="shared" si="23"/>
        <v>-0.16833752096445997</v>
      </c>
      <c r="X26" s="67">
        <f t="shared" si="25"/>
        <v>-0.15358983848622454</v>
      </c>
      <c r="Y26" s="67">
        <f t="shared" si="27"/>
        <v>-0.13944487245360104</v>
      </c>
      <c r="Z26" s="67">
        <f t="shared" si="29"/>
        <v>-0.12583426132260589</v>
      </c>
      <c r="AA26" s="67">
        <f>IF( $E$8 &gt; $E$9, NA(), IF( $E$9 &gt; $E$10, NA(), IF( $E$8 = $E$10, $E$9, IF( AA$5 &lt; (( $E$9 - $E$8 ) / ( $E$10 - $E$8 )), $E$8 + SQRT( AA$5 * ( $E$9 - $E$8 ) * ( $E$10 - $E$8 )), $E$10 - SQRT(( 1 - AA$5 ) * ( $E$10 - $E$8 ) * ( $E$10 - $E$9 ))))))-IF( $D$8 &gt; $D$9, NA(), IF( $D$9 &gt; $D$10, NA(), IF( $D$8 = $D$10, $D$9, IF( $K26 &lt; (( $D$9 - $D$8 ) / ( $D$10 - $D$8 )), $D$8 + SQRT( $K26 * ( $D$9 - $D$8 ) * ( $D$10 - $D$8 )), $D$10 - SQRT(( 1 - $K26 ) * ( $D$10 - $D$8 ) * ( $D$10 - $D$9 ))))))</f>
        <v>-0.1127016653792583</v>
      </c>
      <c r="AB26" s="67">
        <f>IF( $E$8 &gt; $E$9, NA(), IF( $E$9 &gt; $E$10, NA(), IF( $E$8 = $E$10, $E$9, IF( AB$5 &lt; (( $E$9 - $E$8 ) / ( $E$10 - $E$8 )), $E$8 + SQRT( AB$5 * ( $E$9 - $E$8 ) * ( $E$10 - $E$8 )), $E$10 - SQRT(( 1 - AB$5 ) * ( $E$10 - $E$8 ) * ( $E$10 - $E$9 ))))))-IF( $D$8 &gt; $D$9, NA(), IF( $D$9 &gt; $D$10, NA(), IF( $D$8 = $D$10, $D$9, IF( $K26 &lt; (( $D$9 - $D$8 ) / ( $D$10 - $D$8 )), $D$8 + SQRT( $K26 * ( $D$9 - $D$8 ) * ( $D$10 - $D$8 )), $D$10 - SQRT(( 1 - $K26 ) * ( $D$10 - $D$8 ) * ( $D$10 - $D$9 ))))))</f>
        <v>-9.9999999999999978E-2</v>
      </c>
      <c r="AC26" s="67">
        <f>IF( $E$8 &gt; $E$9, NA(), IF( $E$9 &gt; $E$10, NA(), IF( $E$8 = $E$10, $E$9, IF( AC$5 &lt; (( $E$9 - $E$8 ) / ( $E$10 - $E$8 )), $E$8 + SQRT( AC$5 * ( $E$9 - $E$8 ) * ( $E$10 - $E$8 )), $E$10 - SQRT(( 1 - AC$5 ) * ( $E$10 - $E$8 ) * ( $E$10 - $E$9 ))))))-IF( $D$8 &gt; $D$9, NA(), IF( $D$9 &gt; $D$10, NA(), IF( $D$8 = $D$10, $D$9, IF( $K26 &lt; (( $D$9 - $D$8 ) / ( $D$10 - $D$8 )), $D$8 + SQRT( $K26 * ( $D$9 - $D$8 ) * ( $D$10 - $D$8 )), $D$10 - SQRT(( 1 - $K26 ) * ( $D$10 - $D$8 ) * ( $D$10 - $D$9 ))))))</f>
        <v>-8.6602540378443837E-2</v>
      </c>
      <c r="AD26" s="67">
        <f>IF( $E$8 &gt; $E$9, NA(), IF( $E$9 &gt; $E$10, NA(), IF( $E$8 = $E$10, $E$9, IF( AD$5 &lt; (( $E$9 - $E$8 ) / ( $E$10 - $E$8 )), $E$8 + SQRT( AD$5 * ( $E$9 - $E$8 ) * ( $E$10 - $E$8 )), $E$10 - SQRT(( 1 - AD$5 ) * ( $E$10 - $E$8 ) * ( $E$10 - $E$9 ))))))-IF( $D$8 &gt; $D$9, NA(), IF( $D$9 &gt; $D$10, NA(), IF( $D$8 = $D$10, $D$9, IF( $K26 &lt; (( $D$9 - $D$8 ) / ( $D$10 - $D$8 )), $D$8 + SQRT( $K26 * ( $D$9 - $D$8 ) * ( $D$10 - $D$8 )), $D$10 - SQRT(( 1 - $K26 ) * ( $D$10 - $D$8 ) * ( $D$10 - $D$9 ))))))</f>
        <v>-7.0710678118654724E-2</v>
      </c>
      <c r="AE26" s="67">
        <f>IF( $E$8 &gt; $E$9, NA(), IF( $E$9 &gt; $E$10, NA(), IF( $E$8 = $E$10, $E$9, IF( AE$5 &lt; (( $E$9 - $E$8 ) / ( $E$10 - $E$8 )), $E$8 + SQRT( AE$5 * ( $E$9 - $E$8 ) * ( $E$10 - $E$8 )), $E$10 - SQRT(( 1 - AE$5 ) * ( $E$10 - $E$8 ) * ( $E$10 - $E$9 ))))))-IF( $D$8 &gt; $D$9, NA(), IF( $D$9 &gt; $D$10, NA(), IF( $D$8 = $D$10, $D$9, IF( $K26 &lt; (( $D$9 - $D$8 ) / ( $D$10 - $D$8 )), $D$8 + SQRT( $K26 * ( $D$9 - $D$8 ) * ( $D$10 - $D$8 )), $D$10 - SQRT(( 1 - $K26 ) * ( $D$10 - $D$8 ) * ( $D$10 - $D$9 ))))))</f>
        <v>-5.0000000000000044E-2</v>
      </c>
      <c r="AF26" s="67"/>
    </row>
    <row r="30" spans="2:32" x14ac:dyDescent="0.2">
      <c r="J30" s="62"/>
      <c r="L30" s="63">
        <v>0</v>
      </c>
      <c r="M30" s="64">
        <v>0.05</v>
      </c>
      <c r="N30" s="64">
        <v>0.1</v>
      </c>
      <c r="O30" s="64">
        <v>0.15</v>
      </c>
      <c r="P30" s="64">
        <v>0.2</v>
      </c>
      <c r="Q30" s="64">
        <v>0.25</v>
      </c>
      <c r="R30" s="64">
        <v>0.3</v>
      </c>
      <c r="S30" s="64">
        <v>0.35</v>
      </c>
      <c r="T30" s="64">
        <v>0.4</v>
      </c>
      <c r="U30" s="64">
        <v>0.45</v>
      </c>
      <c r="V30" s="64">
        <v>0.5</v>
      </c>
      <c r="W30" s="64">
        <v>0.55000000000000004</v>
      </c>
      <c r="X30" s="64">
        <v>0.6</v>
      </c>
      <c r="Y30" s="64">
        <v>0.65</v>
      </c>
      <c r="Z30" s="64">
        <v>0.7</v>
      </c>
      <c r="AA30" s="64">
        <v>0.75</v>
      </c>
      <c r="AB30" s="64">
        <v>0.8</v>
      </c>
      <c r="AC30" s="64">
        <v>0.85</v>
      </c>
      <c r="AD30" s="64">
        <v>0.9</v>
      </c>
      <c r="AE30" s="64">
        <v>0.95</v>
      </c>
      <c r="AF30" s="65">
        <v>1</v>
      </c>
    </row>
    <row r="31" spans="2:32" x14ac:dyDescent="0.2">
      <c r="K31" s="66">
        <v>0</v>
      </c>
      <c r="L31" s="67"/>
      <c r="M31" s="67">
        <f>IF( $E$15 &gt; $E$16, NA(), IF( $E$16 &gt; $E$17, NA(), IF( $E$15 = $E$17, $E$16, IF( M$30 &lt; (( $E$16 - $E$15 ) / ( $E$17 - $E$15 )), $E$15 + SQRT( M$30 * ( $E$16 - $E$15 ) * ( $E$17 - $E$15 )), $E$17 - SQRT(( 1 - M$30 ) * ( $E$17 - $E$15 ) * ( $E$17 - $E$16 ))))))-IF( $D$15 &gt; $D$16, NA(), IF( $D$16 &gt; $D$17, NA(), IF( $D$15 = $D$17, $D$16, IF( $K31 &lt; (( $D$16 - $D$15 ) / ( $D$17 - $D$15 )), $D$15 + SQRT( $K31 * ( $D$16 - $D$15 ) * ( $D$17 - $D$15 )), $D$17 - SQRT(( 1 - $K31 ) * ( $D$17 - $D$15 ) * ( $D$17 - $D$16 ))))))</f>
        <v>0.1</v>
      </c>
      <c r="N31" s="67">
        <f t="shared" ref="N31:AF44" si="31">IF( $E$15 &gt; $E$16, NA(), IF( $E$16 &gt; $E$17, NA(), IF( $E$15 = $E$17, $E$16, IF( N$30 &lt; (( $E$16 - $E$15 ) / ( $E$17 - $E$15 )), $E$15 + SQRT( N$30 * ( $E$16 - $E$15 ) * ( $E$17 - $E$15 )), $E$17 - SQRT(( 1 - N$30 ) * ( $E$17 - $E$15 ) * ( $E$17 - $E$16 ))))))-IF( $D$15 &gt; $D$16, NA(), IF( $D$16 &gt; $D$17, NA(), IF( $D$15 = $D$17, $D$16, IF( $K31 &lt; (( $D$16 - $D$15 ) / ( $D$17 - $D$15 )), $D$15 + SQRT( $K31 * ( $D$16 - $D$15 ) * ( $D$17 - $D$15 )), $D$17 - SQRT(( 1 - $K31 ) * ( $D$17 - $D$15 ) * ( $D$17 - $D$16 ))))))</f>
        <v>0.14142135623730953</v>
      </c>
      <c r="O31" s="67">
        <f t="shared" si="31"/>
        <v>0.17320508075688776</v>
      </c>
      <c r="P31" s="67">
        <f t="shared" si="31"/>
        <v>0.20000000000000004</v>
      </c>
      <c r="Q31" s="67">
        <f t="shared" si="31"/>
        <v>0.22360679774997896</v>
      </c>
      <c r="R31" s="67">
        <f t="shared" si="31"/>
        <v>0.24494897427831783</v>
      </c>
      <c r="S31" s="67">
        <f t="shared" si="31"/>
        <v>0.26457513110645903</v>
      </c>
      <c r="T31" s="67">
        <f t="shared" si="31"/>
        <v>0.28284271247461912</v>
      </c>
      <c r="U31" s="67">
        <f t="shared" si="31"/>
        <v>0.30000000000000004</v>
      </c>
      <c r="V31" s="67">
        <f t="shared" si="31"/>
        <v>0.316227766016838</v>
      </c>
      <c r="W31" s="67">
        <f t="shared" si="31"/>
        <v>0.33166247903554003</v>
      </c>
      <c r="X31" s="67">
        <f t="shared" si="31"/>
        <v>0.34641016151377546</v>
      </c>
      <c r="Y31" s="67">
        <f t="shared" si="31"/>
        <v>0.36055512754639896</v>
      </c>
      <c r="Z31" s="67">
        <f t="shared" si="31"/>
        <v>0.37416573867739411</v>
      </c>
      <c r="AA31" s="67">
        <f t="shared" si="31"/>
        <v>0.3872983346207417</v>
      </c>
      <c r="AB31" s="67">
        <f t="shared" si="31"/>
        <v>0.4</v>
      </c>
      <c r="AC31" s="67">
        <f t="shared" si="31"/>
        <v>0.41339745962155616</v>
      </c>
      <c r="AD31" s="67">
        <f t="shared" si="31"/>
        <v>0.42928932188134528</v>
      </c>
      <c r="AE31" s="67">
        <f t="shared" si="31"/>
        <v>0.44999999999999996</v>
      </c>
      <c r="AF31" s="67">
        <f t="shared" si="31"/>
        <v>0.5</v>
      </c>
    </row>
    <row r="32" spans="2:32" x14ac:dyDescent="0.2">
      <c r="K32" s="68">
        <v>0.05</v>
      </c>
      <c r="L32" s="67">
        <f t="shared" ref="L32:AA51" si="32">IF( $E$15 &gt; $E$16, NA(), IF( $E$16 &gt; $E$17, NA(), IF( $E$15 = $E$17, $E$16, IF( L$30 &lt; (( $E$16 - $E$15 ) / ( $E$17 - $E$15 )), $E$15 + SQRT( L$30 * ( $E$16 - $E$15 ) * ( $E$17 - $E$15 )), $E$17 - SQRT(( 1 - L$30 ) * ( $E$17 - $E$15 ) * ( $E$17 - $E$16 ))))))-IF( $D$15 &gt; $D$16, NA(), IF( $D$16 &gt; $D$17, NA(), IF( $D$15 = $D$17, $D$16, IF( $K32 &lt; (( $D$16 - $D$15 ) / ( $D$17 - $D$15 )), $D$15 + SQRT( $K32 * ( $D$16 - $D$15 ) * ( $D$17 - $D$15 )), $D$17 - SQRT(( 1 - $K32 ) * ( $D$17 - $D$15 ) * ( $D$17 - $D$16 ))))))</f>
        <v>-0.1</v>
      </c>
      <c r="M32" s="67"/>
      <c r="N32" s="67">
        <f t="shared" si="31"/>
        <v>4.1421356237309526E-2</v>
      </c>
      <c r="O32" s="67">
        <f t="shared" si="31"/>
        <v>7.3205080756887753E-2</v>
      </c>
      <c r="P32" s="67">
        <f t="shared" si="31"/>
        <v>0.10000000000000003</v>
      </c>
      <c r="Q32" s="67">
        <f t="shared" si="31"/>
        <v>0.12360679774997896</v>
      </c>
      <c r="R32" s="67">
        <f t="shared" si="31"/>
        <v>0.14494897427831782</v>
      </c>
      <c r="S32" s="67">
        <f t="shared" si="31"/>
        <v>0.16457513110645899</v>
      </c>
      <c r="T32" s="67">
        <f t="shared" si="31"/>
        <v>0.18284271247461908</v>
      </c>
      <c r="U32" s="67">
        <f t="shared" si="31"/>
        <v>0.2</v>
      </c>
      <c r="V32" s="67">
        <f t="shared" si="31"/>
        <v>0.21622776601683796</v>
      </c>
      <c r="W32" s="67">
        <f t="shared" si="31"/>
        <v>0.23166247903553999</v>
      </c>
      <c r="X32" s="67">
        <f t="shared" si="31"/>
        <v>0.24641016151377543</v>
      </c>
      <c r="Y32" s="67">
        <f t="shared" si="31"/>
        <v>0.26055512754639892</v>
      </c>
      <c r="Z32" s="67">
        <f t="shared" si="31"/>
        <v>0.27416573867739408</v>
      </c>
      <c r="AA32" s="67">
        <f t="shared" si="31"/>
        <v>0.28729833462074167</v>
      </c>
      <c r="AB32" s="67">
        <f t="shared" si="31"/>
        <v>0.3</v>
      </c>
      <c r="AC32" s="67">
        <f t="shared" si="31"/>
        <v>0.31339745962155613</v>
      </c>
      <c r="AD32" s="67">
        <f t="shared" si="31"/>
        <v>0.32928932188134524</v>
      </c>
      <c r="AE32" s="67">
        <f t="shared" si="31"/>
        <v>0.34999999999999992</v>
      </c>
      <c r="AF32" s="67">
        <f t="shared" si="31"/>
        <v>0.39999999999999997</v>
      </c>
    </row>
    <row r="33" spans="9:32" x14ac:dyDescent="0.2">
      <c r="K33" s="68">
        <v>0.1</v>
      </c>
      <c r="L33" s="67">
        <f t="shared" si="32"/>
        <v>-0.14142135623730953</v>
      </c>
      <c r="M33" s="67">
        <f t="shared" si="32"/>
        <v>-4.1421356237309526E-2</v>
      </c>
      <c r="N33" s="67"/>
      <c r="O33" s="67">
        <f t="shared" si="31"/>
        <v>3.1783724519578227E-2</v>
      </c>
      <c r="P33" s="67">
        <f t="shared" si="31"/>
        <v>5.8578643762690508E-2</v>
      </c>
      <c r="Q33" s="67">
        <f t="shared" si="31"/>
        <v>8.2185441512669433E-2</v>
      </c>
      <c r="R33" s="67">
        <f t="shared" si="31"/>
        <v>0.1035276180410083</v>
      </c>
      <c r="S33" s="67">
        <f t="shared" si="31"/>
        <v>0.12315377486914947</v>
      </c>
      <c r="T33" s="67">
        <f t="shared" si="31"/>
        <v>0.14142135623730956</v>
      </c>
      <c r="U33" s="67">
        <f t="shared" si="31"/>
        <v>0.15857864376269049</v>
      </c>
      <c r="V33" s="67">
        <f t="shared" si="31"/>
        <v>0.17480640977952844</v>
      </c>
      <c r="W33" s="67">
        <f t="shared" si="31"/>
        <v>0.19024112279823047</v>
      </c>
      <c r="X33" s="67">
        <f t="shared" si="31"/>
        <v>0.2049888052764659</v>
      </c>
      <c r="Y33" s="67">
        <f t="shared" si="31"/>
        <v>0.2191337713090894</v>
      </c>
      <c r="Z33" s="67">
        <f t="shared" si="31"/>
        <v>0.23274438244008455</v>
      </c>
      <c r="AA33" s="67">
        <f t="shared" si="31"/>
        <v>0.24587697838343214</v>
      </c>
      <c r="AB33" s="67">
        <f t="shared" si="31"/>
        <v>0.25857864376269046</v>
      </c>
      <c r="AC33" s="67">
        <f t="shared" si="31"/>
        <v>0.2719761033842466</v>
      </c>
      <c r="AD33" s="67">
        <f t="shared" si="31"/>
        <v>0.28786796564403572</v>
      </c>
      <c r="AE33" s="67">
        <f t="shared" si="31"/>
        <v>0.3085786437626904</v>
      </c>
      <c r="AF33" s="67">
        <f t="shared" si="31"/>
        <v>0.35857864376269044</v>
      </c>
    </row>
    <row r="34" spans="9:32" x14ac:dyDescent="0.2">
      <c r="K34" s="68">
        <v>0.15</v>
      </c>
      <c r="L34" s="67">
        <f t="shared" si="32"/>
        <v>-0.17320508075688776</v>
      </c>
      <c r="M34" s="67">
        <f t="shared" si="32"/>
        <v>-7.3205080756887753E-2</v>
      </c>
      <c r="N34" s="67">
        <f t="shared" si="31"/>
        <v>-3.1783724519578227E-2</v>
      </c>
      <c r="O34" s="67"/>
      <c r="P34" s="67">
        <f t="shared" si="31"/>
        <v>2.6794919243112281E-2</v>
      </c>
      <c r="Q34" s="67">
        <f t="shared" si="31"/>
        <v>5.0401716993091206E-2</v>
      </c>
      <c r="R34" s="67">
        <f t="shared" si="31"/>
        <v>7.1743893521430069E-2</v>
      </c>
      <c r="S34" s="67">
        <f t="shared" si="31"/>
        <v>9.1370050349571241E-2</v>
      </c>
      <c r="T34" s="67">
        <f t="shared" si="31"/>
        <v>0.10963763171773133</v>
      </c>
      <c r="U34" s="67">
        <f t="shared" si="31"/>
        <v>0.12679491924311226</v>
      </c>
      <c r="V34" s="67">
        <f t="shared" si="31"/>
        <v>0.14302268525995021</v>
      </c>
      <c r="W34" s="67">
        <f t="shared" si="31"/>
        <v>0.15845739827865224</v>
      </c>
      <c r="X34" s="67">
        <f t="shared" si="31"/>
        <v>0.17320508075688767</v>
      </c>
      <c r="Y34" s="67">
        <f t="shared" si="31"/>
        <v>0.18735004678951117</v>
      </c>
      <c r="Z34" s="67">
        <f t="shared" si="31"/>
        <v>0.20096065792050632</v>
      </c>
      <c r="AA34" s="67">
        <f t="shared" si="31"/>
        <v>0.21409325386385392</v>
      </c>
      <c r="AB34" s="67">
        <f t="shared" si="31"/>
        <v>0.22679491924311224</v>
      </c>
      <c r="AC34" s="67">
        <f t="shared" si="31"/>
        <v>0.24019237886466838</v>
      </c>
      <c r="AD34" s="67">
        <f t="shared" si="31"/>
        <v>0.25608424112445749</v>
      </c>
      <c r="AE34" s="67">
        <f t="shared" si="31"/>
        <v>0.27679491924311217</v>
      </c>
      <c r="AF34" s="67">
        <f t="shared" si="31"/>
        <v>0.32679491924311221</v>
      </c>
    </row>
    <row r="35" spans="9:32" ht="16" x14ac:dyDescent="0.2">
      <c r="I35" s="167" t="s">
        <v>106</v>
      </c>
      <c r="J35" s="61">
        <f>COUNTIF(L31:AF51,"&lt;0")/420</f>
        <v>0.5</v>
      </c>
      <c r="K35" s="68">
        <v>0.2</v>
      </c>
      <c r="L35" s="67">
        <f t="shared" si="32"/>
        <v>-0.20000000000000004</v>
      </c>
      <c r="M35" s="67">
        <f t="shared" si="32"/>
        <v>-0.10000000000000003</v>
      </c>
      <c r="N35" s="67">
        <f t="shared" si="31"/>
        <v>-5.8578643762690508E-2</v>
      </c>
      <c r="O35" s="67">
        <f t="shared" si="31"/>
        <v>-2.6794919243112281E-2</v>
      </c>
      <c r="P35" s="67"/>
      <c r="Q35" s="67">
        <f t="shared" si="31"/>
        <v>2.3606797749978925E-2</v>
      </c>
      <c r="R35" s="67">
        <f t="shared" si="31"/>
        <v>4.4948974278317788E-2</v>
      </c>
      <c r="S35" s="67">
        <f t="shared" si="31"/>
        <v>6.4575131106458961E-2</v>
      </c>
      <c r="T35" s="67">
        <f t="shared" si="31"/>
        <v>8.2842712474619051E-2</v>
      </c>
      <c r="U35" s="67">
        <f t="shared" si="31"/>
        <v>9.9999999999999978E-2</v>
      </c>
      <c r="V35" s="67">
        <f t="shared" si="31"/>
        <v>0.11622776601683793</v>
      </c>
      <c r="W35" s="67">
        <f t="shared" si="31"/>
        <v>0.13166247903553996</v>
      </c>
      <c r="X35" s="67">
        <f t="shared" si="31"/>
        <v>0.14641016151377539</v>
      </c>
      <c r="Y35" s="67">
        <f t="shared" si="31"/>
        <v>0.16055512754639889</v>
      </c>
      <c r="Z35" s="67">
        <f t="shared" si="31"/>
        <v>0.17416573867739404</v>
      </c>
      <c r="AA35" s="67">
        <f t="shared" si="31"/>
        <v>0.18729833462074164</v>
      </c>
      <c r="AB35" s="67">
        <f t="shared" si="31"/>
        <v>0.19999999999999996</v>
      </c>
      <c r="AC35" s="67">
        <f t="shared" si="31"/>
        <v>0.2133974596215561</v>
      </c>
      <c r="AD35" s="67">
        <f t="shared" si="31"/>
        <v>0.22928932188134521</v>
      </c>
      <c r="AE35" s="67">
        <f t="shared" si="31"/>
        <v>0.24999999999999989</v>
      </c>
      <c r="AF35" s="67">
        <f t="shared" si="31"/>
        <v>0.29999999999999993</v>
      </c>
    </row>
    <row r="36" spans="9:32" x14ac:dyDescent="0.2">
      <c r="J36" s="62">
        <f>1-J35</f>
        <v>0.5</v>
      </c>
      <c r="K36" s="68">
        <v>0.25</v>
      </c>
      <c r="L36" s="67">
        <f t="shared" si="32"/>
        <v>-0.22360679774997896</v>
      </c>
      <c r="M36" s="67">
        <f t="shared" si="32"/>
        <v>-0.12360679774997896</v>
      </c>
      <c r="N36" s="67">
        <f t="shared" si="31"/>
        <v>-8.2185441512669433E-2</v>
      </c>
      <c r="O36" s="67">
        <f t="shared" si="31"/>
        <v>-5.0401716993091206E-2</v>
      </c>
      <c r="P36" s="67">
        <f t="shared" si="31"/>
        <v>-2.3606797749978925E-2</v>
      </c>
      <c r="Q36" s="67"/>
      <c r="R36" s="67">
        <f t="shared" si="31"/>
        <v>2.1342176528338863E-2</v>
      </c>
      <c r="S36" s="67">
        <f t="shared" si="31"/>
        <v>4.0968333356480036E-2</v>
      </c>
      <c r="T36" s="67">
        <f t="shared" si="31"/>
        <v>5.9235914724640126E-2</v>
      </c>
      <c r="U36" s="67">
        <f t="shared" si="31"/>
        <v>7.6393202250021053E-2</v>
      </c>
      <c r="V36" s="67">
        <f t="shared" si="31"/>
        <v>9.2620968266859005E-2</v>
      </c>
      <c r="W36" s="67">
        <f t="shared" si="31"/>
        <v>0.10805568128556103</v>
      </c>
      <c r="X36" s="67">
        <f t="shared" si="31"/>
        <v>0.12280336376379647</v>
      </c>
      <c r="Y36" s="67">
        <f t="shared" si="31"/>
        <v>0.13694832979641997</v>
      </c>
      <c r="Z36" s="67">
        <f t="shared" si="31"/>
        <v>0.15055894092741512</v>
      </c>
      <c r="AA36" s="67">
        <f t="shared" si="31"/>
        <v>0.16369153687076271</v>
      </c>
      <c r="AB36" s="67">
        <f t="shared" si="31"/>
        <v>0.17639320225002103</v>
      </c>
      <c r="AC36" s="67">
        <f t="shared" si="31"/>
        <v>0.18979066187157717</v>
      </c>
      <c r="AD36" s="67">
        <f t="shared" si="31"/>
        <v>0.20568252413136628</v>
      </c>
      <c r="AE36" s="67">
        <f t="shared" si="31"/>
        <v>0.22639320225002096</v>
      </c>
      <c r="AF36" s="67">
        <f t="shared" si="31"/>
        <v>0.27639320225002101</v>
      </c>
    </row>
    <row r="37" spans="9:32" x14ac:dyDescent="0.2">
      <c r="K37" s="68">
        <v>0.3</v>
      </c>
      <c r="L37" s="67">
        <f t="shared" si="32"/>
        <v>-0.24494897427831783</v>
      </c>
      <c r="M37" s="67">
        <f t="shared" si="32"/>
        <v>-0.14494897427831782</v>
      </c>
      <c r="N37" s="67">
        <f t="shared" si="31"/>
        <v>-0.1035276180410083</v>
      </c>
      <c r="O37" s="67">
        <f t="shared" si="31"/>
        <v>-7.1743893521430069E-2</v>
      </c>
      <c r="P37" s="67">
        <f t="shared" si="31"/>
        <v>-4.4948974278317788E-2</v>
      </c>
      <c r="Q37" s="67">
        <f t="shared" si="31"/>
        <v>-2.1342176528338863E-2</v>
      </c>
      <c r="R37" s="67"/>
      <c r="S37" s="67">
        <f t="shared" si="31"/>
        <v>1.9626156828141172E-2</v>
      </c>
      <c r="T37" s="67">
        <f t="shared" si="31"/>
        <v>3.7893738196301263E-2</v>
      </c>
      <c r="U37" s="67">
        <f t="shared" si="31"/>
        <v>5.505102572168219E-2</v>
      </c>
      <c r="V37" s="67">
        <f t="shared" si="31"/>
        <v>7.1278791738520142E-2</v>
      </c>
      <c r="W37" s="67">
        <f t="shared" si="31"/>
        <v>8.6713504757222171E-2</v>
      </c>
      <c r="X37" s="67">
        <f t="shared" si="31"/>
        <v>0.10146118723545761</v>
      </c>
      <c r="Y37" s="67">
        <f t="shared" si="31"/>
        <v>0.1156061532680811</v>
      </c>
      <c r="Z37" s="67">
        <f t="shared" si="31"/>
        <v>0.12921676439907626</v>
      </c>
      <c r="AA37" s="67">
        <f t="shared" si="31"/>
        <v>0.14234936034242385</v>
      </c>
      <c r="AB37" s="67">
        <f t="shared" si="31"/>
        <v>0.15505102572168217</v>
      </c>
      <c r="AC37" s="67">
        <f t="shared" si="31"/>
        <v>0.16844848534323831</v>
      </c>
      <c r="AD37" s="67">
        <f t="shared" si="31"/>
        <v>0.18434034760302742</v>
      </c>
      <c r="AE37" s="67">
        <f t="shared" si="31"/>
        <v>0.2050510257216821</v>
      </c>
      <c r="AF37" s="67">
        <f t="shared" si="31"/>
        <v>0.25505102572168215</v>
      </c>
    </row>
    <row r="38" spans="9:32" x14ac:dyDescent="0.2">
      <c r="K38" s="68">
        <v>0.35</v>
      </c>
      <c r="L38" s="67">
        <f t="shared" si="32"/>
        <v>-0.26457513110645903</v>
      </c>
      <c r="M38" s="67">
        <f t="shared" si="32"/>
        <v>-0.16457513110645899</v>
      </c>
      <c r="N38" s="67">
        <f t="shared" si="31"/>
        <v>-0.12315377486914947</v>
      </c>
      <c r="O38" s="67">
        <f t="shared" si="31"/>
        <v>-9.1370050349571241E-2</v>
      </c>
      <c r="P38" s="67">
        <f t="shared" si="31"/>
        <v>-6.4575131106458961E-2</v>
      </c>
      <c r="Q38" s="67">
        <f t="shared" si="31"/>
        <v>-4.0968333356480036E-2</v>
      </c>
      <c r="R38" s="67">
        <f t="shared" si="31"/>
        <v>-1.9626156828141172E-2</v>
      </c>
      <c r="S38" s="67"/>
      <c r="T38" s="67">
        <f t="shared" si="31"/>
        <v>1.8267581368160091E-2</v>
      </c>
      <c r="U38" s="67">
        <f t="shared" si="31"/>
        <v>3.5424868893541017E-2</v>
      </c>
      <c r="V38" s="67">
        <f t="shared" si="31"/>
        <v>5.1652634910378969E-2</v>
      </c>
      <c r="W38" s="67">
        <f t="shared" si="31"/>
        <v>6.7087347929080998E-2</v>
      </c>
      <c r="X38" s="67">
        <f t="shared" si="31"/>
        <v>8.1835030407316434E-2</v>
      </c>
      <c r="Y38" s="67">
        <f t="shared" si="31"/>
        <v>9.597999643993993E-2</v>
      </c>
      <c r="Z38" s="67">
        <f t="shared" si="31"/>
        <v>0.10959060757093508</v>
      </c>
      <c r="AA38" s="67">
        <f t="shared" si="31"/>
        <v>0.12272320351428267</v>
      </c>
      <c r="AB38" s="67">
        <f t="shared" si="31"/>
        <v>0.13542486889354099</v>
      </c>
      <c r="AC38" s="67">
        <f t="shared" si="31"/>
        <v>0.14882232851509714</v>
      </c>
      <c r="AD38" s="67">
        <f t="shared" si="31"/>
        <v>0.16471419077488625</v>
      </c>
      <c r="AE38" s="67">
        <f t="shared" si="31"/>
        <v>0.18542486889354093</v>
      </c>
      <c r="AF38" s="67">
        <f t="shared" si="31"/>
        <v>0.23542486889354097</v>
      </c>
    </row>
    <row r="39" spans="9:32" x14ac:dyDescent="0.2">
      <c r="K39" s="68">
        <v>0.4</v>
      </c>
      <c r="L39" s="67">
        <f t="shared" si="32"/>
        <v>-0.28284271247461912</v>
      </c>
      <c r="M39" s="67">
        <f t="shared" si="32"/>
        <v>-0.18284271247461908</v>
      </c>
      <c r="N39" s="67">
        <f t="shared" si="31"/>
        <v>-0.14142135623730956</v>
      </c>
      <c r="O39" s="67">
        <f t="shared" si="31"/>
        <v>-0.10963763171773133</v>
      </c>
      <c r="P39" s="67">
        <f t="shared" si="31"/>
        <v>-8.2842712474619051E-2</v>
      </c>
      <c r="Q39" s="67">
        <f t="shared" si="31"/>
        <v>-5.9235914724640126E-2</v>
      </c>
      <c r="R39" s="67">
        <f t="shared" si="31"/>
        <v>-3.7893738196301263E-2</v>
      </c>
      <c r="S39" s="67">
        <f t="shared" si="31"/>
        <v>-1.8267581368160091E-2</v>
      </c>
      <c r="T39" s="67"/>
      <c r="U39" s="67">
        <f t="shared" si="31"/>
        <v>1.7157287525380926E-2</v>
      </c>
      <c r="V39" s="67">
        <f t="shared" si="31"/>
        <v>3.3385053542218879E-2</v>
      </c>
      <c r="W39" s="67">
        <f t="shared" si="31"/>
        <v>4.8819766560920907E-2</v>
      </c>
      <c r="X39" s="67">
        <f t="shared" si="31"/>
        <v>6.3567449039156343E-2</v>
      </c>
      <c r="Y39" s="67">
        <f t="shared" si="31"/>
        <v>7.7712415071779839E-2</v>
      </c>
      <c r="Z39" s="67">
        <f t="shared" si="31"/>
        <v>9.1323026202774993E-2</v>
      </c>
      <c r="AA39" s="67">
        <f t="shared" si="31"/>
        <v>0.10445562214612258</v>
      </c>
      <c r="AB39" s="67">
        <f t="shared" si="31"/>
        <v>0.1171572875253809</v>
      </c>
      <c r="AC39" s="67">
        <f t="shared" si="31"/>
        <v>0.13055474714693704</v>
      </c>
      <c r="AD39" s="67">
        <f t="shared" si="31"/>
        <v>0.14644660940672616</v>
      </c>
      <c r="AE39" s="67">
        <f t="shared" si="31"/>
        <v>0.16715728752538084</v>
      </c>
      <c r="AF39" s="67">
        <f t="shared" si="31"/>
        <v>0.21715728752538088</v>
      </c>
    </row>
    <row r="40" spans="9:32" x14ac:dyDescent="0.2">
      <c r="K40" s="68">
        <v>0.45</v>
      </c>
      <c r="L40" s="67">
        <f t="shared" si="32"/>
        <v>-0.30000000000000004</v>
      </c>
      <c r="M40" s="67">
        <f t="shared" si="32"/>
        <v>-0.2</v>
      </c>
      <c r="N40" s="67">
        <f t="shared" si="31"/>
        <v>-0.15857864376269049</v>
      </c>
      <c r="O40" s="67">
        <f t="shared" si="31"/>
        <v>-0.12679491924311226</v>
      </c>
      <c r="P40" s="67">
        <f t="shared" si="31"/>
        <v>-9.9999999999999978E-2</v>
      </c>
      <c r="Q40" s="67">
        <f t="shared" si="31"/>
        <v>-7.6393202250021053E-2</v>
      </c>
      <c r="R40" s="67">
        <f t="shared" si="31"/>
        <v>-5.505102572168219E-2</v>
      </c>
      <c r="S40" s="67">
        <f t="shared" si="31"/>
        <v>-3.5424868893541017E-2</v>
      </c>
      <c r="T40" s="67">
        <f t="shared" si="31"/>
        <v>-1.7157287525380926E-2</v>
      </c>
      <c r="U40" s="67"/>
      <c r="V40" s="67">
        <f t="shared" si="31"/>
        <v>1.6227766016837952E-2</v>
      </c>
      <c r="W40" s="67">
        <f t="shared" si="31"/>
        <v>3.1662479035539981E-2</v>
      </c>
      <c r="X40" s="67">
        <f t="shared" si="31"/>
        <v>4.6410161513775416E-2</v>
      </c>
      <c r="Y40" s="67">
        <f t="shared" si="31"/>
        <v>6.0555127546398912E-2</v>
      </c>
      <c r="Z40" s="67">
        <f t="shared" si="31"/>
        <v>7.4165738677394066E-2</v>
      </c>
      <c r="AA40" s="67">
        <f t="shared" si="31"/>
        <v>8.7298334620741658E-2</v>
      </c>
      <c r="AB40" s="67">
        <f t="shared" si="31"/>
        <v>9.9999999999999978E-2</v>
      </c>
      <c r="AC40" s="67">
        <f t="shared" si="31"/>
        <v>0.11339745962155612</v>
      </c>
      <c r="AD40" s="67">
        <f t="shared" si="31"/>
        <v>0.12928932188134523</v>
      </c>
      <c r="AE40" s="67">
        <f t="shared" si="31"/>
        <v>0.14999999999999991</v>
      </c>
      <c r="AF40" s="67">
        <f t="shared" si="31"/>
        <v>0.19999999999999996</v>
      </c>
    </row>
    <row r="41" spans="9:32" x14ac:dyDescent="0.2">
      <c r="K41" s="68">
        <v>0.5</v>
      </c>
      <c r="L41" s="67">
        <f t="shared" si="32"/>
        <v>-0.316227766016838</v>
      </c>
      <c r="M41" s="67">
        <f t="shared" si="32"/>
        <v>-0.21622776601683796</v>
      </c>
      <c r="N41" s="67">
        <f t="shared" si="31"/>
        <v>-0.17480640977952844</v>
      </c>
      <c r="O41" s="67">
        <f t="shared" si="31"/>
        <v>-0.14302268525995021</v>
      </c>
      <c r="P41" s="67">
        <f t="shared" si="31"/>
        <v>-0.11622776601683793</v>
      </c>
      <c r="Q41" s="67">
        <f t="shared" si="31"/>
        <v>-9.2620968266859005E-2</v>
      </c>
      <c r="R41" s="67">
        <f t="shared" si="31"/>
        <v>-7.1278791738520142E-2</v>
      </c>
      <c r="S41" s="67">
        <f t="shared" si="31"/>
        <v>-5.1652634910378969E-2</v>
      </c>
      <c r="T41" s="67">
        <f t="shared" si="31"/>
        <v>-3.3385053542218879E-2</v>
      </c>
      <c r="U41" s="67">
        <f t="shared" si="31"/>
        <v>-1.6227766016837952E-2</v>
      </c>
      <c r="V41" s="67"/>
      <c r="W41" s="67">
        <f t="shared" si="31"/>
        <v>1.5434713018702029E-2</v>
      </c>
      <c r="X41" s="67">
        <f t="shared" si="31"/>
        <v>3.0182395496937464E-2</v>
      </c>
      <c r="Y41" s="67">
        <f t="shared" si="31"/>
        <v>4.432736152956096E-2</v>
      </c>
      <c r="Z41" s="67">
        <f t="shared" si="31"/>
        <v>5.7937972660556114E-2</v>
      </c>
      <c r="AA41" s="67">
        <f t="shared" si="31"/>
        <v>7.1070568603903705E-2</v>
      </c>
      <c r="AB41" s="67">
        <f t="shared" si="31"/>
        <v>8.3772233983162026E-2</v>
      </c>
      <c r="AC41" s="67">
        <f t="shared" si="31"/>
        <v>9.7169693604718166E-2</v>
      </c>
      <c r="AD41" s="67">
        <f t="shared" si="31"/>
        <v>0.11306155586450728</v>
      </c>
      <c r="AE41" s="67">
        <f t="shared" si="31"/>
        <v>0.13377223398316196</v>
      </c>
      <c r="AF41" s="67">
        <f t="shared" si="31"/>
        <v>0.183772233983162</v>
      </c>
    </row>
    <row r="42" spans="9:32" x14ac:dyDescent="0.2">
      <c r="K42" s="68">
        <v>0.55000000000000004</v>
      </c>
      <c r="L42" s="67">
        <f t="shared" si="32"/>
        <v>-0.33166247903554003</v>
      </c>
      <c r="M42" s="67">
        <f t="shared" si="32"/>
        <v>-0.23166247903553999</v>
      </c>
      <c r="N42" s="67">
        <f t="shared" si="31"/>
        <v>-0.19024112279823047</v>
      </c>
      <c r="O42" s="67">
        <f t="shared" si="31"/>
        <v>-0.15845739827865224</v>
      </c>
      <c r="P42" s="67">
        <f t="shared" si="31"/>
        <v>-0.13166247903553996</v>
      </c>
      <c r="Q42" s="67">
        <f t="shared" si="31"/>
        <v>-0.10805568128556103</v>
      </c>
      <c r="R42" s="67">
        <f t="shared" si="31"/>
        <v>-8.6713504757222171E-2</v>
      </c>
      <c r="S42" s="67">
        <f t="shared" si="31"/>
        <v>-6.7087347929080998E-2</v>
      </c>
      <c r="T42" s="67">
        <f t="shared" si="31"/>
        <v>-4.8819766560920907E-2</v>
      </c>
      <c r="U42" s="67">
        <f t="shared" si="31"/>
        <v>-3.1662479035539981E-2</v>
      </c>
      <c r="V42" s="67">
        <f t="shared" si="31"/>
        <v>-1.5434713018702029E-2</v>
      </c>
      <c r="W42" s="67"/>
      <c r="X42" s="67">
        <f t="shared" si="31"/>
        <v>1.4747682478235435E-2</v>
      </c>
      <c r="Y42" s="67">
        <f t="shared" si="31"/>
        <v>2.8892648510858931E-2</v>
      </c>
      <c r="Z42" s="67">
        <f t="shared" si="31"/>
        <v>4.2503259641854085E-2</v>
      </c>
      <c r="AA42" s="67">
        <f t="shared" si="31"/>
        <v>5.5635855585201677E-2</v>
      </c>
      <c r="AB42" s="67">
        <f t="shared" si="31"/>
        <v>6.8337520964459997E-2</v>
      </c>
      <c r="AC42" s="67">
        <f t="shared" si="31"/>
        <v>8.1734980586016137E-2</v>
      </c>
      <c r="AD42" s="67">
        <f t="shared" si="31"/>
        <v>9.7626842845805251E-2</v>
      </c>
      <c r="AE42" s="67">
        <f t="shared" si="31"/>
        <v>0.11833752096445993</v>
      </c>
      <c r="AF42" s="67">
        <f t="shared" si="31"/>
        <v>0.16833752096445997</v>
      </c>
    </row>
    <row r="43" spans="9:32" x14ac:dyDescent="0.2">
      <c r="K43" s="68">
        <v>0.6</v>
      </c>
      <c r="L43" s="67">
        <f t="shared" si="32"/>
        <v>-0.34641016151377546</v>
      </c>
      <c r="M43" s="67">
        <f t="shared" si="32"/>
        <v>-0.24641016151377543</v>
      </c>
      <c r="N43" s="67">
        <f t="shared" si="31"/>
        <v>-0.2049888052764659</v>
      </c>
      <c r="O43" s="67">
        <f t="shared" si="31"/>
        <v>-0.17320508075688767</v>
      </c>
      <c r="P43" s="67">
        <f t="shared" si="31"/>
        <v>-0.14641016151377539</v>
      </c>
      <c r="Q43" s="67">
        <f t="shared" si="31"/>
        <v>-0.12280336376379647</v>
      </c>
      <c r="R43" s="67">
        <f t="shared" si="31"/>
        <v>-0.10146118723545761</v>
      </c>
      <c r="S43" s="67">
        <f t="shared" si="31"/>
        <v>-8.1835030407316434E-2</v>
      </c>
      <c r="T43" s="67">
        <f t="shared" si="31"/>
        <v>-6.3567449039156343E-2</v>
      </c>
      <c r="U43" s="67">
        <f t="shared" si="31"/>
        <v>-4.6410161513775416E-2</v>
      </c>
      <c r="V43" s="67">
        <f t="shared" si="31"/>
        <v>-3.0182395496937464E-2</v>
      </c>
      <c r="W43" s="67">
        <f t="shared" si="31"/>
        <v>-1.4747682478235435E-2</v>
      </c>
      <c r="X43" s="67"/>
      <c r="Y43" s="67">
        <f t="shared" si="31"/>
        <v>1.4144966032623496E-2</v>
      </c>
      <c r="Z43" s="67">
        <f t="shared" si="31"/>
        <v>2.775557716361865E-2</v>
      </c>
      <c r="AA43" s="67">
        <f t="shared" si="31"/>
        <v>4.0888173106966241E-2</v>
      </c>
      <c r="AB43" s="67">
        <f t="shared" si="31"/>
        <v>5.3589838486224561E-2</v>
      </c>
      <c r="AC43" s="67">
        <f t="shared" si="31"/>
        <v>6.6987298107780702E-2</v>
      </c>
      <c r="AD43" s="67">
        <f t="shared" si="31"/>
        <v>8.2879160367569815E-2</v>
      </c>
      <c r="AE43" s="67">
        <f t="shared" si="31"/>
        <v>0.10358983848622449</v>
      </c>
      <c r="AF43" s="67">
        <f t="shared" si="31"/>
        <v>0.15358983848622454</v>
      </c>
    </row>
    <row r="44" spans="9:32" x14ac:dyDescent="0.2">
      <c r="K44" s="68">
        <v>0.65</v>
      </c>
      <c r="L44" s="67">
        <f t="shared" si="32"/>
        <v>-0.36055512754639896</v>
      </c>
      <c r="M44" s="67">
        <f t="shared" si="32"/>
        <v>-0.26055512754639892</v>
      </c>
      <c r="N44" s="67">
        <f t="shared" si="31"/>
        <v>-0.2191337713090894</v>
      </c>
      <c r="O44" s="67">
        <f t="shared" si="31"/>
        <v>-0.18735004678951117</v>
      </c>
      <c r="P44" s="67">
        <f t="shared" si="31"/>
        <v>-0.16055512754639889</v>
      </c>
      <c r="Q44" s="67">
        <f t="shared" si="31"/>
        <v>-0.13694832979641997</v>
      </c>
      <c r="R44" s="67">
        <f t="shared" si="31"/>
        <v>-0.1156061532680811</v>
      </c>
      <c r="S44" s="67">
        <f t="shared" si="31"/>
        <v>-9.597999643993993E-2</v>
      </c>
      <c r="T44" s="67">
        <f t="shared" si="31"/>
        <v>-7.7712415071779839E-2</v>
      </c>
      <c r="U44" s="67">
        <f t="shared" si="31"/>
        <v>-6.0555127546398912E-2</v>
      </c>
      <c r="V44" s="67">
        <f t="shared" ref="V44:AF51" si="33">IF( $E$15 &gt; $E$16, NA(), IF( $E$16 &gt; $E$17, NA(), IF( $E$15 = $E$17, $E$16, IF( V$30 &lt; (( $E$16 - $E$15 ) / ( $E$17 - $E$15 )), $E$15 + SQRT( V$30 * ( $E$16 - $E$15 ) * ( $E$17 - $E$15 )), $E$17 - SQRT(( 1 - V$30 ) * ( $E$17 - $E$15 ) * ( $E$17 - $E$16 ))))))-IF( $D$15 &gt; $D$16, NA(), IF( $D$16 &gt; $D$17, NA(), IF( $D$15 = $D$17, $D$16, IF( $K44 &lt; (( $D$16 - $D$15 ) / ( $D$17 - $D$15 )), $D$15 + SQRT( $K44 * ( $D$16 - $D$15 ) * ( $D$17 - $D$15 )), $D$17 - SQRT(( 1 - $K44 ) * ( $D$17 - $D$15 ) * ( $D$17 - $D$16 ))))))</f>
        <v>-4.432736152956096E-2</v>
      </c>
      <c r="W44" s="67">
        <f t="shared" si="33"/>
        <v>-2.8892648510858931E-2</v>
      </c>
      <c r="X44" s="67">
        <f t="shared" si="33"/>
        <v>-1.4144966032623496E-2</v>
      </c>
      <c r="Y44" s="67"/>
      <c r="Z44" s="67">
        <f t="shared" si="33"/>
        <v>1.3610611130995154E-2</v>
      </c>
      <c r="AA44" s="67">
        <f t="shared" si="33"/>
        <v>2.6743207074342745E-2</v>
      </c>
      <c r="AB44" s="67">
        <f t="shared" si="33"/>
        <v>3.9444872453601065E-2</v>
      </c>
      <c r="AC44" s="67">
        <f t="shared" si="33"/>
        <v>5.2842332075157206E-2</v>
      </c>
      <c r="AD44" s="67">
        <f t="shared" si="33"/>
        <v>6.8734194334946319E-2</v>
      </c>
      <c r="AE44" s="67">
        <f t="shared" si="33"/>
        <v>8.9444872453600999E-2</v>
      </c>
      <c r="AF44" s="67">
        <f t="shared" si="33"/>
        <v>0.13944487245360104</v>
      </c>
    </row>
    <row r="45" spans="9:32" x14ac:dyDescent="0.2">
      <c r="K45" s="68">
        <v>0.7</v>
      </c>
      <c r="L45" s="67">
        <f t="shared" si="32"/>
        <v>-0.37416573867739411</v>
      </c>
      <c r="M45" s="67">
        <f t="shared" si="32"/>
        <v>-0.27416573867739408</v>
      </c>
      <c r="N45" s="67">
        <f t="shared" si="32"/>
        <v>-0.23274438244008455</v>
      </c>
      <c r="O45" s="67">
        <f t="shared" si="32"/>
        <v>-0.20096065792050632</v>
      </c>
      <c r="P45" s="67">
        <f t="shared" si="32"/>
        <v>-0.17416573867739404</v>
      </c>
      <c r="Q45" s="67">
        <f t="shared" si="32"/>
        <v>-0.15055894092741512</v>
      </c>
      <c r="R45" s="67">
        <f t="shared" si="32"/>
        <v>-0.12921676439907626</v>
      </c>
      <c r="S45" s="67">
        <f t="shared" si="32"/>
        <v>-0.10959060757093508</v>
      </c>
      <c r="T45" s="67">
        <f t="shared" si="32"/>
        <v>-9.1323026202774993E-2</v>
      </c>
      <c r="U45" s="67">
        <f t="shared" si="32"/>
        <v>-7.4165738677394066E-2</v>
      </c>
      <c r="V45" s="67">
        <f t="shared" si="32"/>
        <v>-5.7937972660556114E-2</v>
      </c>
      <c r="W45" s="67">
        <f t="shared" si="32"/>
        <v>-4.2503259641854085E-2</v>
      </c>
      <c r="X45" s="67">
        <f t="shared" si="32"/>
        <v>-2.775557716361865E-2</v>
      </c>
      <c r="Y45" s="67">
        <f t="shared" si="32"/>
        <v>-1.3610611130995154E-2</v>
      </c>
      <c r="Z45" s="67"/>
      <c r="AA45" s="67">
        <f t="shared" si="32"/>
        <v>1.3132595943347591E-2</v>
      </c>
      <c r="AB45" s="67">
        <f t="shared" si="33"/>
        <v>2.5834261322605911E-2</v>
      </c>
      <c r="AC45" s="67">
        <f t="shared" si="33"/>
        <v>3.9231720944162052E-2</v>
      </c>
      <c r="AD45" s="67">
        <f t="shared" si="33"/>
        <v>5.5123583203951165E-2</v>
      </c>
      <c r="AE45" s="67">
        <f t="shared" si="33"/>
        <v>7.5834261322605845E-2</v>
      </c>
      <c r="AF45" s="67">
        <f t="shared" si="33"/>
        <v>0.12583426132260589</v>
      </c>
    </row>
    <row r="46" spans="9:32" x14ac:dyDescent="0.2">
      <c r="K46" s="68">
        <v>0.75</v>
      </c>
      <c r="L46" s="67">
        <f t="shared" si="32"/>
        <v>-0.3872983346207417</v>
      </c>
      <c r="M46" s="67">
        <f t="shared" si="32"/>
        <v>-0.28729833462074167</v>
      </c>
      <c r="N46" s="67">
        <f t="shared" si="32"/>
        <v>-0.24587697838343214</v>
      </c>
      <c r="O46" s="67">
        <f t="shared" si="32"/>
        <v>-0.21409325386385392</v>
      </c>
      <c r="P46" s="67">
        <f t="shared" si="32"/>
        <v>-0.18729833462074164</v>
      </c>
      <c r="Q46" s="67">
        <f t="shared" si="32"/>
        <v>-0.16369153687076271</v>
      </c>
      <c r="R46" s="67">
        <f t="shared" si="32"/>
        <v>-0.14234936034242385</v>
      </c>
      <c r="S46" s="67">
        <f t="shared" si="32"/>
        <v>-0.12272320351428267</v>
      </c>
      <c r="T46" s="67">
        <f t="shared" si="32"/>
        <v>-0.10445562214612258</v>
      </c>
      <c r="U46" s="67">
        <f t="shared" si="32"/>
        <v>-8.7298334620741658E-2</v>
      </c>
      <c r="V46" s="67">
        <f t="shared" si="32"/>
        <v>-7.1070568603903705E-2</v>
      </c>
      <c r="W46" s="67">
        <f t="shared" si="32"/>
        <v>-5.5635855585201677E-2</v>
      </c>
      <c r="X46" s="67">
        <f t="shared" si="32"/>
        <v>-4.0888173106966241E-2</v>
      </c>
      <c r="Y46" s="67">
        <f t="shared" si="32"/>
        <v>-2.6743207074342745E-2</v>
      </c>
      <c r="Z46" s="67">
        <f t="shared" si="32"/>
        <v>-1.3132595943347591E-2</v>
      </c>
      <c r="AA46" s="67"/>
      <c r="AB46" s="67">
        <f t="shared" si="33"/>
        <v>1.270166537925832E-2</v>
      </c>
      <c r="AC46" s="67">
        <f t="shared" si="33"/>
        <v>2.609912500081446E-2</v>
      </c>
      <c r="AD46" s="67">
        <f t="shared" si="33"/>
        <v>4.1990987260603574E-2</v>
      </c>
      <c r="AE46" s="67">
        <f t="shared" si="33"/>
        <v>6.2701665379258253E-2</v>
      </c>
      <c r="AF46" s="67">
        <f t="shared" si="33"/>
        <v>0.1127016653792583</v>
      </c>
    </row>
    <row r="47" spans="9:32" x14ac:dyDescent="0.2">
      <c r="K47" s="68">
        <v>0.8</v>
      </c>
      <c r="L47" s="67">
        <f t="shared" si="32"/>
        <v>-0.4</v>
      </c>
      <c r="M47" s="67">
        <f t="shared" si="32"/>
        <v>-0.3</v>
      </c>
      <c r="N47" s="67">
        <f t="shared" si="32"/>
        <v>-0.25857864376269046</v>
      </c>
      <c r="O47" s="67">
        <f t="shared" si="32"/>
        <v>-0.22679491924311224</v>
      </c>
      <c r="P47" s="67">
        <f t="shared" si="32"/>
        <v>-0.19999999999999996</v>
      </c>
      <c r="Q47" s="67">
        <f t="shared" si="32"/>
        <v>-0.17639320225002103</v>
      </c>
      <c r="R47" s="67">
        <f t="shared" si="32"/>
        <v>-0.15505102572168217</v>
      </c>
      <c r="S47" s="67">
        <f t="shared" si="32"/>
        <v>-0.13542486889354099</v>
      </c>
      <c r="T47" s="67">
        <f t="shared" si="32"/>
        <v>-0.1171572875253809</v>
      </c>
      <c r="U47" s="67">
        <f t="shared" si="32"/>
        <v>-9.9999999999999978E-2</v>
      </c>
      <c r="V47" s="67">
        <f t="shared" si="32"/>
        <v>-8.3772233983162026E-2</v>
      </c>
      <c r="W47" s="67">
        <f t="shared" si="32"/>
        <v>-6.8337520964459997E-2</v>
      </c>
      <c r="X47" s="67">
        <f t="shared" si="32"/>
        <v>-5.3589838486224561E-2</v>
      </c>
      <c r="Y47" s="67">
        <f t="shared" si="32"/>
        <v>-3.9444872453601065E-2</v>
      </c>
      <c r="Z47" s="67">
        <f t="shared" si="32"/>
        <v>-2.5834261322605911E-2</v>
      </c>
      <c r="AA47" s="67">
        <f t="shared" si="32"/>
        <v>-1.270166537925832E-2</v>
      </c>
      <c r="AB47" s="67"/>
      <c r="AC47" s="67">
        <f t="shared" si="33"/>
        <v>1.339745962155614E-2</v>
      </c>
      <c r="AD47" s="67">
        <f t="shared" si="33"/>
        <v>2.9289321881345254E-2</v>
      </c>
      <c r="AE47" s="67">
        <f t="shared" si="33"/>
        <v>4.9999999999999933E-2</v>
      </c>
      <c r="AF47" s="67">
        <f t="shared" si="33"/>
        <v>9.9999999999999978E-2</v>
      </c>
    </row>
    <row r="48" spans="9:32" x14ac:dyDescent="0.2">
      <c r="K48" s="68">
        <v>0.85</v>
      </c>
      <c r="L48" s="67">
        <f t="shared" si="32"/>
        <v>-0.41339745962155616</v>
      </c>
      <c r="M48" s="67">
        <f t="shared" si="32"/>
        <v>-0.31339745962155613</v>
      </c>
      <c r="N48" s="67">
        <f t="shared" si="32"/>
        <v>-0.2719761033842466</v>
      </c>
      <c r="O48" s="67">
        <f t="shared" si="32"/>
        <v>-0.24019237886466838</v>
      </c>
      <c r="P48" s="67">
        <f t="shared" si="32"/>
        <v>-0.2133974596215561</v>
      </c>
      <c r="Q48" s="67">
        <f t="shared" si="32"/>
        <v>-0.18979066187157717</v>
      </c>
      <c r="R48" s="67">
        <f t="shared" si="32"/>
        <v>-0.16844848534323831</v>
      </c>
      <c r="S48" s="67">
        <f t="shared" si="32"/>
        <v>-0.14882232851509714</v>
      </c>
      <c r="T48" s="67">
        <f t="shared" si="32"/>
        <v>-0.13055474714693704</v>
      </c>
      <c r="U48" s="67">
        <f t="shared" si="32"/>
        <v>-0.11339745962155612</v>
      </c>
      <c r="V48" s="67">
        <f t="shared" si="32"/>
        <v>-9.7169693604718166E-2</v>
      </c>
      <c r="W48" s="67">
        <f t="shared" si="32"/>
        <v>-8.1734980586016137E-2</v>
      </c>
      <c r="X48" s="67">
        <f t="shared" si="32"/>
        <v>-6.6987298107780702E-2</v>
      </c>
      <c r="Y48" s="67">
        <f t="shared" si="32"/>
        <v>-5.2842332075157206E-2</v>
      </c>
      <c r="Z48" s="67">
        <f t="shared" si="32"/>
        <v>-3.9231720944162052E-2</v>
      </c>
      <c r="AA48" s="67">
        <f t="shared" si="32"/>
        <v>-2.609912500081446E-2</v>
      </c>
      <c r="AB48" s="67">
        <f t="shared" si="33"/>
        <v>-1.339745962155614E-2</v>
      </c>
      <c r="AC48" s="67"/>
      <c r="AD48" s="67">
        <f t="shared" si="33"/>
        <v>1.5891862259789113E-2</v>
      </c>
      <c r="AE48" s="67">
        <f t="shared" si="33"/>
        <v>3.6602540378443793E-2</v>
      </c>
      <c r="AF48" s="67">
        <f t="shared" si="33"/>
        <v>8.6602540378443837E-2</v>
      </c>
    </row>
    <row r="49" spans="11:32" x14ac:dyDescent="0.2">
      <c r="K49" s="68">
        <v>0.9</v>
      </c>
      <c r="L49" s="67">
        <f t="shared" si="32"/>
        <v>-0.42928932188134528</v>
      </c>
      <c r="M49" s="67">
        <f t="shared" si="32"/>
        <v>-0.32928932188134524</v>
      </c>
      <c r="N49" s="67">
        <f t="shared" si="32"/>
        <v>-0.28786796564403572</v>
      </c>
      <c r="O49" s="67">
        <f t="shared" si="32"/>
        <v>-0.25608424112445749</v>
      </c>
      <c r="P49" s="67">
        <f t="shared" si="32"/>
        <v>-0.22928932188134521</v>
      </c>
      <c r="Q49" s="67">
        <f t="shared" si="32"/>
        <v>-0.20568252413136628</v>
      </c>
      <c r="R49" s="67">
        <f t="shared" si="32"/>
        <v>-0.18434034760302742</v>
      </c>
      <c r="S49" s="67">
        <f t="shared" si="32"/>
        <v>-0.16471419077488625</v>
      </c>
      <c r="T49" s="67">
        <f t="shared" si="32"/>
        <v>-0.14644660940672616</v>
      </c>
      <c r="U49" s="67">
        <f t="shared" si="32"/>
        <v>-0.12928932188134523</v>
      </c>
      <c r="V49" s="67">
        <f t="shared" si="32"/>
        <v>-0.11306155586450728</v>
      </c>
      <c r="W49" s="67">
        <f t="shared" si="32"/>
        <v>-9.7626842845805251E-2</v>
      </c>
      <c r="X49" s="67">
        <f t="shared" si="32"/>
        <v>-8.2879160367569815E-2</v>
      </c>
      <c r="Y49" s="67">
        <f t="shared" si="32"/>
        <v>-6.8734194334946319E-2</v>
      </c>
      <c r="Z49" s="67">
        <f t="shared" si="32"/>
        <v>-5.5123583203951165E-2</v>
      </c>
      <c r="AA49" s="67">
        <f t="shared" si="32"/>
        <v>-4.1990987260603574E-2</v>
      </c>
      <c r="AB49" s="67">
        <f t="shared" si="33"/>
        <v>-2.9289321881345254E-2</v>
      </c>
      <c r="AC49" s="67">
        <f t="shared" si="33"/>
        <v>-1.5891862259789113E-2</v>
      </c>
      <c r="AD49" s="67"/>
      <c r="AE49" s="67">
        <f t="shared" si="33"/>
        <v>2.071067811865468E-2</v>
      </c>
      <c r="AF49" s="67">
        <f t="shared" si="33"/>
        <v>7.0710678118654724E-2</v>
      </c>
    </row>
    <row r="50" spans="11:32" x14ac:dyDescent="0.2">
      <c r="K50" s="68">
        <v>0.95</v>
      </c>
      <c r="L50" s="67">
        <f t="shared" si="32"/>
        <v>-0.44999999999999996</v>
      </c>
      <c r="M50" s="67">
        <f t="shared" si="32"/>
        <v>-0.34999999999999992</v>
      </c>
      <c r="N50" s="67">
        <f t="shared" si="32"/>
        <v>-0.3085786437626904</v>
      </c>
      <c r="O50" s="67">
        <f t="shared" si="32"/>
        <v>-0.27679491924311217</v>
      </c>
      <c r="P50" s="67">
        <f t="shared" si="32"/>
        <v>-0.24999999999999989</v>
      </c>
      <c r="Q50" s="67">
        <f t="shared" si="32"/>
        <v>-0.22639320225002096</v>
      </c>
      <c r="R50" s="67">
        <f t="shared" si="32"/>
        <v>-0.2050510257216821</v>
      </c>
      <c r="S50" s="67">
        <f t="shared" si="32"/>
        <v>-0.18542486889354093</v>
      </c>
      <c r="T50" s="67">
        <f t="shared" si="32"/>
        <v>-0.16715728752538084</v>
      </c>
      <c r="U50" s="67">
        <f t="shared" si="32"/>
        <v>-0.14999999999999991</v>
      </c>
      <c r="V50" s="67">
        <f t="shared" si="32"/>
        <v>-0.13377223398316196</v>
      </c>
      <c r="W50" s="67">
        <f t="shared" si="32"/>
        <v>-0.11833752096445993</v>
      </c>
      <c r="X50" s="67">
        <f t="shared" si="32"/>
        <v>-0.10358983848622449</v>
      </c>
      <c r="Y50" s="67">
        <f t="shared" si="32"/>
        <v>-8.9444872453600999E-2</v>
      </c>
      <c r="Z50" s="67">
        <f t="shared" si="32"/>
        <v>-7.5834261322605845E-2</v>
      </c>
      <c r="AA50" s="67">
        <f t="shared" si="32"/>
        <v>-6.2701665379258253E-2</v>
      </c>
      <c r="AB50" s="67">
        <f t="shared" si="33"/>
        <v>-4.9999999999999933E-2</v>
      </c>
      <c r="AC50" s="67">
        <f t="shared" si="33"/>
        <v>-3.6602540378443793E-2</v>
      </c>
      <c r="AD50" s="67">
        <f t="shared" si="33"/>
        <v>-2.071067811865468E-2</v>
      </c>
      <c r="AE50" s="67"/>
      <c r="AF50" s="67">
        <f t="shared" si="33"/>
        <v>5.0000000000000044E-2</v>
      </c>
    </row>
    <row r="51" spans="11:32" x14ac:dyDescent="0.2">
      <c r="K51" s="69">
        <v>1</v>
      </c>
      <c r="L51" s="67">
        <f t="shared" si="32"/>
        <v>-0.5</v>
      </c>
      <c r="M51" s="67">
        <f t="shared" si="32"/>
        <v>-0.39999999999999997</v>
      </c>
      <c r="N51" s="67">
        <f t="shared" si="32"/>
        <v>-0.35857864376269044</v>
      </c>
      <c r="O51" s="67">
        <f t="shared" si="32"/>
        <v>-0.32679491924311221</v>
      </c>
      <c r="P51" s="67">
        <f t="shared" si="32"/>
        <v>-0.29999999999999993</v>
      </c>
      <c r="Q51" s="67">
        <f t="shared" si="32"/>
        <v>-0.27639320225002101</v>
      </c>
      <c r="R51" s="67">
        <f t="shared" si="32"/>
        <v>-0.25505102572168215</v>
      </c>
      <c r="S51" s="67">
        <f t="shared" si="32"/>
        <v>-0.23542486889354097</v>
      </c>
      <c r="T51" s="67">
        <f t="shared" si="32"/>
        <v>-0.21715728752538088</v>
      </c>
      <c r="U51" s="67">
        <f t="shared" si="32"/>
        <v>-0.19999999999999996</v>
      </c>
      <c r="V51" s="67">
        <f t="shared" si="32"/>
        <v>-0.183772233983162</v>
      </c>
      <c r="W51" s="67">
        <f t="shared" si="32"/>
        <v>-0.16833752096445997</v>
      </c>
      <c r="X51" s="67">
        <f t="shared" si="32"/>
        <v>-0.15358983848622454</v>
      </c>
      <c r="Y51" s="67">
        <f t="shared" si="32"/>
        <v>-0.13944487245360104</v>
      </c>
      <c r="Z51" s="67">
        <f t="shared" si="32"/>
        <v>-0.12583426132260589</v>
      </c>
      <c r="AA51" s="67">
        <f t="shared" si="32"/>
        <v>-0.1127016653792583</v>
      </c>
      <c r="AB51" s="67">
        <f t="shared" si="33"/>
        <v>-9.9999999999999978E-2</v>
      </c>
      <c r="AC51" s="67">
        <f t="shared" si="33"/>
        <v>-8.6602540378443837E-2</v>
      </c>
      <c r="AD51" s="67">
        <f t="shared" si="33"/>
        <v>-7.0710678118654724E-2</v>
      </c>
      <c r="AE51" s="67">
        <f t="shared" si="33"/>
        <v>-5.0000000000000044E-2</v>
      </c>
      <c r="AF51" s="6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6:AY172"/>
  <sheetViews>
    <sheetView topLeftCell="A10" zoomScaleNormal="100" zoomScalePageLayoutView="110" workbookViewId="0">
      <selection activeCell="I40" sqref="I40"/>
    </sheetView>
  </sheetViews>
  <sheetFormatPr baseColWidth="10" defaultColWidth="8.83203125" defaultRowHeight="15" x14ac:dyDescent="0.2"/>
  <cols>
    <col min="1" max="1" width="10" style="71" bestFit="1" customWidth="1"/>
    <col min="2" max="2" width="15.83203125" style="71" bestFit="1" customWidth="1"/>
    <col min="3" max="16384" width="8.83203125" style="71"/>
  </cols>
  <sheetData>
    <row r="6" spans="6:51" x14ac:dyDescent="0.2">
      <c r="K6" s="71">
        <f>1000/18</f>
        <v>55.555555555555557</v>
      </c>
    </row>
    <row r="9" spans="6:51" x14ac:dyDescent="0.2">
      <c r="F9" s="71" t="s">
        <v>65</v>
      </c>
    </row>
    <row r="10" spans="6:51" x14ac:dyDescent="0.2">
      <c r="F10" s="71" t="s">
        <v>66</v>
      </c>
    </row>
    <row r="11" spans="6:51" x14ac:dyDescent="0.2">
      <c r="F11" s="71" t="s">
        <v>67</v>
      </c>
    </row>
    <row r="16" spans="6:51" x14ac:dyDescent="0.2">
      <c r="W16" s="72" t="s">
        <v>44</v>
      </c>
      <c r="X16" s="73"/>
      <c r="Y16" s="73"/>
      <c r="Z16" s="72"/>
      <c r="AA16" s="73"/>
      <c r="AB16" s="73"/>
      <c r="AC16" s="72"/>
      <c r="AD16" s="73"/>
      <c r="AE16" s="73"/>
      <c r="AF16" s="72"/>
      <c r="AG16" s="73"/>
      <c r="AH16" s="73"/>
      <c r="AI16" s="72"/>
      <c r="AJ16" s="73"/>
      <c r="AK16" s="73"/>
      <c r="AL16" s="72"/>
      <c r="AM16" s="73"/>
      <c r="AN16" s="73"/>
      <c r="AO16" s="72"/>
      <c r="AP16" s="73"/>
      <c r="AQ16" s="73"/>
      <c r="AR16" s="72"/>
      <c r="AS16" s="73"/>
      <c r="AT16" s="73"/>
      <c r="AU16" s="72"/>
      <c r="AV16" s="73"/>
      <c r="AW16" s="73"/>
      <c r="AX16" s="74"/>
      <c r="AY16" s="74"/>
    </row>
    <row r="18" spans="1:51" ht="17" x14ac:dyDescent="0.2">
      <c r="G18" s="75" t="s">
        <v>45</v>
      </c>
      <c r="O18" s="76" t="s">
        <v>46</v>
      </c>
      <c r="P18" s="77" t="s">
        <v>47</v>
      </c>
      <c r="Q18" s="78" t="s">
        <v>48</v>
      </c>
      <c r="W18" s="79" t="s">
        <v>49</v>
      </c>
      <c r="X18" s="80"/>
      <c r="Z18" s="72" t="s">
        <v>50</v>
      </c>
      <c r="AA18" s="73"/>
      <c r="AB18" s="73"/>
      <c r="AC18" s="73"/>
      <c r="AD18" s="73"/>
      <c r="AE18" s="73"/>
      <c r="AF18" s="73"/>
      <c r="AG18" s="73"/>
      <c r="AH18" s="74"/>
    </row>
    <row r="19" spans="1:51" x14ac:dyDescent="0.2">
      <c r="C19" s="79" t="s">
        <v>51</v>
      </c>
      <c r="D19" s="81"/>
      <c r="E19" s="81"/>
      <c r="F19" s="80"/>
      <c r="H19" s="79" t="str">
        <f>"sum of "&amp;F21&amp;" IID triangulars"</f>
        <v>sum of 2 IID triangulars</v>
      </c>
      <c r="I19" s="81"/>
      <c r="W19" s="82">
        <v>1</v>
      </c>
      <c r="X19" s="83">
        <v>0</v>
      </c>
      <c r="Z19" s="84">
        <v>5.773159728050814E-15</v>
      </c>
      <c r="AA19" s="85">
        <v>3.5527136788005009E-15</v>
      </c>
      <c r="AB19" s="85">
        <v>0</v>
      </c>
      <c r="AC19" s="85">
        <v>-1.0658141036401503E-14</v>
      </c>
      <c r="AD19" s="85">
        <v>0.99999999999999289</v>
      </c>
      <c r="AE19" s="85">
        <v>-2.4868995751603507E-14</v>
      </c>
      <c r="AF19" s="85">
        <v>1.0658141036401503E-14</v>
      </c>
      <c r="AG19" s="85">
        <v>-9.7699626167013776E-15</v>
      </c>
      <c r="AH19" s="86">
        <v>6.6613381477509392E-15</v>
      </c>
      <c r="AK19" s="87"/>
    </row>
    <row r="20" spans="1:51" x14ac:dyDescent="0.2">
      <c r="C20" s="88" t="s">
        <v>52</v>
      </c>
      <c r="D20" s="89" t="s">
        <v>53</v>
      </c>
      <c r="E20" s="89" t="s">
        <v>54</v>
      </c>
      <c r="F20" s="90" t="s">
        <v>55</v>
      </c>
      <c r="H20" s="88" t="s">
        <v>56</v>
      </c>
      <c r="I20" s="89" t="s">
        <v>57</v>
      </c>
      <c r="J20" s="71" t="s">
        <v>76</v>
      </c>
      <c r="W20" s="91">
        <v>2</v>
      </c>
      <c r="X20" s="92">
        <v>0.1</v>
      </c>
      <c r="Z20" s="84">
        <v>-2.0677042621789639</v>
      </c>
      <c r="AA20" s="85">
        <v>4.8442472525939015</v>
      </c>
      <c r="AB20" s="85">
        <v>-5.8753062954362205</v>
      </c>
      <c r="AC20" s="85">
        <v>4.0329031649231268</v>
      </c>
      <c r="AD20" s="85">
        <v>-9.83766223857867E-15</v>
      </c>
      <c r="AE20" s="85">
        <v>-4.0329031649230966</v>
      </c>
      <c r="AF20" s="85">
        <v>5.8753062954361788</v>
      </c>
      <c r="AG20" s="85">
        <v>-4.844247252593993</v>
      </c>
      <c r="AH20" s="86">
        <v>2.0677042621790811</v>
      </c>
      <c r="AK20" s="93"/>
    </row>
    <row r="21" spans="1:51" x14ac:dyDescent="0.2">
      <c r="A21" s="71" t="s">
        <v>33</v>
      </c>
      <c r="B21" s="71" t="s">
        <v>78</v>
      </c>
      <c r="C21" s="94">
        <f>'Loss Magnitude'!D10</f>
        <v>0</v>
      </c>
      <c r="D21" s="94">
        <f>'Loss Magnitude'!E10</f>
        <v>1</v>
      </c>
      <c r="E21" s="94">
        <f>'Loss Magnitude'!F10</f>
        <v>5</v>
      </c>
      <c r="F21" s="96">
        <f>Current_Calc!$L$12</f>
        <v>2</v>
      </c>
      <c r="G21" s="97" t="s">
        <v>58</v>
      </c>
      <c r="H21" s="98">
        <f t="shared" ref="H21:H48" si="0">( MOD((( MOD( (J21+1000000)^2 + (J21+1000000)*(PM_Index+10000000), 99999989 )) + 1000007 ) * (( MOD( (PM_Index+10000000)^2 + (PM_Index+10000000) * ( MOD( (J21+1000000)^2 + (J21+1000000)*(PM_Index+10000000), 99999989 )), 99999989 )) + 1000013 ), 2147483647 ) + 0.5 ) / 2147483647</f>
        <v>0.99126729392039925</v>
      </c>
      <c r="I21" s="99">
        <f>IF( F21&gt;1000, _xlfn.NORM.INV( H21, (C21+D21+E21)*F21/3, SQRT(( C21^2 + D21^2 + E21^2 - C21*D21 - D21*E21 - E21*C21 )*F21/18 )), IF(H21=0,F21*C21,IF(H21=1,F21*E21,IF(C21=E21,D21*F21,F21*(C21+E21*EXP(M29+N29*LN(H21/(1-H21))+O29*(H21-0.5)*LN(H21/(1-H21))+P29*(H21-0.5)+Q29*(H21-0.5)^2+R29*(H21-0.5)^2*LN(H21/(1-H21))+S29*(H21-0.5)^3+T29*(H21-0.5)^3*LN(H21/(1-H21))+U29*(H21-0.5)^4))/(1+EXP(M29+N29*LN(H21/(1-H21))+O29*(H21-0.5)*LN(H21/(1-H21))+P29*(H21-0.5)+Q29*(H21-0.5)^2+R29*(H21-0.5)^2*LN(H21/(1-H21))+S29*(H21-0.5)^3+T29*(H21-0.5)^3*LN(H21/(1-H21))+U29*(H21-0.5)^4))))))</f>
        <v>7.8622725089598973</v>
      </c>
      <c r="J21" s="71">
        <f>Current_Calc!G20</f>
        <v>1005</v>
      </c>
      <c r="W21" s="91">
        <v>3</v>
      </c>
      <c r="X21" s="92">
        <v>0.2</v>
      </c>
      <c r="Z21" s="84">
        <v>4.1436959161903557</v>
      </c>
      <c r="AA21" s="85">
        <v>-9.8862188828447763</v>
      </c>
      <c r="AB21" s="85">
        <v>14.688265738590616</v>
      </c>
      <c r="AC21" s="85">
        <v>-16.131612659692507</v>
      </c>
      <c r="AD21" s="85">
        <v>14.371739775512649</v>
      </c>
      <c r="AE21" s="85">
        <v>-16.131612659692479</v>
      </c>
      <c r="AF21" s="85">
        <v>14.688265738590527</v>
      </c>
      <c r="AG21" s="85">
        <v>-9.8862188828449327</v>
      </c>
      <c r="AH21" s="86">
        <v>4.1436959161905644</v>
      </c>
    </row>
    <row r="22" spans="1:51" x14ac:dyDescent="0.2">
      <c r="A22" s="211" t="s">
        <v>115</v>
      </c>
      <c r="B22" s="71" t="s">
        <v>79</v>
      </c>
      <c r="C22" s="94">
        <f>'Loss Magnitude'!D11</f>
        <v>0</v>
      </c>
      <c r="D22" s="94">
        <f>'Loss Magnitude'!E11</f>
        <v>0</v>
      </c>
      <c r="E22" s="94">
        <f>'Loss Magnitude'!F11</f>
        <v>0</v>
      </c>
      <c r="F22" s="96">
        <f>Current_Calc!$L$12</f>
        <v>2</v>
      </c>
      <c r="G22" s="97" t="s">
        <v>58</v>
      </c>
      <c r="H22" s="98">
        <f t="shared" si="0"/>
        <v>0.91667555245416033</v>
      </c>
      <c r="I22" s="99">
        <f t="shared" ref="I22:I50" si="1">IF( F22&gt;1000, _xlfn.NORM.INV( H22, (C22+D22+E22)*F22/3, SQRT(( C22^2 + D22^2 + E22^2 - C22*D22 - D22*E22 - E22*C22 )*F22/18 )), IF(H22=0,F22*C22,IF(H22=1,F22*E22,IF(C22=E22,D22*F22,F22*(C22+E22*EXP(M30+N30*LN(H22/(1-H22))+O30*(H22-0.5)*LN(H22/(1-H22))+P30*(H22-0.5)+Q30*(H22-0.5)^2+R30*(H22-0.5)^2*LN(H22/(1-H22))+S30*(H22-0.5)^3+T30*(H22-0.5)^3*LN(H22/(1-H22))+U30*(H22-0.5)^4))/(1+EXP(M30+N30*LN(H22/(1-H22))+O30*(H22-0.5)*LN(H22/(1-H22))+P30*(H22-0.5)+Q30*(H22-0.5)^2+R30*(H22-0.5)^2*LN(H22/(1-H22))+S30*(H22-0.5)^3+T30*(H22-0.5)^3*LN(H22/(1-H22))+U30*(H22-0.5)^4))))))</f>
        <v>0</v>
      </c>
      <c r="J22" s="71">
        <f>Current_Calc!G21</f>
        <v>1006</v>
      </c>
      <c r="W22" s="91">
        <v>4</v>
      </c>
      <c r="X22" s="92">
        <v>0.3</v>
      </c>
      <c r="Z22" s="84">
        <v>8.4231341472202885</v>
      </c>
      <c r="AA22" s="85">
        <v>-19.865045619003201</v>
      </c>
      <c r="AB22" s="85">
        <v>25.028081592163044</v>
      </c>
      <c r="AC22" s="85">
        <v>-19.922016892066313</v>
      </c>
      <c r="AD22" s="85">
        <v>1.2885240581387805E-14</v>
      </c>
      <c r="AE22" s="85">
        <v>19.922016892066264</v>
      </c>
      <c r="AF22" s="85">
        <v>-25.028081592162941</v>
      </c>
      <c r="AG22" s="85">
        <v>19.865045619003627</v>
      </c>
      <c r="AH22" s="86">
        <v>-8.4231341472207895</v>
      </c>
    </row>
    <row r="23" spans="1:51" x14ac:dyDescent="0.2">
      <c r="B23" s="71" t="s">
        <v>80</v>
      </c>
      <c r="C23" s="94">
        <f>'Loss Magnitude'!D12</f>
        <v>0</v>
      </c>
      <c r="D23" s="94">
        <f>'Loss Magnitude'!E12</f>
        <v>0</v>
      </c>
      <c r="E23" s="94">
        <f>'Loss Magnitude'!F12</f>
        <v>0</v>
      </c>
      <c r="F23" s="96">
        <f>Current_Calc!$L$12</f>
        <v>2</v>
      </c>
      <c r="G23" s="97" t="s">
        <v>58</v>
      </c>
      <c r="H23" s="98">
        <f t="shared" si="0"/>
        <v>0.67858205138639638</v>
      </c>
      <c r="I23" s="99">
        <f t="shared" si="1"/>
        <v>0</v>
      </c>
      <c r="J23" s="71">
        <f>Current_Calc!G22</f>
        <v>1007</v>
      </c>
      <c r="W23" s="91">
        <v>5</v>
      </c>
      <c r="X23" s="92">
        <v>0.4</v>
      </c>
      <c r="Z23" s="84">
        <v>-16.880028351143114</v>
      </c>
      <c r="AA23" s="85">
        <v>40.540909426537603</v>
      </c>
      <c r="AB23" s="85">
        <v>-62.57020398040806</v>
      </c>
      <c r="AC23" s="85">
        <v>79.688067568265538</v>
      </c>
      <c r="AD23" s="85">
        <v>-81.55748932650404</v>
      </c>
      <c r="AE23" s="85">
        <v>79.688067568265538</v>
      </c>
      <c r="AF23" s="85">
        <v>-62.570203980407847</v>
      </c>
      <c r="AG23" s="85">
        <v>40.540909426538342</v>
      </c>
      <c r="AH23" s="86">
        <v>-16.880028351144006</v>
      </c>
    </row>
    <row r="24" spans="1:51" x14ac:dyDescent="0.2">
      <c r="B24" s="71" t="s">
        <v>81</v>
      </c>
      <c r="C24" s="94">
        <f>'Loss Magnitude'!D13</f>
        <v>0</v>
      </c>
      <c r="D24" s="94">
        <f>'Loss Magnitude'!E13</f>
        <v>0</v>
      </c>
      <c r="E24" s="94">
        <f>'Loss Magnitude'!F13</f>
        <v>0</v>
      </c>
      <c r="F24" s="96">
        <f>Current_Calc!$L$12</f>
        <v>2</v>
      </c>
      <c r="G24" s="97" t="s">
        <v>58</v>
      </c>
      <c r="H24" s="98">
        <f t="shared" si="0"/>
        <v>0.65525302111881456</v>
      </c>
      <c r="I24" s="99">
        <f t="shared" si="1"/>
        <v>0</v>
      </c>
      <c r="J24" s="71">
        <f>Current_Calc!G23</f>
        <v>1008</v>
      </c>
      <c r="W24" s="91">
        <v>6</v>
      </c>
      <c r="X24" s="92">
        <v>0.5</v>
      </c>
      <c r="Z24" s="84">
        <v>7.0365897550530816</v>
      </c>
      <c r="AA24" s="85">
        <v>-17.649854148746094</v>
      </c>
      <c r="AB24" s="85">
        <v>22.59250578237971</v>
      </c>
      <c r="AC24" s="85">
        <v>-15.599328271351178</v>
      </c>
      <c r="AD24" s="85">
        <v>2.5469983763554034E-14</v>
      </c>
      <c r="AE24" s="85">
        <v>15.599328271351089</v>
      </c>
      <c r="AF24" s="85">
        <v>-22.592505782379586</v>
      </c>
      <c r="AG24" s="85">
        <v>17.649854148746446</v>
      </c>
      <c r="AH24" s="86">
        <v>-7.036589755053515</v>
      </c>
    </row>
    <row r="25" spans="1:51" x14ac:dyDescent="0.2">
      <c r="B25" s="71" t="s">
        <v>82</v>
      </c>
      <c r="C25" s="94">
        <f>'Loss Magnitude'!D14</f>
        <v>0</v>
      </c>
      <c r="D25" s="94">
        <f>'Loss Magnitude'!E14</f>
        <v>0</v>
      </c>
      <c r="E25" s="94">
        <f>'Loss Magnitude'!F14</f>
        <v>0</v>
      </c>
      <c r="F25" s="96">
        <f>Current_Calc!$L$12</f>
        <v>2</v>
      </c>
      <c r="G25" s="97" t="s">
        <v>58</v>
      </c>
      <c r="H25" s="98">
        <f t="shared" si="0"/>
        <v>0.82692537099445484</v>
      </c>
      <c r="I25" s="99">
        <f t="shared" si="1"/>
        <v>0</v>
      </c>
      <c r="J25" s="71">
        <f>Current_Calc!G24</f>
        <v>1009</v>
      </c>
      <c r="O25" s="101" t="s">
        <v>59</v>
      </c>
      <c r="W25" s="91">
        <v>7</v>
      </c>
      <c r="X25" s="92">
        <v>0.6</v>
      </c>
      <c r="Z25" s="84">
        <v>-20.309342303675372</v>
      </c>
      <c r="AA25" s="85">
        <v>54.797344641131779</v>
      </c>
      <c r="AB25" s="85">
        <v>-86.631166877178089</v>
      </c>
      <c r="AC25" s="85">
        <v>71.744518745002722</v>
      </c>
      <c r="AD25" s="85">
        <v>1.4337434988243628E-13</v>
      </c>
      <c r="AE25" s="85">
        <v>-71.744518745002992</v>
      </c>
      <c r="AF25" s="85">
        <v>86.631166877178302</v>
      </c>
      <c r="AG25" s="85">
        <v>-54.797344641133328</v>
      </c>
      <c r="AH25" s="86">
        <v>20.309342303676889</v>
      </c>
    </row>
    <row r="26" spans="1:51" x14ac:dyDescent="0.2">
      <c r="B26" s="71" t="s">
        <v>83</v>
      </c>
      <c r="C26" s="94">
        <f>'Loss Magnitude'!D15</f>
        <v>0</v>
      </c>
      <c r="D26" s="94">
        <f>'Loss Magnitude'!E15</f>
        <v>0</v>
      </c>
      <c r="E26" s="94">
        <f>'Loss Magnitude'!F15</f>
        <v>0</v>
      </c>
      <c r="F26" s="96">
        <f>Current_Calc!$L$12</f>
        <v>2</v>
      </c>
      <c r="G26" s="97" t="s">
        <v>58</v>
      </c>
      <c r="H26" s="98">
        <f t="shared" si="0"/>
        <v>0.6136846319370366</v>
      </c>
      <c r="I26" s="99">
        <f t="shared" si="1"/>
        <v>0</v>
      </c>
      <c r="J26" s="71">
        <f>Current_Calc!G25</f>
        <v>1010</v>
      </c>
      <c r="W26" s="91">
        <v>8</v>
      </c>
      <c r="X26" s="92">
        <v>0.70000000000000007</v>
      </c>
      <c r="Z26" s="84">
        <v>-14.10138227465565</v>
      </c>
      <c r="AA26" s="85">
        <v>36.020110507645384</v>
      </c>
      <c r="AB26" s="85">
        <v>-56.481264455949521</v>
      </c>
      <c r="AC26" s="85">
        <v>62.397313085404754</v>
      </c>
      <c r="AD26" s="85">
        <v>-55.669553724890008</v>
      </c>
      <c r="AE26" s="85">
        <v>62.397313085404697</v>
      </c>
      <c r="AF26" s="85">
        <v>-56.481264455949272</v>
      </c>
      <c r="AG26" s="85">
        <v>36.02011050764601</v>
      </c>
      <c r="AH26" s="86">
        <v>-14.101382274656432</v>
      </c>
    </row>
    <row r="27" spans="1:51" ht="16" x14ac:dyDescent="0.2">
      <c r="A27" s="71" t="s">
        <v>32</v>
      </c>
      <c r="B27" s="26" t="s">
        <v>84</v>
      </c>
      <c r="C27" s="94">
        <f>'Loss Magnitude'!K14</f>
        <v>0</v>
      </c>
      <c r="D27" s="94">
        <f>'Loss Magnitude'!L14</f>
        <v>0</v>
      </c>
      <c r="E27" s="94">
        <f>'Loss Magnitude'!M14</f>
        <v>0</v>
      </c>
      <c r="F27" s="96">
        <f>Current_Calc!$AE$12</f>
        <v>0</v>
      </c>
      <c r="G27" s="97" t="s">
        <v>58</v>
      </c>
      <c r="H27" s="98">
        <f t="shared" si="0"/>
        <v>0.10123587427718372</v>
      </c>
      <c r="I27" s="99">
        <f t="shared" si="1"/>
        <v>0</v>
      </c>
      <c r="J27" s="71">
        <f>Current_Calc!Z20</f>
        <v>2002</v>
      </c>
      <c r="W27" s="91">
        <v>9</v>
      </c>
      <c r="X27" s="92">
        <v>0.8</v>
      </c>
      <c r="Z27" s="102">
        <v>40.700084776905364</v>
      </c>
      <c r="AA27" s="103">
        <v>-111.83131559414801</v>
      </c>
      <c r="AB27" s="103">
        <v>216.57791719294684</v>
      </c>
      <c r="AC27" s="103">
        <v>-286.97807498001237</v>
      </c>
      <c r="AD27" s="103">
        <v>283.06277720861681</v>
      </c>
      <c r="AE27" s="103">
        <v>-286.9780749800131</v>
      </c>
      <c r="AF27" s="103">
        <v>216.57791719294738</v>
      </c>
      <c r="AG27" s="103">
        <v>-111.83131559415089</v>
      </c>
      <c r="AH27" s="104">
        <v>40.700084776908128</v>
      </c>
    </row>
    <row r="28" spans="1:51" ht="16" x14ac:dyDescent="0.2">
      <c r="A28" s="211" t="s">
        <v>115</v>
      </c>
      <c r="B28" s="26" t="s">
        <v>85</v>
      </c>
      <c r="C28" s="94">
        <f>'Loss Magnitude'!K15</f>
        <v>0</v>
      </c>
      <c r="D28" s="94">
        <f>'Loss Magnitude'!L15</f>
        <v>0</v>
      </c>
      <c r="E28" s="94">
        <f>'Loss Magnitude'!M15</f>
        <v>0</v>
      </c>
      <c r="F28" s="96">
        <f>Current_Calc!$AE$12</f>
        <v>0</v>
      </c>
      <c r="G28" s="97" t="s">
        <v>58</v>
      </c>
      <c r="H28" s="98">
        <f t="shared" si="0"/>
        <v>0.29800046551879517</v>
      </c>
      <c r="I28" s="99">
        <f t="shared" si="1"/>
        <v>0</v>
      </c>
      <c r="J28" s="71">
        <f>Current_Calc!Z21</f>
        <v>2003</v>
      </c>
      <c r="W28" s="91">
        <v>10</v>
      </c>
      <c r="X28" s="92">
        <v>0.9</v>
      </c>
    </row>
    <row r="29" spans="1:51" ht="16" x14ac:dyDescent="0.2">
      <c r="B29" s="26" t="s">
        <v>86</v>
      </c>
      <c r="C29" s="94">
        <f>'Loss Magnitude'!K16</f>
        <v>0</v>
      </c>
      <c r="D29" s="94">
        <f>'Loss Magnitude'!L16</f>
        <v>0</v>
      </c>
      <c r="E29" s="94">
        <f>'Loss Magnitude'!M16</f>
        <v>0</v>
      </c>
      <c r="F29" s="96">
        <f>Current_Calc!$AE$12</f>
        <v>0</v>
      </c>
      <c r="G29" s="97" t="s">
        <v>58</v>
      </c>
      <c r="H29" s="98">
        <f t="shared" si="0"/>
        <v>0.23281213861555428</v>
      </c>
      <c r="I29" s="99">
        <f t="shared" si="1"/>
        <v>0</v>
      </c>
      <c r="J29" s="71">
        <f>Current_Calc!Z22</f>
        <v>2004</v>
      </c>
      <c r="M29" s="105">
        <f t="array" ref="M29:U29">TRANSPOSE( MMULT($Z$19:$AH$27,((LN(INDEX($Y$36:$AY$143,9*LOOKUP((D21-C21)/(E21-C21),$X$19:$X$30,$W$19:$W$30)-8,LOOKUP(F21,$Y$35:$AY$35,$Y$34:$AY$34)):INDEX($Y$36:$AY$143,9*LOOKUP((D21-C21)/(E21-C21),$X$19:$X$30,$W$19:$W$30),LOOKUP(F21,$Y$35:$AY$35,$Y$34:$AY$34))/(1-INDEX($Y$36:$AY$143,9*LOOKUP((D21-C21)/(E21-C21),$X$19:$X$30,$W$19:$W$30)-8,LOOKUP(F21,$Y$35:$AY$35,$Y$34:$AY$34)):INDEX($Y$36:$AY$143,9*LOOKUP((D21-C21)/(E21-C21),$X$19:$X$30,$W$19:$W$30),LOOKUP(F21,$Y$35:$AY$35,$Y$34:$AY$34)))))*((INDEX($Y$35:$AY$35,1,LOOKUP(F21,$Y$35:$AY$35,$Y$34:$AY$34)+1)-F21)/(INDEX($Y$35:$AY$35,1,LOOKUP(F21,$Y$35:$AY$35,$Y$34:$AY$34)+1)-INDEX($Y$35:$AY$35,1,LOOKUP(F21,$Y$35:$AY$35,$Y$34:$AY$34))))+(LN(INDEX($Y$36:$AY$143,9*LOOKUP((D21-C21)/(E21-C21),$X$19:$X$30,$W$19:$W$30)-8,LOOKUP(F21,$Y$35:$AY$35,$Y$34:$AY$34)+1):INDEX($Y$36:$AY$143,9*LOOKUP((D21-C21)/(E21-C21),$X$19:$X$30,$W$19:$W$30),LOOKUP(F21,$Y$35:$AY$35,$Y$34:$AY$34)+1)/(1-INDEX($Y$36:$AY$143,9*LOOKUP((D21-C21)/(E21-C21),$X$19:$X$30,$W$19:$W$30)-8,LOOKUP(F21,$Y$35:$AY$35,$Y$34:$AY$34)+1):INDEX($Y$36:$AY$143,9*LOOKUP((D21-C21)/(E21-C21),$X$19:$X$30,$W$19:$W$30),LOOKUP(F21,$Y$35:$AY$35,$Y$34:$AY$34)+1))))*(1-((INDEX($Y$35:$AY$35,1,LOOKUP(F21,$Y$35:$AY$35,$Y$34:$AY$34)+1)-F21)/(INDEX($Y$35:$AY$35,1,LOOKUP(F21,$Y$35:$AY$35,$Y$34:$AY$34)+1)-INDEX($Y$35:$AY$35,1,LOOKUP(F21,$Y$35:$AY$35,$Y$34:$AY$34))))))*((INDEX($X$19:$X$30,LOOKUP((D21-C21)/(E21-C21),$X$19:$X$30,$W$19:$W$30)+1,1)-(D21-C21)/(E21-C21))/(INDEX($X$19:$X$30,LOOKUP((D21-C21)/(E21-C21),$X$19:$X$30,$W$19:$W$30)+1,1)-INDEX($X$19:$X$30,LOOKUP((D21-C21)/(E21-C21),$X$19:$X$30,$W$19:$W$30),1)))+((LN(INDEX($Y$36:$AY$143,9*LOOKUP((D21-C21)/(E21-C21),$X$19:$X$30,$W$19:$W$30)+1,LOOKUP(F21,$Y$35:$AY$35,$Y$34:$AY$34)):INDEX($Y$36:$AY$143,9*LOOKUP((D21-C21)/(E21-C21),$X$19:$X$30,$W$19:$W$30)+9,LOOKUP(F21,$Y$35:$AY$35,$Y$34:$AY$34))/(1-INDEX($Y$36:$AY$143,9*LOOKUP((D21-C21)/(E21-C21),$X$19:$X$30,$W$19:$W$30)+1,LOOKUP(F21,$Y$35:$AY$35,$Y$34:$AY$34)):INDEX($Y$36:$AY$143,9*LOOKUP((D21-C21)/(E21-C21),$X$19:$X$30,$W$19:$W$30)+9,LOOKUP(F21,$Y$35:$AY$35,$Y$34:$AY$34)))))*((INDEX($Y$35:$AY$35,1,LOOKUP(F21,$Y$35:$AY$35,$Y$34:$AY$34)+1)-F21)/(INDEX($Y$35:$AY$35,1,LOOKUP(F21,$Y$35:$AY$35,$Y$34:$AY$34)+1)-INDEX($Y$35:$AY$35,1,LOOKUP(F21,$Y$35:$AY$35,$Y$34:$AY$34))))+(LN(INDEX($Y$36:$AY$143,9*LOOKUP((D21-C21)/(E21-C21),$X$19:$X$30,$W$19:$W$30)+1,LOOKUP(F21,$Y$35:$AY$35,$Y$34:$AY$34)+1):INDEX($Y$36:$AY$143,9*LOOKUP((D21-C21)/(E21-C21),$X$19:$X$30,$W$19:$W$30)+9,LOOKUP(F21,$Y$35:$AY$35,$Y$34:$AY$34)+1)/(1-INDEX($Y$36:$AY$143,9*LOOKUP((D21-C21)/(E21-C21),$X$19:$X$30,$W$19:$W$30)+1,LOOKUP(F21,$Y$35:$AY$35,$Y$34:$AY$34)+1):INDEX($Y$36:$AY$143,9*LOOKUP((D21-C21)/(E21-C21),$X$19:$X$30,$W$19:$W$30)+9,LOOKUP(F21,$Y$35:$AY$35,$Y$34:$AY$34)+1))))*(1-((INDEX($Y$35:$AY$35,1,LOOKUP(F21,$Y$35:$AY$35,$Y$34:$AY$34)+1)-F21)/(INDEX($Y$35:$AY$35,1,LOOKUP(F21,$Y$35:$AY$35,$Y$34:$AY$34)+1)-INDEX($Y$35:$AY$35,1,LOOKUP(F21,$Y$35:$AY$35,$Y$34:$AY$34))))))*(1-(INDEX($X$19:$X$30,LOOKUP((D21-C21)/(E21-C21),$X$19:$X$30,$W$19:$W$30)+1,1)-(D21-C21)/(E21-C21))/(INDEX($X$19:$X$30,LOOKUP((D21-C21)/(E21-C21),$X$19:$X$30,$W$19:$W$30)+1,1)-INDEX($X$19:$X$30,LOOKUP((D21-C21)/(E21-C21),$X$19:$X$30,$W$19:$W$30),1)))) )</f>
        <v>-0.44507502417071221</v>
      </c>
      <c r="N29" s="105">
        <v>9.2204112831421714E-2</v>
      </c>
      <c r="O29" s="105">
        <v>-0.12442358744510784</v>
      </c>
      <c r="P29" s="105">
        <v>1.3783983951814172</v>
      </c>
      <c r="Q29" s="105">
        <v>0.38204161635952261</v>
      </c>
      <c r="R29" s="105">
        <v>0.71170782468199256</v>
      </c>
      <c r="S29" s="105">
        <v>-1.8114160317009649</v>
      </c>
      <c r="T29" s="105">
        <v>0.61499215758187376</v>
      </c>
      <c r="U29" s="106">
        <v>-1.9239697365305375</v>
      </c>
      <c r="W29" s="91">
        <v>11</v>
      </c>
      <c r="X29" s="92">
        <v>1</v>
      </c>
    </row>
    <row r="30" spans="1:51" ht="16" x14ac:dyDescent="0.2">
      <c r="B30" s="26" t="s">
        <v>87</v>
      </c>
      <c r="C30" s="94">
        <f>'Loss Magnitude'!K17</f>
        <v>0</v>
      </c>
      <c r="D30" s="94">
        <f>'Loss Magnitude'!L17</f>
        <v>15</v>
      </c>
      <c r="E30" s="94">
        <f>'Loss Magnitude'!M17</f>
        <v>60</v>
      </c>
      <c r="F30" s="96">
        <f>Current_Calc!$AE$12</f>
        <v>0</v>
      </c>
      <c r="G30" s="97" t="s">
        <v>58</v>
      </c>
      <c r="H30" s="98">
        <f t="shared" si="0"/>
        <v>6.3005980366378084E-2</v>
      </c>
      <c r="I30" s="99" t="e">
        <f t="shared" si="1"/>
        <v>#N/A</v>
      </c>
      <c r="J30" s="71">
        <f>Current_Calc!Z23</f>
        <v>2005</v>
      </c>
      <c r="M30" s="105" t="e">
        <f t="array" ref="M30:U30">TRANSPOSE( MMULT($Z$19:$AH$27,((LN(INDEX($Y$36:$AY$143,9*LOOKUP((D22-C22)/(E22-C22),$X$19:$X$30,$W$19:$W$30)-8,LOOKUP(F22,$Y$35:$AY$35,$Y$34:$AY$34)):INDEX($Y$36:$AY$143,9*LOOKUP((D22-C22)/(E22-C22),$X$19:$X$30,$W$19:$W$30),LOOKUP(F22,$Y$35:$AY$35,$Y$34:$AY$34))/(1-INDEX($Y$36:$AY$143,9*LOOKUP((D22-C22)/(E22-C22),$X$19:$X$30,$W$19:$W$30)-8,LOOKUP(F22,$Y$35:$AY$35,$Y$34:$AY$34)):INDEX($Y$36:$AY$143,9*LOOKUP((D22-C22)/(E22-C22),$X$19:$X$30,$W$19:$W$30),LOOKUP(F22,$Y$35:$AY$35,$Y$34:$AY$34)))))*((INDEX($Y$35:$AY$35,1,LOOKUP(F22,$Y$35:$AY$35,$Y$34:$AY$34)+1)-F22)/(INDEX($Y$35:$AY$35,1,LOOKUP(F22,$Y$35:$AY$35,$Y$34:$AY$34)+1)-INDEX($Y$35:$AY$35,1,LOOKUP(F22,$Y$35:$AY$35,$Y$34:$AY$34))))+(LN(INDEX($Y$36:$AY$143,9*LOOKUP((D22-C22)/(E22-C22),$X$19:$X$30,$W$19:$W$30)-8,LOOKUP(F22,$Y$35:$AY$35,$Y$34:$AY$34)+1):INDEX($Y$36:$AY$143,9*LOOKUP((D22-C22)/(E22-C22),$X$19:$X$30,$W$19:$W$30),LOOKUP(F22,$Y$35:$AY$35,$Y$34:$AY$34)+1)/(1-INDEX($Y$36:$AY$143,9*LOOKUP((D22-C22)/(E22-C22),$X$19:$X$30,$W$19:$W$30)-8,LOOKUP(F22,$Y$35:$AY$35,$Y$34:$AY$34)+1):INDEX($Y$36:$AY$143,9*LOOKUP((D22-C22)/(E22-C22),$X$19:$X$30,$W$19:$W$30),LOOKUP(F22,$Y$35:$AY$35,$Y$34:$AY$34)+1))))*(1-((INDEX($Y$35:$AY$35,1,LOOKUP(F22,$Y$35:$AY$35,$Y$34:$AY$34)+1)-F22)/(INDEX($Y$35:$AY$35,1,LOOKUP(F22,$Y$35:$AY$35,$Y$34:$AY$34)+1)-INDEX($Y$35:$AY$35,1,LOOKUP(F22,$Y$35:$AY$35,$Y$34:$AY$34))))))*((INDEX($X$19:$X$30,LOOKUP((D22-C22)/(E22-C22),$X$19:$X$30,$W$19:$W$30)+1,1)-(D22-C22)/(E22-C22))/(INDEX($X$19:$X$30,LOOKUP((D22-C22)/(E22-C22),$X$19:$X$30,$W$19:$W$30)+1,1)-INDEX($X$19:$X$30,LOOKUP((D22-C22)/(E22-C22),$X$19:$X$30,$W$19:$W$30),1)))+((LN(INDEX($Y$36:$AY$143,9*LOOKUP((D22-C22)/(E22-C22),$X$19:$X$30,$W$19:$W$30)+1,LOOKUP(F22,$Y$35:$AY$35,$Y$34:$AY$34)):INDEX($Y$36:$AY$143,9*LOOKUP((D22-C22)/(E22-C22),$X$19:$X$30,$W$19:$W$30)+9,LOOKUP(F22,$Y$35:$AY$35,$Y$34:$AY$34))/(1-INDEX($Y$36:$AY$143,9*LOOKUP((D22-C22)/(E22-C22),$X$19:$X$30,$W$19:$W$30)+1,LOOKUP(F22,$Y$35:$AY$35,$Y$34:$AY$34)):INDEX($Y$36:$AY$143,9*LOOKUP((D22-C22)/(E22-C22),$X$19:$X$30,$W$19:$W$30)+9,LOOKUP(F22,$Y$35:$AY$35,$Y$34:$AY$34)))))*((INDEX($Y$35:$AY$35,1,LOOKUP(F22,$Y$35:$AY$35,$Y$34:$AY$34)+1)-F22)/(INDEX($Y$35:$AY$35,1,LOOKUP(F22,$Y$35:$AY$35,$Y$34:$AY$34)+1)-INDEX($Y$35:$AY$35,1,LOOKUP(F22,$Y$35:$AY$35,$Y$34:$AY$34))))+(LN(INDEX($Y$36:$AY$143,9*LOOKUP((D22-C22)/(E22-C22),$X$19:$X$30,$W$19:$W$30)+1,LOOKUP(F22,$Y$35:$AY$35,$Y$34:$AY$34)+1):INDEX($Y$36:$AY$143,9*LOOKUP((D22-C22)/(E22-C22),$X$19:$X$30,$W$19:$W$30)+9,LOOKUP(F22,$Y$35:$AY$35,$Y$34:$AY$34)+1)/(1-INDEX($Y$36:$AY$143,9*LOOKUP((D22-C22)/(E22-C22),$X$19:$X$30,$W$19:$W$30)+1,LOOKUP(F22,$Y$35:$AY$35,$Y$34:$AY$34)+1):INDEX($Y$36:$AY$143,9*LOOKUP((D22-C22)/(E22-C22),$X$19:$X$30,$W$19:$W$30)+9,LOOKUP(F22,$Y$35:$AY$35,$Y$34:$AY$34)+1))))*(1-((INDEX($Y$35:$AY$35,1,LOOKUP(F22,$Y$35:$AY$35,$Y$34:$AY$34)+1)-F22)/(INDEX($Y$35:$AY$35,1,LOOKUP(F22,$Y$35:$AY$35,$Y$34:$AY$34)+1)-INDEX($Y$35:$AY$35,1,LOOKUP(F22,$Y$35:$AY$35,$Y$34:$AY$34))))))*(1-(INDEX($X$19:$X$30,LOOKUP((D22-C22)/(E22-C22),$X$19:$X$30,$W$19:$W$30)+1,1)-(D22-C22)/(E22-C22))/(INDEX($X$19:$X$30,LOOKUP((D22-C22)/(E22-C22),$X$19:$X$30,$W$19:$W$30)+1,1)-INDEX($X$19:$X$30,LOOKUP((D22-C22)/(E22-C22),$X$19:$X$30,$W$19:$W$30),1)))) )</f>
        <v>#DIV/0!</v>
      </c>
      <c r="N30" s="105" t="e">
        <v>#DIV/0!</v>
      </c>
      <c r="O30" s="105" t="e">
        <v>#DIV/0!</v>
      </c>
      <c r="P30" s="105" t="e">
        <v>#DIV/0!</v>
      </c>
      <c r="Q30" s="105" t="e">
        <v>#DIV/0!</v>
      </c>
      <c r="R30" s="105" t="e">
        <v>#DIV/0!</v>
      </c>
      <c r="S30" s="105" t="e">
        <v>#DIV/0!</v>
      </c>
      <c r="T30" s="105" t="e">
        <v>#DIV/0!</v>
      </c>
      <c r="U30" s="106" t="e">
        <v>#DIV/0!</v>
      </c>
      <c r="W30" s="107">
        <v>12</v>
      </c>
      <c r="X30" s="100">
        <v>1.01</v>
      </c>
    </row>
    <row r="31" spans="1:51" ht="16" x14ac:dyDescent="0.2">
      <c r="B31" s="26" t="s">
        <v>88</v>
      </c>
      <c r="C31" s="94">
        <f>'Loss Magnitude'!K18</f>
        <v>0</v>
      </c>
      <c r="D31" s="94">
        <f>'Loss Magnitude'!L18</f>
        <v>0</v>
      </c>
      <c r="E31" s="94">
        <f>'Loss Magnitude'!M18</f>
        <v>0</v>
      </c>
      <c r="F31" s="96">
        <f>Current_Calc!$AE$12</f>
        <v>0</v>
      </c>
      <c r="G31" s="97" t="s">
        <v>58</v>
      </c>
      <c r="H31" s="98">
        <f t="shared" si="0"/>
        <v>0.46940811209818728</v>
      </c>
      <c r="I31" s="99">
        <f t="shared" si="1"/>
        <v>0</v>
      </c>
      <c r="J31" s="71">
        <f>Current_Calc!Z24</f>
        <v>2006</v>
      </c>
      <c r="M31" s="105" t="e">
        <f t="array" ref="M31:U31">TRANSPOSE( MMULT($Z$19:$AH$27,((LN(INDEX($Y$36:$AY$143,9*LOOKUP((D23-C23)/(E23-C23),$X$19:$X$30,$W$19:$W$30)-8,LOOKUP(F23,$Y$35:$AY$35,$Y$34:$AY$34)):INDEX($Y$36:$AY$143,9*LOOKUP((D23-C23)/(E23-C23),$X$19:$X$30,$W$19:$W$30),LOOKUP(F23,$Y$35:$AY$35,$Y$34:$AY$34))/(1-INDEX($Y$36:$AY$143,9*LOOKUP((D23-C23)/(E23-C23),$X$19:$X$30,$W$19:$W$30)-8,LOOKUP(F23,$Y$35:$AY$35,$Y$34:$AY$34)):INDEX($Y$36:$AY$143,9*LOOKUP((D23-C23)/(E23-C23),$X$19:$X$30,$W$19:$W$30),LOOKUP(F23,$Y$35:$AY$35,$Y$34:$AY$34)))))*((INDEX($Y$35:$AY$35,1,LOOKUP(F23,$Y$35:$AY$35,$Y$34:$AY$34)+1)-F23)/(INDEX($Y$35:$AY$35,1,LOOKUP(F23,$Y$35:$AY$35,$Y$34:$AY$34)+1)-INDEX($Y$35:$AY$35,1,LOOKUP(F23,$Y$35:$AY$35,$Y$34:$AY$34))))+(LN(INDEX($Y$36:$AY$143,9*LOOKUP((D23-C23)/(E23-C23),$X$19:$X$30,$W$19:$W$30)-8,LOOKUP(F23,$Y$35:$AY$35,$Y$34:$AY$34)+1):INDEX($Y$36:$AY$143,9*LOOKUP((D23-C23)/(E23-C23),$X$19:$X$30,$W$19:$W$30),LOOKUP(F23,$Y$35:$AY$35,$Y$34:$AY$34)+1)/(1-INDEX($Y$36:$AY$143,9*LOOKUP((D23-C23)/(E23-C23),$X$19:$X$30,$W$19:$W$30)-8,LOOKUP(F23,$Y$35:$AY$35,$Y$34:$AY$34)+1):INDEX($Y$36:$AY$143,9*LOOKUP((D23-C23)/(E23-C23),$X$19:$X$30,$W$19:$W$30),LOOKUP(F23,$Y$35:$AY$35,$Y$34:$AY$34)+1))))*(1-((INDEX($Y$35:$AY$35,1,LOOKUP(F23,$Y$35:$AY$35,$Y$34:$AY$34)+1)-F23)/(INDEX($Y$35:$AY$35,1,LOOKUP(F23,$Y$35:$AY$35,$Y$34:$AY$34)+1)-INDEX($Y$35:$AY$35,1,LOOKUP(F23,$Y$35:$AY$35,$Y$34:$AY$34))))))*((INDEX($X$19:$X$30,LOOKUP((D23-C23)/(E23-C23),$X$19:$X$30,$W$19:$W$30)+1,1)-(D23-C23)/(E23-C23))/(INDEX($X$19:$X$30,LOOKUP((D23-C23)/(E23-C23),$X$19:$X$30,$W$19:$W$30)+1,1)-INDEX($X$19:$X$30,LOOKUP((D23-C23)/(E23-C23),$X$19:$X$30,$W$19:$W$30),1)))+((LN(INDEX($Y$36:$AY$143,9*LOOKUP((D23-C23)/(E23-C23),$X$19:$X$30,$W$19:$W$30)+1,LOOKUP(F23,$Y$35:$AY$35,$Y$34:$AY$34)):INDEX($Y$36:$AY$143,9*LOOKUP((D23-C23)/(E23-C23),$X$19:$X$30,$W$19:$W$30)+9,LOOKUP(F23,$Y$35:$AY$35,$Y$34:$AY$34))/(1-INDEX($Y$36:$AY$143,9*LOOKUP((D23-C23)/(E23-C23),$X$19:$X$30,$W$19:$W$30)+1,LOOKUP(F23,$Y$35:$AY$35,$Y$34:$AY$34)):INDEX($Y$36:$AY$143,9*LOOKUP((D23-C23)/(E23-C23),$X$19:$X$30,$W$19:$W$30)+9,LOOKUP(F23,$Y$35:$AY$35,$Y$34:$AY$34)))))*((INDEX($Y$35:$AY$35,1,LOOKUP(F23,$Y$35:$AY$35,$Y$34:$AY$34)+1)-F23)/(INDEX($Y$35:$AY$35,1,LOOKUP(F23,$Y$35:$AY$35,$Y$34:$AY$34)+1)-INDEX($Y$35:$AY$35,1,LOOKUP(F23,$Y$35:$AY$35,$Y$34:$AY$34))))+(LN(INDEX($Y$36:$AY$143,9*LOOKUP((D23-C23)/(E23-C23),$X$19:$X$30,$W$19:$W$30)+1,LOOKUP(F23,$Y$35:$AY$35,$Y$34:$AY$34)+1):INDEX($Y$36:$AY$143,9*LOOKUP((D23-C23)/(E23-C23),$X$19:$X$30,$W$19:$W$30)+9,LOOKUP(F23,$Y$35:$AY$35,$Y$34:$AY$34)+1)/(1-INDEX($Y$36:$AY$143,9*LOOKUP((D23-C23)/(E23-C23),$X$19:$X$30,$W$19:$W$30)+1,LOOKUP(F23,$Y$35:$AY$35,$Y$34:$AY$34)+1):INDEX($Y$36:$AY$143,9*LOOKUP((D23-C23)/(E23-C23),$X$19:$X$30,$W$19:$W$30)+9,LOOKUP(F23,$Y$35:$AY$35,$Y$34:$AY$34)+1))))*(1-((INDEX($Y$35:$AY$35,1,LOOKUP(F23,$Y$35:$AY$35,$Y$34:$AY$34)+1)-F23)/(INDEX($Y$35:$AY$35,1,LOOKUP(F23,$Y$35:$AY$35,$Y$34:$AY$34)+1)-INDEX($Y$35:$AY$35,1,LOOKUP(F23,$Y$35:$AY$35,$Y$34:$AY$34))))))*(1-(INDEX($X$19:$X$30,LOOKUP((D23-C23)/(E23-C23),$X$19:$X$30,$W$19:$W$30)+1,1)-(D23-C23)/(E23-C23))/(INDEX($X$19:$X$30,LOOKUP((D23-C23)/(E23-C23),$X$19:$X$30,$W$19:$W$30)+1,1)-INDEX($X$19:$X$30,LOOKUP((D23-C23)/(E23-C23),$X$19:$X$30,$W$19:$W$30),1)))) )</f>
        <v>#DIV/0!</v>
      </c>
      <c r="N31" s="105" t="e">
        <v>#DIV/0!</v>
      </c>
      <c r="O31" s="105" t="e">
        <v>#DIV/0!</v>
      </c>
      <c r="P31" s="105" t="e">
        <v>#DIV/0!</v>
      </c>
      <c r="Q31" s="105" t="e">
        <v>#DIV/0!</v>
      </c>
      <c r="R31" s="105" t="e">
        <v>#DIV/0!</v>
      </c>
      <c r="S31" s="105" t="e">
        <v>#DIV/0!</v>
      </c>
      <c r="T31" s="105" t="e">
        <v>#DIV/0!</v>
      </c>
      <c r="U31" s="106" t="e">
        <v>#DIV/0!</v>
      </c>
    </row>
    <row r="32" spans="1:51" ht="16" x14ac:dyDescent="0.2">
      <c r="B32" s="26" t="s">
        <v>89</v>
      </c>
      <c r="C32" s="94">
        <f>'Loss Magnitude'!K19</f>
        <v>0</v>
      </c>
      <c r="D32" s="94">
        <f>'Loss Magnitude'!L19</f>
        <v>0</v>
      </c>
      <c r="E32" s="94">
        <f>'Loss Magnitude'!M19</f>
        <v>75</v>
      </c>
      <c r="F32" s="96">
        <f>Current_Calc!$AE$12</f>
        <v>0</v>
      </c>
      <c r="G32" s="97" t="s">
        <v>58</v>
      </c>
      <c r="H32" s="98">
        <f t="shared" si="0"/>
        <v>0.60942397504552448</v>
      </c>
      <c r="I32" s="99" t="e">
        <f t="shared" si="1"/>
        <v>#N/A</v>
      </c>
      <c r="J32" s="71">
        <f>Current_Calc!Z25</f>
        <v>2007</v>
      </c>
      <c r="M32" s="105" t="e">
        <f t="array" ref="M32:U32">TRANSPOSE( MMULT($Z$19:$AH$27,((LN(INDEX($Y$36:$AY$143,9*LOOKUP((D24-C24)/(E24-C24),$X$19:$X$30,$W$19:$W$30)-8,LOOKUP(F24,$Y$35:$AY$35,$Y$34:$AY$34)):INDEX($Y$36:$AY$143,9*LOOKUP((D24-C24)/(E24-C24),$X$19:$X$30,$W$19:$W$30),LOOKUP(F24,$Y$35:$AY$35,$Y$34:$AY$34))/(1-INDEX($Y$36:$AY$143,9*LOOKUP((D24-C24)/(E24-C24),$X$19:$X$30,$W$19:$W$30)-8,LOOKUP(F24,$Y$35:$AY$35,$Y$34:$AY$34)):INDEX($Y$36:$AY$143,9*LOOKUP((D24-C24)/(E24-C24),$X$19:$X$30,$W$19:$W$30),LOOKUP(F24,$Y$35:$AY$35,$Y$34:$AY$34)))))*((INDEX($Y$35:$AY$35,1,LOOKUP(F24,$Y$35:$AY$35,$Y$34:$AY$34)+1)-F24)/(INDEX($Y$35:$AY$35,1,LOOKUP(F24,$Y$35:$AY$35,$Y$34:$AY$34)+1)-INDEX($Y$35:$AY$35,1,LOOKUP(F24,$Y$35:$AY$35,$Y$34:$AY$34))))+(LN(INDEX($Y$36:$AY$143,9*LOOKUP((D24-C24)/(E24-C24),$X$19:$X$30,$W$19:$W$30)-8,LOOKUP(F24,$Y$35:$AY$35,$Y$34:$AY$34)+1):INDEX($Y$36:$AY$143,9*LOOKUP((D24-C24)/(E24-C24),$X$19:$X$30,$W$19:$W$30),LOOKUP(F24,$Y$35:$AY$35,$Y$34:$AY$34)+1)/(1-INDEX($Y$36:$AY$143,9*LOOKUP((D24-C24)/(E24-C24),$X$19:$X$30,$W$19:$W$30)-8,LOOKUP(F24,$Y$35:$AY$35,$Y$34:$AY$34)+1):INDEX($Y$36:$AY$143,9*LOOKUP((D24-C24)/(E24-C24),$X$19:$X$30,$W$19:$W$30),LOOKUP(F24,$Y$35:$AY$35,$Y$34:$AY$34)+1))))*(1-((INDEX($Y$35:$AY$35,1,LOOKUP(F24,$Y$35:$AY$35,$Y$34:$AY$34)+1)-F24)/(INDEX($Y$35:$AY$35,1,LOOKUP(F24,$Y$35:$AY$35,$Y$34:$AY$34)+1)-INDEX($Y$35:$AY$35,1,LOOKUP(F24,$Y$35:$AY$35,$Y$34:$AY$34))))))*((INDEX($X$19:$X$30,LOOKUP((D24-C24)/(E24-C24),$X$19:$X$30,$W$19:$W$30)+1,1)-(D24-C24)/(E24-C24))/(INDEX($X$19:$X$30,LOOKUP((D24-C24)/(E24-C24),$X$19:$X$30,$W$19:$W$30)+1,1)-INDEX($X$19:$X$30,LOOKUP((D24-C24)/(E24-C24),$X$19:$X$30,$W$19:$W$30),1)))+((LN(INDEX($Y$36:$AY$143,9*LOOKUP((D24-C24)/(E24-C24),$X$19:$X$30,$W$19:$W$30)+1,LOOKUP(F24,$Y$35:$AY$35,$Y$34:$AY$34)):INDEX($Y$36:$AY$143,9*LOOKUP((D24-C24)/(E24-C24),$X$19:$X$30,$W$19:$W$30)+9,LOOKUP(F24,$Y$35:$AY$35,$Y$34:$AY$34))/(1-INDEX($Y$36:$AY$143,9*LOOKUP((D24-C24)/(E24-C24),$X$19:$X$30,$W$19:$W$30)+1,LOOKUP(F24,$Y$35:$AY$35,$Y$34:$AY$34)):INDEX($Y$36:$AY$143,9*LOOKUP((D24-C24)/(E24-C24),$X$19:$X$30,$W$19:$W$30)+9,LOOKUP(F24,$Y$35:$AY$35,$Y$34:$AY$34)))))*((INDEX($Y$35:$AY$35,1,LOOKUP(F24,$Y$35:$AY$35,$Y$34:$AY$34)+1)-F24)/(INDEX($Y$35:$AY$35,1,LOOKUP(F24,$Y$35:$AY$35,$Y$34:$AY$34)+1)-INDEX($Y$35:$AY$35,1,LOOKUP(F24,$Y$35:$AY$35,$Y$34:$AY$34))))+(LN(INDEX($Y$36:$AY$143,9*LOOKUP((D24-C24)/(E24-C24),$X$19:$X$30,$W$19:$W$30)+1,LOOKUP(F24,$Y$35:$AY$35,$Y$34:$AY$34)+1):INDEX($Y$36:$AY$143,9*LOOKUP((D24-C24)/(E24-C24),$X$19:$X$30,$W$19:$W$30)+9,LOOKUP(F24,$Y$35:$AY$35,$Y$34:$AY$34)+1)/(1-INDEX($Y$36:$AY$143,9*LOOKUP((D24-C24)/(E24-C24),$X$19:$X$30,$W$19:$W$30)+1,LOOKUP(F24,$Y$35:$AY$35,$Y$34:$AY$34)+1):INDEX($Y$36:$AY$143,9*LOOKUP((D24-C24)/(E24-C24),$X$19:$X$30,$W$19:$W$30)+9,LOOKUP(F24,$Y$35:$AY$35,$Y$34:$AY$34)+1))))*(1-((INDEX($Y$35:$AY$35,1,LOOKUP(F24,$Y$35:$AY$35,$Y$34:$AY$34)+1)-F24)/(INDEX($Y$35:$AY$35,1,LOOKUP(F24,$Y$35:$AY$35,$Y$34:$AY$34)+1)-INDEX($Y$35:$AY$35,1,LOOKUP(F24,$Y$35:$AY$35,$Y$34:$AY$34))))))*(1-(INDEX($X$19:$X$30,LOOKUP((D24-C24)/(E24-C24),$X$19:$X$30,$W$19:$W$30)+1,1)-(D24-C24)/(E24-C24))/(INDEX($X$19:$X$30,LOOKUP((D24-C24)/(E24-C24),$X$19:$X$30,$W$19:$W$30)+1,1)-INDEX($X$19:$X$30,LOOKUP((D24-C24)/(E24-C24),$X$19:$X$30,$W$19:$W$30),1)))) )</f>
        <v>#DIV/0!</v>
      </c>
      <c r="N32" s="105" t="e">
        <v>#DIV/0!</v>
      </c>
      <c r="O32" s="105" t="e">
        <v>#DIV/0!</v>
      </c>
      <c r="P32" s="105" t="e">
        <v>#DIV/0!</v>
      </c>
      <c r="Q32" s="105" t="e">
        <v>#DIV/0!</v>
      </c>
      <c r="R32" s="105" t="e">
        <v>#DIV/0!</v>
      </c>
      <c r="S32" s="105" t="e">
        <v>#DIV/0!</v>
      </c>
      <c r="T32" s="105" t="e">
        <v>#DIV/0!</v>
      </c>
      <c r="U32" s="106" t="e">
        <v>#DIV/0!</v>
      </c>
      <c r="W32" s="72" t="s">
        <v>60</v>
      </c>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108" t="s">
        <v>61</v>
      </c>
    </row>
    <row r="33" spans="1:51" x14ac:dyDescent="0.2">
      <c r="A33" s="211" t="s">
        <v>139</v>
      </c>
      <c r="B33" s="71" t="s">
        <v>93</v>
      </c>
      <c r="C33" s="94">
        <f>'Loss Magnitude'!BD43</f>
        <v>0</v>
      </c>
      <c r="D33" s="94">
        <f>'Loss Magnitude'!BE43</f>
        <v>1</v>
      </c>
      <c r="E33" s="94">
        <f>'Loss Magnitude'!BF43</f>
        <v>5</v>
      </c>
      <c r="F33" s="96">
        <f>Proposed_Calc!$L$12</f>
        <v>2</v>
      </c>
      <c r="G33" s="97" t="s">
        <v>58</v>
      </c>
      <c r="H33" s="98">
        <f t="shared" si="0"/>
        <v>0.99126729392039925</v>
      </c>
      <c r="I33" s="99">
        <f t="shared" si="1"/>
        <v>7.8622725089598973</v>
      </c>
      <c r="J33" s="71">
        <f>Proposed_Calc!G20</f>
        <v>1005</v>
      </c>
      <c r="M33" s="105" t="e">
        <f t="array" ref="M33:U33">TRANSPOSE( MMULT($Z$19:$AH$27,((LN(INDEX($Y$36:$AY$143,9*LOOKUP((D25-C25)/(E25-C25),$X$19:$X$30,$W$19:$W$30)-8,LOOKUP(F25,$Y$35:$AY$35,$Y$34:$AY$34)):INDEX($Y$36:$AY$143,9*LOOKUP((D25-C25)/(E25-C25),$X$19:$X$30,$W$19:$W$30),LOOKUP(F25,$Y$35:$AY$35,$Y$34:$AY$34))/(1-INDEX($Y$36:$AY$143,9*LOOKUP((D25-C25)/(E25-C25),$X$19:$X$30,$W$19:$W$30)-8,LOOKUP(F25,$Y$35:$AY$35,$Y$34:$AY$34)):INDEX($Y$36:$AY$143,9*LOOKUP((D25-C25)/(E25-C25),$X$19:$X$30,$W$19:$W$30),LOOKUP(F25,$Y$35:$AY$35,$Y$34:$AY$34)))))*((INDEX($Y$35:$AY$35,1,LOOKUP(F25,$Y$35:$AY$35,$Y$34:$AY$34)+1)-F25)/(INDEX($Y$35:$AY$35,1,LOOKUP(F25,$Y$35:$AY$35,$Y$34:$AY$34)+1)-INDEX($Y$35:$AY$35,1,LOOKUP(F25,$Y$35:$AY$35,$Y$34:$AY$34))))+(LN(INDEX($Y$36:$AY$143,9*LOOKUP((D25-C25)/(E25-C25),$X$19:$X$30,$W$19:$W$30)-8,LOOKUP(F25,$Y$35:$AY$35,$Y$34:$AY$34)+1):INDEX($Y$36:$AY$143,9*LOOKUP((D25-C25)/(E25-C25),$X$19:$X$30,$W$19:$W$30),LOOKUP(F25,$Y$35:$AY$35,$Y$34:$AY$34)+1)/(1-INDEX($Y$36:$AY$143,9*LOOKUP((D25-C25)/(E25-C25),$X$19:$X$30,$W$19:$W$30)-8,LOOKUP(F25,$Y$35:$AY$35,$Y$34:$AY$34)+1):INDEX($Y$36:$AY$143,9*LOOKUP((D25-C25)/(E25-C25),$X$19:$X$30,$W$19:$W$30),LOOKUP(F25,$Y$35:$AY$35,$Y$34:$AY$34)+1))))*(1-((INDEX($Y$35:$AY$35,1,LOOKUP(F25,$Y$35:$AY$35,$Y$34:$AY$34)+1)-F25)/(INDEX($Y$35:$AY$35,1,LOOKUP(F25,$Y$35:$AY$35,$Y$34:$AY$34)+1)-INDEX($Y$35:$AY$35,1,LOOKUP(F25,$Y$35:$AY$35,$Y$34:$AY$34))))))*((INDEX($X$19:$X$30,LOOKUP((D25-C25)/(E25-C25),$X$19:$X$30,$W$19:$W$30)+1,1)-(D25-C25)/(E25-C25))/(INDEX($X$19:$X$30,LOOKUP((D25-C25)/(E25-C25),$X$19:$X$30,$W$19:$W$30)+1,1)-INDEX($X$19:$X$30,LOOKUP((D25-C25)/(E25-C25),$X$19:$X$30,$W$19:$W$30),1)))+((LN(INDEX($Y$36:$AY$143,9*LOOKUP((D25-C25)/(E25-C25),$X$19:$X$30,$W$19:$W$30)+1,LOOKUP(F25,$Y$35:$AY$35,$Y$34:$AY$34)):INDEX($Y$36:$AY$143,9*LOOKUP((D25-C25)/(E25-C25),$X$19:$X$30,$W$19:$W$30)+9,LOOKUP(F25,$Y$35:$AY$35,$Y$34:$AY$34))/(1-INDEX($Y$36:$AY$143,9*LOOKUP((D25-C25)/(E25-C25),$X$19:$X$30,$W$19:$W$30)+1,LOOKUP(F25,$Y$35:$AY$35,$Y$34:$AY$34)):INDEX($Y$36:$AY$143,9*LOOKUP((D25-C25)/(E25-C25),$X$19:$X$30,$W$19:$W$30)+9,LOOKUP(F25,$Y$35:$AY$35,$Y$34:$AY$34)))))*((INDEX($Y$35:$AY$35,1,LOOKUP(F25,$Y$35:$AY$35,$Y$34:$AY$34)+1)-F25)/(INDEX($Y$35:$AY$35,1,LOOKUP(F25,$Y$35:$AY$35,$Y$34:$AY$34)+1)-INDEX($Y$35:$AY$35,1,LOOKUP(F25,$Y$35:$AY$35,$Y$34:$AY$34))))+(LN(INDEX($Y$36:$AY$143,9*LOOKUP((D25-C25)/(E25-C25),$X$19:$X$30,$W$19:$W$30)+1,LOOKUP(F25,$Y$35:$AY$35,$Y$34:$AY$34)+1):INDEX($Y$36:$AY$143,9*LOOKUP((D25-C25)/(E25-C25),$X$19:$X$30,$W$19:$W$30)+9,LOOKUP(F25,$Y$35:$AY$35,$Y$34:$AY$34)+1)/(1-INDEX($Y$36:$AY$143,9*LOOKUP((D25-C25)/(E25-C25),$X$19:$X$30,$W$19:$W$30)+1,LOOKUP(F25,$Y$35:$AY$35,$Y$34:$AY$34)+1):INDEX($Y$36:$AY$143,9*LOOKUP((D25-C25)/(E25-C25),$X$19:$X$30,$W$19:$W$30)+9,LOOKUP(F25,$Y$35:$AY$35,$Y$34:$AY$34)+1))))*(1-((INDEX($Y$35:$AY$35,1,LOOKUP(F25,$Y$35:$AY$35,$Y$34:$AY$34)+1)-F25)/(INDEX($Y$35:$AY$35,1,LOOKUP(F25,$Y$35:$AY$35,$Y$34:$AY$34)+1)-INDEX($Y$35:$AY$35,1,LOOKUP(F25,$Y$35:$AY$35,$Y$34:$AY$34))))))*(1-(INDEX($X$19:$X$30,LOOKUP((D25-C25)/(E25-C25),$X$19:$X$30,$W$19:$W$30)+1,1)-(D25-C25)/(E25-C25))/(INDEX($X$19:$X$30,LOOKUP((D25-C25)/(E25-C25),$X$19:$X$30,$W$19:$W$30)+1,1)-INDEX($X$19:$X$30,LOOKUP((D25-C25)/(E25-C25),$X$19:$X$30,$W$19:$W$30),1)))) )</f>
        <v>#DIV/0!</v>
      </c>
      <c r="N33" s="105" t="e">
        <v>#DIV/0!</v>
      </c>
      <c r="O33" s="105" t="e">
        <v>#DIV/0!</v>
      </c>
      <c r="P33" s="105" t="e">
        <v>#DIV/0!</v>
      </c>
      <c r="Q33" s="105" t="e">
        <v>#DIV/0!</v>
      </c>
      <c r="R33" s="105" t="e">
        <v>#DIV/0!</v>
      </c>
      <c r="S33" s="105" t="e">
        <v>#DIV/0!</v>
      </c>
      <c r="T33" s="105" t="e">
        <v>#DIV/0!</v>
      </c>
      <c r="U33" s="106" t="e">
        <v>#DIV/0!</v>
      </c>
      <c r="W33" s="109" t="s">
        <v>62</v>
      </c>
      <c r="X33" s="110" t="s">
        <v>63</v>
      </c>
      <c r="Y33" s="79" t="s">
        <v>55</v>
      </c>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0"/>
    </row>
    <row r="34" spans="1:51" x14ac:dyDescent="0.2">
      <c r="B34" s="71" t="s">
        <v>94</v>
      </c>
      <c r="C34" s="94">
        <f>'Loss Magnitude'!BD44</f>
        <v>0</v>
      </c>
      <c r="D34" s="94">
        <f>'Loss Magnitude'!BE44</f>
        <v>0</v>
      </c>
      <c r="E34" s="94">
        <f>'Loss Magnitude'!BF44</f>
        <v>0</v>
      </c>
      <c r="F34" s="96">
        <f>Proposed_Calc!$L$12</f>
        <v>2</v>
      </c>
      <c r="G34" s="97" t="s">
        <v>58</v>
      </c>
      <c r="H34" s="98">
        <f t="shared" si="0"/>
        <v>0.91667555245416033</v>
      </c>
      <c r="I34" s="99">
        <f t="shared" si="1"/>
        <v>0</v>
      </c>
      <c r="J34" s="71">
        <f>Proposed_Calc!G21</f>
        <v>1006</v>
      </c>
      <c r="M34" s="105" t="e">
        <f t="array" ref="M34:U34">TRANSPOSE( MMULT($Z$19:$AH$27,((LN(INDEX($Y$36:$AY$143,9*LOOKUP((D26-C26)/(E26-C26),$X$19:$X$30,$W$19:$W$30)-8,LOOKUP(F26,$Y$35:$AY$35,$Y$34:$AY$34)):INDEX($Y$36:$AY$143,9*LOOKUP((D26-C26)/(E26-C26),$X$19:$X$30,$W$19:$W$30),LOOKUP(F26,$Y$35:$AY$35,$Y$34:$AY$34))/(1-INDEX($Y$36:$AY$143,9*LOOKUP((D26-C26)/(E26-C26),$X$19:$X$30,$W$19:$W$30)-8,LOOKUP(F26,$Y$35:$AY$35,$Y$34:$AY$34)):INDEX($Y$36:$AY$143,9*LOOKUP((D26-C26)/(E26-C26),$X$19:$X$30,$W$19:$W$30),LOOKUP(F26,$Y$35:$AY$35,$Y$34:$AY$34)))))*((INDEX($Y$35:$AY$35,1,LOOKUP(F26,$Y$35:$AY$35,$Y$34:$AY$34)+1)-F26)/(INDEX($Y$35:$AY$35,1,LOOKUP(F26,$Y$35:$AY$35,$Y$34:$AY$34)+1)-INDEX($Y$35:$AY$35,1,LOOKUP(F26,$Y$35:$AY$35,$Y$34:$AY$34))))+(LN(INDEX($Y$36:$AY$143,9*LOOKUP((D26-C26)/(E26-C26),$X$19:$X$30,$W$19:$W$30)-8,LOOKUP(F26,$Y$35:$AY$35,$Y$34:$AY$34)+1):INDEX($Y$36:$AY$143,9*LOOKUP((D26-C26)/(E26-C26),$X$19:$X$30,$W$19:$W$30),LOOKUP(F26,$Y$35:$AY$35,$Y$34:$AY$34)+1)/(1-INDEX($Y$36:$AY$143,9*LOOKUP((D26-C26)/(E26-C26),$X$19:$X$30,$W$19:$W$30)-8,LOOKUP(F26,$Y$35:$AY$35,$Y$34:$AY$34)+1):INDEX($Y$36:$AY$143,9*LOOKUP((D26-C26)/(E26-C26),$X$19:$X$30,$W$19:$W$30),LOOKUP(F26,$Y$35:$AY$35,$Y$34:$AY$34)+1))))*(1-((INDEX($Y$35:$AY$35,1,LOOKUP(F26,$Y$35:$AY$35,$Y$34:$AY$34)+1)-F26)/(INDEX($Y$35:$AY$35,1,LOOKUP(F26,$Y$35:$AY$35,$Y$34:$AY$34)+1)-INDEX($Y$35:$AY$35,1,LOOKUP(F26,$Y$35:$AY$35,$Y$34:$AY$34))))))*((INDEX($X$19:$X$30,LOOKUP((D26-C26)/(E26-C26),$X$19:$X$30,$W$19:$W$30)+1,1)-(D26-C26)/(E26-C26))/(INDEX($X$19:$X$30,LOOKUP((D26-C26)/(E26-C26),$X$19:$X$30,$W$19:$W$30)+1,1)-INDEX($X$19:$X$30,LOOKUP((D26-C26)/(E26-C26),$X$19:$X$30,$W$19:$W$30),1)))+((LN(INDEX($Y$36:$AY$143,9*LOOKUP((D26-C26)/(E26-C26),$X$19:$X$30,$W$19:$W$30)+1,LOOKUP(F26,$Y$35:$AY$35,$Y$34:$AY$34)):INDEX($Y$36:$AY$143,9*LOOKUP((D26-C26)/(E26-C26),$X$19:$X$30,$W$19:$W$30)+9,LOOKUP(F26,$Y$35:$AY$35,$Y$34:$AY$34))/(1-INDEX($Y$36:$AY$143,9*LOOKUP((D26-C26)/(E26-C26),$X$19:$X$30,$W$19:$W$30)+1,LOOKUP(F26,$Y$35:$AY$35,$Y$34:$AY$34)):INDEX($Y$36:$AY$143,9*LOOKUP((D26-C26)/(E26-C26),$X$19:$X$30,$W$19:$W$30)+9,LOOKUP(F26,$Y$35:$AY$35,$Y$34:$AY$34)))))*((INDEX($Y$35:$AY$35,1,LOOKUP(F26,$Y$35:$AY$35,$Y$34:$AY$34)+1)-F26)/(INDEX($Y$35:$AY$35,1,LOOKUP(F26,$Y$35:$AY$35,$Y$34:$AY$34)+1)-INDEX($Y$35:$AY$35,1,LOOKUP(F26,$Y$35:$AY$35,$Y$34:$AY$34))))+(LN(INDEX($Y$36:$AY$143,9*LOOKUP((D26-C26)/(E26-C26),$X$19:$X$30,$W$19:$W$30)+1,LOOKUP(F26,$Y$35:$AY$35,$Y$34:$AY$34)+1):INDEX($Y$36:$AY$143,9*LOOKUP((D26-C26)/(E26-C26),$X$19:$X$30,$W$19:$W$30)+9,LOOKUP(F26,$Y$35:$AY$35,$Y$34:$AY$34)+1)/(1-INDEX($Y$36:$AY$143,9*LOOKUP((D26-C26)/(E26-C26),$X$19:$X$30,$W$19:$W$30)+1,LOOKUP(F26,$Y$35:$AY$35,$Y$34:$AY$34)+1):INDEX($Y$36:$AY$143,9*LOOKUP((D26-C26)/(E26-C26),$X$19:$X$30,$W$19:$W$30)+9,LOOKUP(F26,$Y$35:$AY$35,$Y$34:$AY$34)+1))))*(1-((INDEX($Y$35:$AY$35,1,LOOKUP(F26,$Y$35:$AY$35,$Y$34:$AY$34)+1)-F26)/(INDEX($Y$35:$AY$35,1,LOOKUP(F26,$Y$35:$AY$35,$Y$34:$AY$34)+1)-INDEX($Y$35:$AY$35,1,LOOKUP(F26,$Y$35:$AY$35,$Y$34:$AY$34))))))*(1-(INDEX($X$19:$X$30,LOOKUP((D26-C26)/(E26-C26),$X$19:$X$30,$W$19:$W$30)+1,1)-(D26-C26)/(E26-C26))/(INDEX($X$19:$X$30,LOOKUP((D26-C26)/(E26-C26),$X$19:$X$30,$W$19:$W$30)+1,1)-INDEX($X$19:$X$30,LOOKUP((D26-C26)/(E26-C26),$X$19:$X$30,$W$19:$W$30),1)))) )</f>
        <v>#DIV/0!</v>
      </c>
      <c r="N34" s="105" t="e">
        <v>#DIV/0!</v>
      </c>
      <c r="O34" s="105" t="e">
        <v>#DIV/0!</v>
      </c>
      <c r="P34" s="105" t="e">
        <v>#DIV/0!</v>
      </c>
      <c r="Q34" s="105" t="e">
        <v>#DIV/0!</v>
      </c>
      <c r="R34" s="105" t="e">
        <v>#DIV/0!</v>
      </c>
      <c r="S34" s="105" t="e">
        <v>#DIV/0!</v>
      </c>
      <c r="T34" s="105" t="e">
        <v>#DIV/0!</v>
      </c>
      <c r="U34" s="106" t="e">
        <v>#DIV/0!</v>
      </c>
      <c r="W34" s="111"/>
      <c r="X34" s="112"/>
      <c r="Y34" s="113">
        <v>1</v>
      </c>
      <c r="Z34" s="113">
        <f t="shared" ref="Z34:AY34" si="2">Y34+1</f>
        <v>2</v>
      </c>
      <c r="AA34" s="114">
        <f t="shared" si="2"/>
        <v>3</v>
      </c>
      <c r="AB34" s="114">
        <f t="shared" si="2"/>
        <v>4</v>
      </c>
      <c r="AC34" s="114">
        <f t="shared" si="2"/>
        <v>5</v>
      </c>
      <c r="AD34" s="115">
        <f t="shared" si="2"/>
        <v>6</v>
      </c>
      <c r="AE34" s="113">
        <f t="shared" si="2"/>
        <v>7</v>
      </c>
      <c r="AF34" s="114">
        <f t="shared" si="2"/>
        <v>8</v>
      </c>
      <c r="AG34" s="114">
        <f t="shared" si="2"/>
        <v>9</v>
      </c>
      <c r="AH34" s="114">
        <f t="shared" si="2"/>
        <v>10</v>
      </c>
      <c r="AI34" s="115">
        <f t="shared" si="2"/>
        <v>11</v>
      </c>
      <c r="AJ34" s="113">
        <f t="shared" si="2"/>
        <v>12</v>
      </c>
      <c r="AK34" s="114">
        <f t="shared" si="2"/>
        <v>13</v>
      </c>
      <c r="AL34" s="114">
        <f t="shared" si="2"/>
        <v>14</v>
      </c>
      <c r="AM34" s="114">
        <f t="shared" si="2"/>
        <v>15</v>
      </c>
      <c r="AN34" s="115">
        <f t="shared" si="2"/>
        <v>16</v>
      </c>
      <c r="AO34" s="113">
        <f t="shared" si="2"/>
        <v>17</v>
      </c>
      <c r="AP34" s="114">
        <f t="shared" si="2"/>
        <v>18</v>
      </c>
      <c r="AQ34" s="114">
        <f t="shared" si="2"/>
        <v>19</v>
      </c>
      <c r="AR34" s="114">
        <f t="shared" si="2"/>
        <v>20</v>
      </c>
      <c r="AS34" s="115">
        <f t="shared" si="2"/>
        <v>21</v>
      </c>
      <c r="AT34" s="113">
        <f t="shared" si="2"/>
        <v>22</v>
      </c>
      <c r="AU34" s="114">
        <f t="shared" si="2"/>
        <v>23</v>
      </c>
      <c r="AV34" s="114">
        <f t="shared" si="2"/>
        <v>24</v>
      </c>
      <c r="AW34" s="114">
        <f t="shared" si="2"/>
        <v>25</v>
      </c>
      <c r="AX34" s="114">
        <f t="shared" si="2"/>
        <v>26</v>
      </c>
      <c r="AY34" s="116">
        <f t="shared" si="2"/>
        <v>27</v>
      </c>
    </row>
    <row r="35" spans="1:51" x14ac:dyDescent="0.2">
      <c r="B35" s="71" t="s">
        <v>95</v>
      </c>
      <c r="C35" s="94">
        <f>'Loss Magnitude'!BD45</f>
        <v>0</v>
      </c>
      <c r="D35" s="94">
        <f>'Loss Magnitude'!BE45</f>
        <v>0</v>
      </c>
      <c r="E35" s="94">
        <f>'Loss Magnitude'!BF45</f>
        <v>0</v>
      </c>
      <c r="F35" s="96">
        <f>Proposed_Calc!$L$12</f>
        <v>2</v>
      </c>
      <c r="G35" s="97" t="s">
        <v>58</v>
      </c>
      <c r="H35" s="98">
        <f t="shared" si="0"/>
        <v>0.67858205138639638</v>
      </c>
      <c r="I35" s="99">
        <f t="shared" si="1"/>
        <v>0</v>
      </c>
      <c r="J35" s="71">
        <f>Proposed_Calc!G22</f>
        <v>1007</v>
      </c>
      <c r="M35" s="105" t="e">
        <f t="array" ref="M35:U35">TRANSPOSE( MMULT($Z$19:$AH$27,((LN(INDEX($Y$36:$AY$143,9*LOOKUP((D27-C27)/(E27-C27),$X$19:$X$30,$W$19:$W$30)-8,LOOKUP(F27,$Y$35:$AY$35,$Y$34:$AY$34)):INDEX($Y$36:$AY$143,9*LOOKUP((D27-C27)/(E27-C27),$X$19:$X$30,$W$19:$W$30),LOOKUP(F27,$Y$35:$AY$35,$Y$34:$AY$34))/(1-INDEX($Y$36:$AY$143,9*LOOKUP((D27-C27)/(E27-C27),$X$19:$X$30,$W$19:$W$30)-8,LOOKUP(F27,$Y$35:$AY$35,$Y$34:$AY$34)):INDEX($Y$36:$AY$143,9*LOOKUP((D27-C27)/(E27-C27),$X$19:$X$30,$W$19:$W$30),LOOKUP(F27,$Y$35:$AY$35,$Y$34:$AY$34)))))*((INDEX($Y$35:$AY$35,1,LOOKUP(F27,$Y$35:$AY$35,$Y$34:$AY$34)+1)-F27)/(INDEX($Y$35:$AY$35,1,LOOKUP(F27,$Y$35:$AY$35,$Y$34:$AY$34)+1)-INDEX($Y$35:$AY$35,1,LOOKUP(F27,$Y$35:$AY$35,$Y$34:$AY$34))))+(LN(INDEX($Y$36:$AY$143,9*LOOKUP((D27-C27)/(E27-C27),$X$19:$X$30,$W$19:$W$30)-8,LOOKUP(F27,$Y$35:$AY$35,$Y$34:$AY$34)+1):INDEX($Y$36:$AY$143,9*LOOKUP((D27-C27)/(E27-C27),$X$19:$X$30,$W$19:$W$30),LOOKUP(F27,$Y$35:$AY$35,$Y$34:$AY$34)+1)/(1-INDEX($Y$36:$AY$143,9*LOOKUP((D27-C27)/(E27-C27),$X$19:$X$30,$W$19:$W$30)-8,LOOKUP(F27,$Y$35:$AY$35,$Y$34:$AY$34)+1):INDEX($Y$36:$AY$143,9*LOOKUP((D27-C27)/(E27-C27),$X$19:$X$30,$W$19:$W$30),LOOKUP(F27,$Y$35:$AY$35,$Y$34:$AY$34)+1))))*(1-((INDEX($Y$35:$AY$35,1,LOOKUP(F27,$Y$35:$AY$35,$Y$34:$AY$34)+1)-F27)/(INDEX($Y$35:$AY$35,1,LOOKUP(F27,$Y$35:$AY$35,$Y$34:$AY$34)+1)-INDEX($Y$35:$AY$35,1,LOOKUP(F27,$Y$35:$AY$35,$Y$34:$AY$34))))))*((INDEX($X$19:$X$30,LOOKUP((D27-C27)/(E27-C27),$X$19:$X$30,$W$19:$W$30)+1,1)-(D27-C27)/(E27-C27))/(INDEX($X$19:$X$30,LOOKUP((D27-C27)/(E27-C27),$X$19:$X$30,$W$19:$W$30)+1,1)-INDEX($X$19:$X$30,LOOKUP((D27-C27)/(E27-C27),$X$19:$X$30,$W$19:$W$30),1)))+((LN(INDEX($Y$36:$AY$143,9*LOOKUP((D27-C27)/(E27-C27),$X$19:$X$30,$W$19:$W$30)+1,LOOKUP(F27,$Y$35:$AY$35,$Y$34:$AY$34)):INDEX($Y$36:$AY$143,9*LOOKUP((D27-C27)/(E27-C27),$X$19:$X$30,$W$19:$W$30)+9,LOOKUP(F27,$Y$35:$AY$35,$Y$34:$AY$34))/(1-INDEX($Y$36:$AY$143,9*LOOKUP((D27-C27)/(E27-C27),$X$19:$X$30,$W$19:$W$30)+1,LOOKUP(F27,$Y$35:$AY$35,$Y$34:$AY$34)):INDEX($Y$36:$AY$143,9*LOOKUP((D27-C27)/(E27-C27),$X$19:$X$30,$W$19:$W$30)+9,LOOKUP(F27,$Y$35:$AY$35,$Y$34:$AY$34)))))*((INDEX($Y$35:$AY$35,1,LOOKUP(F27,$Y$35:$AY$35,$Y$34:$AY$34)+1)-F27)/(INDEX($Y$35:$AY$35,1,LOOKUP(F27,$Y$35:$AY$35,$Y$34:$AY$34)+1)-INDEX($Y$35:$AY$35,1,LOOKUP(F27,$Y$35:$AY$35,$Y$34:$AY$34))))+(LN(INDEX($Y$36:$AY$143,9*LOOKUP((D27-C27)/(E27-C27),$X$19:$X$30,$W$19:$W$30)+1,LOOKUP(F27,$Y$35:$AY$35,$Y$34:$AY$34)+1):INDEX($Y$36:$AY$143,9*LOOKUP((D27-C27)/(E27-C27),$X$19:$X$30,$W$19:$W$30)+9,LOOKUP(F27,$Y$35:$AY$35,$Y$34:$AY$34)+1)/(1-INDEX($Y$36:$AY$143,9*LOOKUP((D27-C27)/(E27-C27),$X$19:$X$30,$W$19:$W$30)+1,LOOKUP(F27,$Y$35:$AY$35,$Y$34:$AY$34)+1):INDEX($Y$36:$AY$143,9*LOOKUP((D27-C27)/(E27-C27),$X$19:$X$30,$W$19:$W$30)+9,LOOKUP(F27,$Y$35:$AY$35,$Y$34:$AY$34)+1))))*(1-((INDEX($Y$35:$AY$35,1,LOOKUP(F27,$Y$35:$AY$35,$Y$34:$AY$34)+1)-F27)/(INDEX($Y$35:$AY$35,1,LOOKUP(F27,$Y$35:$AY$35,$Y$34:$AY$34)+1)-INDEX($Y$35:$AY$35,1,LOOKUP(F27,$Y$35:$AY$35,$Y$34:$AY$34))))))*(1-(INDEX($X$19:$X$30,LOOKUP((D27-C27)/(E27-C27),$X$19:$X$30,$W$19:$W$30)+1,1)-(D27-C27)/(E27-C27))/(INDEX($X$19:$X$30,LOOKUP((D27-C27)/(E27-C27),$X$19:$X$30,$W$19:$W$30)+1,1)-INDEX($X$19:$X$30,LOOKUP((D27-C27)/(E27-C27),$X$19:$X$30,$W$19:$W$30),1)))) )</f>
        <v>#DIV/0!</v>
      </c>
      <c r="N35" s="105" t="e">
        <v>#DIV/0!</v>
      </c>
      <c r="O35" s="105" t="e">
        <v>#DIV/0!</v>
      </c>
      <c r="P35" s="105" t="e">
        <v>#DIV/0!</v>
      </c>
      <c r="Q35" s="105" t="e">
        <v>#DIV/0!</v>
      </c>
      <c r="R35" s="105" t="e">
        <v>#DIV/0!</v>
      </c>
      <c r="S35" s="105" t="e">
        <v>#DIV/0!</v>
      </c>
      <c r="T35" s="105" t="e">
        <v>#DIV/0!</v>
      </c>
      <c r="U35" s="106" t="e">
        <v>#DIV/0!</v>
      </c>
      <c r="W35" s="111" t="s">
        <v>53</v>
      </c>
      <c r="X35" s="112" t="s">
        <v>64</v>
      </c>
      <c r="Y35" s="88">
        <v>1</v>
      </c>
      <c r="Z35" s="88">
        <v>2</v>
      </c>
      <c r="AA35" s="89">
        <v>3</v>
      </c>
      <c r="AB35" s="89">
        <v>4</v>
      </c>
      <c r="AC35" s="89">
        <v>6</v>
      </c>
      <c r="AD35" s="90">
        <v>8</v>
      </c>
      <c r="AE35" s="88">
        <v>10</v>
      </c>
      <c r="AF35" s="89">
        <v>13</v>
      </c>
      <c r="AG35" s="89">
        <v>18</v>
      </c>
      <c r="AH35" s="89">
        <v>25</v>
      </c>
      <c r="AI35" s="90">
        <v>35</v>
      </c>
      <c r="AJ35" s="88">
        <v>50</v>
      </c>
      <c r="AK35" s="89">
        <v>72</v>
      </c>
      <c r="AL35" s="89">
        <v>102</v>
      </c>
      <c r="AM35" s="89">
        <v>144</v>
      </c>
      <c r="AN35" s="90">
        <v>200</v>
      </c>
      <c r="AO35" s="88">
        <v>270</v>
      </c>
      <c r="AP35" s="89">
        <v>350</v>
      </c>
      <c r="AQ35" s="89">
        <v>430</v>
      </c>
      <c r="AR35" s="89">
        <v>510</v>
      </c>
      <c r="AS35" s="90">
        <v>590</v>
      </c>
      <c r="AT35" s="88">
        <v>670</v>
      </c>
      <c r="AU35" s="89">
        <v>750</v>
      </c>
      <c r="AV35" s="89">
        <v>830</v>
      </c>
      <c r="AW35" s="89">
        <v>915</v>
      </c>
      <c r="AX35" s="89">
        <v>1000</v>
      </c>
      <c r="AY35" s="117">
        <v>1001</v>
      </c>
    </row>
    <row r="36" spans="1:51" x14ac:dyDescent="0.2">
      <c r="B36" s="71" t="s">
        <v>96</v>
      </c>
      <c r="C36" s="94">
        <f>'Loss Magnitude'!BD46</f>
        <v>0</v>
      </c>
      <c r="D36" s="94">
        <f>'Loss Magnitude'!BE46</f>
        <v>0</v>
      </c>
      <c r="E36" s="94">
        <f>'Loss Magnitude'!BF46</f>
        <v>0</v>
      </c>
      <c r="F36" s="96">
        <f>Proposed_Calc!$L$12</f>
        <v>2</v>
      </c>
      <c r="G36" s="97" t="s">
        <v>58</v>
      </c>
      <c r="H36" s="98">
        <f t="shared" si="0"/>
        <v>0.65525302111881456</v>
      </c>
      <c r="I36" s="99">
        <f t="shared" si="1"/>
        <v>0</v>
      </c>
      <c r="J36" s="71">
        <f>Proposed_Calc!G23</f>
        <v>1008</v>
      </c>
      <c r="M36" s="105" t="e">
        <f t="array" ref="M36:U36">TRANSPOSE( MMULT($Z$19:$AH$27,((LN(INDEX($Y$36:$AY$143,9*LOOKUP((D28-C28)/(E28-C28),$X$19:$X$30,$W$19:$W$30)-8,LOOKUP(F28,$Y$35:$AY$35,$Y$34:$AY$34)):INDEX($Y$36:$AY$143,9*LOOKUP((D28-C28)/(E28-C28),$X$19:$X$30,$W$19:$W$30),LOOKUP(F28,$Y$35:$AY$35,$Y$34:$AY$34))/(1-INDEX($Y$36:$AY$143,9*LOOKUP((D28-C28)/(E28-C28),$X$19:$X$30,$W$19:$W$30)-8,LOOKUP(F28,$Y$35:$AY$35,$Y$34:$AY$34)):INDEX($Y$36:$AY$143,9*LOOKUP((D28-C28)/(E28-C28),$X$19:$X$30,$W$19:$W$30),LOOKUP(F28,$Y$35:$AY$35,$Y$34:$AY$34)))))*((INDEX($Y$35:$AY$35,1,LOOKUP(F28,$Y$35:$AY$35,$Y$34:$AY$34)+1)-F28)/(INDEX($Y$35:$AY$35,1,LOOKUP(F28,$Y$35:$AY$35,$Y$34:$AY$34)+1)-INDEX($Y$35:$AY$35,1,LOOKUP(F28,$Y$35:$AY$35,$Y$34:$AY$34))))+(LN(INDEX($Y$36:$AY$143,9*LOOKUP((D28-C28)/(E28-C28),$X$19:$X$30,$W$19:$W$30)-8,LOOKUP(F28,$Y$35:$AY$35,$Y$34:$AY$34)+1):INDEX($Y$36:$AY$143,9*LOOKUP((D28-C28)/(E28-C28),$X$19:$X$30,$W$19:$W$30),LOOKUP(F28,$Y$35:$AY$35,$Y$34:$AY$34)+1)/(1-INDEX($Y$36:$AY$143,9*LOOKUP((D28-C28)/(E28-C28),$X$19:$X$30,$W$19:$W$30)-8,LOOKUP(F28,$Y$35:$AY$35,$Y$34:$AY$34)+1):INDEX($Y$36:$AY$143,9*LOOKUP((D28-C28)/(E28-C28),$X$19:$X$30,$W$19:$W$30),LOOKUP(F28,$Y$35:$AY$35,$Y$34:$AY$34)+1))))*(1-((INDEX($Y$35:$AY$35,1,LOOKUP(F28,$Y$35:$AY$35,$Y$34:$AY$34)+1)-F28)/(INDEX($Y$35:$AY$35,1,LOOKUP(F28,$Y$35:$AY$35,$Y$34:$AY$34)+1)-INDEX($Y$35:$AY$35,1,LOOKUP(F28,$Y$35:$AY$35,$Y$34:$AY$34))))))*((INDEX($X$19:$X$30,LOOKUP((D28-C28)/(E28-C28),$X$19:$X$30,$W$19:$W$30)+1,1)-(D28-C28)/(E28-C28))/(INDEX($X$19:$X$30,LOOKUP((D28-C28)/(E28-C28),$X$19:$X$30,$W$19:$W$30)+1,1)-INDEX($X$19:$X$30,LOOKUP((D28-C28)/(E28-C28),$X$19:$X$30,$W$19:$W$30),1)))+((LN(INDEX($Y$36:$AY$143,9*LOOKUP((D28-C28)/(E28-C28),$X$19:$X$30,$W$19:$W$30)+1,LOOKUP(F28,$Y$35:$AY$35,$Y$34:$AY$34)):INDEX($Y$36:$AY$143,9*LOOKUP((D28-C28)/(E28-C28),$X$19:$X$30,$W$19:$W$30)+9,LOOKUP(F28,$Y$35:$AY$35,$Y$34:$AY$34))/(1-INDEX($Y$36:$AY$143,9*LOOKUP((D28-C28)/(E28-C28),$X$19:$X$30,$W$19:$W$30)+1,LOOKUP(F28,$Y$35:$AY$35,$Y$34:$AY$34)):INDEX($Y$36:$AY$143,9*LOOKUP((D28-C28)/(E28-C28),$X$19:$X$30,$W$19:$W$30)+9,LOOKUP(F28,$Y$35:$AY$35,$Y$34:$AY$34)))))*((INDEX($Y$35:$AY$35,1,LOOKUP(F28,$Y$35:$AY$35,$Y$34:$AY$34)+1)-F28)/(INDEX($Y$35:$AY$35,1,LOOKUP(F28,$Y$35:$AY$35,$Y$34:$AY$34)+1)-INDEX($Y$35:$AY$35,1,LOOKUP(F28,$Y$35:$AY$35,$Y$34:$AY$34))))+(LN(INDEX($Y$36:$AY$143,9*LOOKUP((D28-C28)/(E28-C28),$X$19:$X$30,$W$19:$W$30)+1,LOOKUP(F28,$Y$35:$AY$35,$Y$34:$AY$34)+1):INDEX($Y$36:$AY$143,9*LOOKUP((D28-C28)/(E28-C28),$X$19:$X$30,$W$19:$W$30)+9,LOOKUP(F28,$Y$35:$AY$35,$Y$34:$AY$34)+1)/(1-INDEX($Y$36:$AY$143,9*LOOKUP((D28-C28)/(E28-C28),$X$19:$X$30,$W$19:$W$30)+1,LOOKUP(F28,$Y$35:$AY$35,$Y$34:$AY$34)+1):INDEX($Y$36:$AY$143,9*LOOKUP((D28-C28)/(E28-C28),$X$19:$X$30,$W$19:$W$30)+9,LOOKUP(F28,$Y$35:$AY$35,$Y$34:$AY$34)+1))))*(1-((INDEX($Y$35:$AY$35,1,LOOKUP(F28,$Y$35:$AY$35,$Y$34:$AY$34)+1)-F28)/(INDEX($Y$35:$AY$35,1,LOOKUP(F28,$Y$35:$AY$35,$Y$34:$AY$34)+1)-INDEX($Y$35:$AY$35,1,LOOKUP(F28,$Y$35:$AY$35,$Y$34:$AY$34))))))*(1-(INDEX($X$19:$X$30,LOOKUP((D28-C28)/(E28-C28),$X$19:$X$30,$W$19:$W$30)+1,1)-(D28-C28)/(E28-C28))/(INDEX($X$19:$X$30,LOOKUP((D28-C28)/(E28-C28),$X$19:$X$30,$W$19:$W$30)+1,1)-INDEX($X$19:$X$30,LOOKUP((D28-C28)/(E28-C28),$X$19:$X$30,$W$19:$W$30),1)))) )</f>
        <v>#DIV/0!</v>
      </c>
      <c r="N36" s="105" t="e">
        <v>#DIV/0!</v>
      </c>
      <c r="O36" s="105" t="e">
        <v>#DIV/0!</v>
      </c>
      <c r="P36" s="105" t="e">
        <v>#DIV/0!</v>
      </c>
      <c r="Q36" s="105" t="e">
        <v>#DIV/0!</v>
      </c>
      <c r="R36" s="105" t="e">
        <v>#DIV/0!</v>
      </c>
      <c r="S36" s="105" t="e">
        <v>#DIV/0!</v>
      </c>
      <c r="T36" s="105" t="e">
        <v>#DIV/0!</v>
      </c>
      <c r="U36" s="106" t="e">
        <v>#DIV/0!</v>
      </c>
      <c r="W36" s="118"/>
      <c r="X36" s="119">
        <v>1E-3</v>
      </c>
      <c r="Y36" s="118">
        <v>5.1522824452130572E-4</v>
      </c>
      <c r="Z36" s="118">
        <v>1.1050986160524797E-2</v>
      </c>
      <c r="AA36" s="120">
        <v>3.0654991532660363E-2</v>
      </c>
      <c r="AB36" s="120">
        <v>5.1537000565385002E-2</v>
      </c>
      <c r="AC36" s="120">
        <v>8.4311237462266139E-2</v>
      </c>
      <c r="AD36" s="83">
        <v>0.11035122005483619</v>
      </c>
      <c r="AE36" s="118">
        <v>0.12925508726359397</v>
      </c>
      <c r="AF36" s="120">
        <v>0.15058036303913316</v>
      </c>
      <c r="AG36" s="120">
        <v>0.17545182540444482</v>
      </c>
      <c r="AH36" s="120">
        <v>0.19683310177289176</v>
      </c>
      <c r="AI36" s="83">
        <v>0.21646438381405833</v>
      </c>
      <c r="AJ36" s="120">
        <v>0.23497337590779871</v>
      </c>
      <c r="AK36" s="120">
        <v>0.2505155735122398</v>
      </c>
      <c r="AL36" s="120">
        <v>0.26326444687227324</v>
      </c>
      <c r="AM36" s="120">
        <v>0.2742531489662457</v>
      </c>
      <c r="AN36" s="120">
        <v>0.28321351594879041</v>
      </c>
      <c r="AO36" s="118">
        <v>0.28977876411255271</v>
      </c>
      <c r="AP36" s="120">
        <v>0.29505738393751008</v>
      </c>
      <c r="AQ36" s="120">
        <v>0.29878851807988921</v>
      </c>
      <c r="AR36" s="120">
        <v>0.30164287416786179</v>
      </c>
      <c r="AS36" s="83">
        <v>0.30376568899750422</v>
      </c>
      <c r="AT36" s="120">
        <v>0.30548847094643661</v>
      </c>
      <c r="AU36" s="120">
        <v>0.30696851354107607</v>
      </c>
      <c r="AV36" s="120">
        <v>0.30829854544258189</v>
      </c>
      <c r="AW36" s="120">
        <v>0.30939473259777445</v>
      </c>
      <c r="AX36" s="83">
        <v>0.31044077572546447</v>
      </c>
      <c r="AY36" s="121">
        <v>0.31044077572546447</v>
      </c>
    </row>
    <row r="37" spans="1:51" x14ac:dyDescent="0.2">
      <c r="B37" s="71" t="s">
        <v>97</v>
      </c>
      <c r="C37" s="94">
        <f>'Loss Magnitude'!BD47</f>
        <v>0</v>
      </c>
      <c r="D37" s="94">
        <f>'Loss Magnitude'!BE47</f>
        <v>0</v>
      </c>
      <c r="E37" s="94">
        <f>'Loss Magnitude'!BF47</f>
        <v>0</v>
      </c>
      <c r="F37" s="96">
        <f>Proposed_Calc!$L$12</f>
        <v>2</v>
      </c>
      <c r="G37" s="97" t="s">
        <v>58</v>
      </c>
      <c r="H37" s="98">
        <f t="shared" si="0"/>
        <v>0.82692537099445484</v>
      </c>
      <c r="I37" s="99">
        <f t="shared" si="1"/>
        <v>0</v>
      </c>
      <c r="J37" s="71">
        <f>Proposed_Calc!G24</f>
        <v>1009</v>
      </c>
      <c r="M37" s="105" t="e">
        <f t="array" ref="M37:U37">TRANSPOSE( MMULT($Z$19:$AH$27,((LN(INDEX($Y$36:$AY$143,9*LOOKUP((D29-C29)/(E29-C29),$X$19:$X$30,$W$19:$W$30)-8,LOOKUP(F29,$Y$35:$AY$35,$Y$34:$AY$34)):INDEX($Y$36:$AY$143,9*LOOKUP((D29-C29)/(E29-C29),$X$19:$X$30,$W$19:$W$30),LOOKUP(F29,$Y$35:$AY$35,$Y$34:$AY$34))/(1-INDEX($Y$36:$AY$143,9*LOOKUP((D29-C29)/(E29-C29),$X$19:$X$30,$W$19:$W$30)-8,LOOKUP(F29,$Y$35:$AY$35,$Y$34:$AY$34)):INDEX($Y$36:$AY$143,9*LOOKUP((D29-C29)/(E29-C29),$X$19:$X$30,$W$19:$W$30),LOOKUP(F29,$Y$35:$AY$35,$Y$34:$AY$34)))))*((INDEX($Y$35:$AY$35,1,LOOKUP(F29,$Y$35:$AY$35,$Y$34:$AY$34)+1)-F29)/(INDEX($Y$35:$AY$35,1,LOOKUP(F29,$Y$35:$AY$35,$Y$34:$AY$34)+1)-INDEX($Y$35:$AY$35,1,LOOKUP(F29,$Y$35:$AY$35,$Y$34:$AY$34))))+(LN(INDEX($Y$36:$AY$143,9*LOOKUP((D29-C29)/(E29-C29),$X$19:$X$30,$W$19:$W$30)-8,LOOKUP(F29,$Y$35:$AY$35,$Y$34:$AY$34)+1):INDEX($Y$36:$AY$143,9*LOOKUP((D29-C29)/(E29-C29),$X$19:$X$30,$W$19:$W$30),LOOKUP(F29,$Y$35:$AY$35,$Y$34:$AY$34)+1)/(1-INDEX($Y$36:$AY$143,9*LOOKUP((D29-C29)/(E29-C29),$X$19:$X$30,$W$19:$W$30)-8,LOOKUP(F29,$Y$35:$AY$35,$Y$34:$AY$34)+1):INDEX($Y$36:$AY$143,9*LOOKUP((D29-C29)/(E29-C29),$X$19:$X$30,$W$19:$W$30),LOOKUP(F29,$Y$35:$AY$35,$Y$34:$AY$34)+1))))*(1-((INDEX($Y$35:$AY$35,1,LOOKUP(F29,$Y$35:$AY$35,$Y$34:$AY$34)+1)-F29)/(INDEX($Y$35:$AY$35,1,LOOKUP(F29,$Y$35:$AY$35,$Y$34:$AY$34)+1)-INDEX($Y$35:$AY$35,1,LOOKUP(F29,$Y$35:$AY$35,$Y$34:$AY$34))))))*((INDEX($X$19:$X$30,LOOKUP((D29-C29)/(E29-C29),$X$19:$X$30,$W$19:$W$30)+1,1)-(D29-C29)/(E29-C29))/(INDEX($X$19:$X$30,LOOKUP((D29-C29)/(E29-C29),$X$19:$X$30,$W$19:$W$30)+1,1)-INDEX($X$19:$X$30,LOOKUP((D29-C29)/(E29-C29),$X$19:$X$30,$W$19:$W$30),1)))+((LN(INDEX($Y$36:$AY$143,9*LOOKUP((D29-C29)/(E29-C29),$X$19:$X$30,$W$19:$W$30)+1,LOOKUP(F29,$Y$35:$AY$35,$Y$34:$AY$34)):INDEX($Y$36:$AY$143,9*LOOKUP((D29-C29)/(E29-C29),$X$19:$X$30,$W$19:$W$30)+9,LOOKUP(F29,$Y$35:$AY$35,$Y$34:$AY$34))/(1-INDEX($Y$36:$AY$143,9*LOOKUP((D29-C29)/(E29-C29),$X$19:$X$30,$W$19:$W$30)+1,LOOKUP(F29,$Y$35:$AY$35,$Y$34:$AY$34)):INDEX($Y$36:$AY$143,9*LOOKUP((D29-C29)/(E29-C29),$X$19:$X$30,$W$19:$W$30)+9,LOOKUP(F29,$Y$35:$AY$35,$Y$34:$AY$34)))))*((INDEX($Y$35:$AY$35,1,LOOKUP(F29,$Y$35:$AY$35,$Y$34:$AY$34)+1)-F29)/(INDEX($Y$35:$AY$35,1,LOOKUP(F29,$Y$35:$AY$35,$Y$34:$AY$34)+1)-INDEX($Y$35:$AY$35,1,LOOKUP(F29,$Y$35:$AY$35,$Y$34:$AY$34))))+(LN(INDEX($Y$36:$AY$143,9*LOOKUP((D29-C29)/(E29-C29),$X$19:$X$30,$W$19:$W$30)+1,LOOKUP(F29,$Y$35:$AY$35,$Y$34:$AY$34)+1):INDEX($Y$36:$AY$143,9*LOOKUP((D29-C29)/(E29-C29),$X$19:$X$30,$W$19:$W$30)+9,LOOKUP(F29,$Y$35:$AY$35,$Y$34:$AY$34)+1)/(1-INDEX($Y$36:$AY$143,9*LOOKUP((D29-C29)/(E29-C29),$X$19:$X$30,$W$19:$W$30)+1,LOOKUP(F29,$Y$35:$AY$35,$Y$34:$AY$34)+1):INDEX($Y$36:$AY$143,9*LOOKUP((D29-C29)/(E29-C29),$X$19:$X$30,$W$19:$W$30)+9,LOOKUP(F29,$Y$35:$AY$35,$Y$34:$AY$34)+1))))*(1-((INDEX($Y$35:$AY$35,1,LOOKUP(F29,$Y$35:$AY$35,$Y$34:$AY$34)+1)-F29)/(INDEX($Y$35:$AY$35,1,LOOKUP(F29,$Y$35:$AY$35,$Y$34:$AY$34)+1)-INDEX($Y$35:$AY$35,1,LOOKUP(F29,$Y$35:$AY$35,$Y$34:$AY$34))))))*(1-(INDEX($X$19:$X$30,LOOKUP((D29-C29)/(E29-C29),$X$19:$X$30,$W$19:$W$30)+1,1)-(D29-C29)/(E29-C29))/(INDEX($X$19:$X$30,LOOKUP((D29-C29)/(E29-C29),$X$19:$X$30,$W$19:$W$30)+1,1)-INDEX($X$19:$X$30,LOOKUP((D29-C29)/(E29-C29),$X$19:$X$30,$W$19:$W$30),1)))) )</f>
        <v>#DIV/0!</v>
      </c>
      <c r="N37" s="105" t="e">
        <v>#DIV/0!</v>
      </c>
      <c r="O37" s="105" t="e">
        <v>#DIV/0!</v>
      </c>
      <c r="P37" s="105" t="e">
        <v>#DIV/0!</v>
      </c>
      <c r="Q37" s="105" t="e">
        <v>#DIV/0!</v>
      </c>
      <c r="R37" s="105" t="e">
        <v>#DIV/0!</v>
      </c>
      <c r="S37" s="105" t="e">
        <v>#DIV/0!</v>
      </c>
      <c r="T37" s="105" t="e">
        <v>#DIV/0!</v>
      </c>
      <c r="U37" s="106" t="e">
        <v>#DIV/0!</v>
      </c>
      <c r="W37" s="122"/>
      <c r="X37" s="123">
        <v>0.01</v>
      </c>
      <c r="Y37" s="122">
        <v>4.9830235348709666E-3</v>
      </c>
      <c r="Z37" s="122">
        <v>3.6209562121252349E-2</v>
      </c>
      <c r="AA37" s="124">
        <v>6.858553715087036E-2</v>
      </c>
      <c r="AB37" s="124">
        <v>9.5028745093988565E-2</v>
      </c>
      <c r="AC37" s="124">
        <v>0.13140972001871426</v>
      </c>
      <c r="AD37" s="92">
        <v>0.15512272630476273</v>
      </c>
      <c r="AE37" s="122">
        <v>0.1720242041557675</v>
      </c>
      <c r="AF37" s="124">
        <v>0.19066091367560731</v>
      </c>
      <c r="AG37" s="124">
        <v>0.2105481306483154</v>
      </c>
      <c r="AH37" s="124">
        <v>0.22833619138365976</v>
      </c>
      <c r="AI37" s="92">
        <v>0.24384008234983562</v>
      </c>
      <c r="AJ37" s="124">
        <v>0.25801653603973412</v>
      </c>
      <c r="AK37" s="124">
        <v>0.27018462466345489</v>
      </c>
      <c r="AL37" s="124">
        <v>0.27999953195110205</v>
      </c>
      <c r="AM37" s="124">
        <v>0.28837087635045278</v>
      </c>
      <c r="AN37" s="124">
        <v>0.2950819933996055</v>
      </c>
      <c r="AO37" s="122">
        <v>0.30037499318639355</v>
      </c>
      <c r="AP37" s="124">
        <v>0.30431459459196702</v>
      </c>
      <c r="AQ37" s="124">
        <v>0.3071068907514295</v>
      </c>
      <c r="AR37" s="124">
        <v>0.30922313036562044</v>
      </c>
      <c r="AS37" s="92">
        <v>0.31090078614341254</v>
      </c>
      <c r="AT37" s="124">
        <v>0.31229996435923252</v>
      </c>
      <c r="AU37" s="124">
        <v>0.31344016295593541</v>
      </c>
      <c r="AV37" s="124">
        <v>0.31444846425596612</v>
      </c>
      <c r="AW37" s="124">
        <v>0.31529660975613505</v>
      </c>
      <c r="AX37" s="92">
        <v>0.31608255421280496</v>
      </c>
      <c r="AY37" s="125">
        <v>0.31608255421280496</v>
      </c>
    </row>
    <row r="38" spans="1:51" x14ac:dyDescent="0.2">
      <c r="B38" s="71" t="s">
        <v>98</v>
      </c>
      <c r="C38" s="94">
        <f>'Loss Magnitude'!BD48</f>
        <v>0</v>
      </c>
      <c r="D38" s="94">
        <f>'Loss Magnitude'!BE48</f>
        <v>0</v>
      </c>
      <c r="E38" s="94">
        <f>'Loss Magnitude'!BF48</f>
        <v>0</v>
      </c>
      <c r="F38" s="96">
        <f>Proposed_Calc!$L$12</f>
        <v>2</v>
      </c>
      <c r="G38" s="97" t="s">
        <v>58</v>
      </c>
      <c r="H38" s="98">
        <f t="shared" si="0"/>
        <v>0.6136846319370366</v>
      </c>
      <c r="I38" s="99">
        <f t="shared" si="1"/>
        <v>0</v>
      </c>
      <c r="J38" s="71">
        <f>Proposed_Calc!G25</f>
        <v>1010</v>
      </c>
      <c r="M38" s="105" t="e">
        <f t="array" ref="M38:U38">TRANSPOSE( MMULT($Z$19:$AH$27,((LN(INDEX($Y$36:$AY$143,9*LOOKUP((D30-C30)/(E30-C30),$X$19:$X$30,$W$19:$W$30)-8,LOOKUP(F30,$Y$35:$AY$35,$Y$34:$AY$34)):INDEX($Y$36:$AY$143,9*LOOKUP((D30-C30)/(E30-C30),$X$19:$X$30,$W$19:$W$30),LOOKUP(F30,$Y$35:$AY$35,$Y$34:$AY$34))/(1-INDEX($Y$36:$AY$143,9*LOOKUP((D30-C30)/(E30-C30),$X$19:$X$30,$W$19:$W$30)-8,LOOKUP(F30,$Y$35:$AY$35,$Y$34:$AY$34)):INDEX($Y$36:$AY$143,9*LOOKUP((D30-C30)/(E30-C30),$X$19:$X$30,$W$19:$W$30),LOOKUP(F30,$Y$35:$AY$35,$Y$34:$AY$34)))))*((INDEX($Y$35:$AY$35,1,LOOKUP(F30,$Y$35:$AY$35,$Y$34:$AY$34)+1)-F30)/(INDEX($Y$35:$AY$35,1,LOOKUP(F30,$Y$35:$AY$35,$Y$34:$AY$34)+1)-INDEX($Y$35:$AY$35,1,LOOKUP(F30,$Y$35:$AY$35,$Y$34:$AY$34))))+(LN(INDEX($Y$36:$AY$143,9*LOOKUP((D30-C30)/(E30-C30),$X$19:$X$30,$W$19:$W$30)-8,LOOKUP(F30,$Y$35:$AY$35,$Y$34:$AY$34)+1):INDEX($Y$36:$AY$143,9*LOOKUP((D30-C30)/(E30-C30),$X$19:$X$30,$W$19:$W$30),LOOKUP(F30,$Y$35:$AY$35,$Y$34:$AY$34)+1)/(1-INDEX($Y$36:$AY$143,9*LOOKUP((D30-C30)/(E30-C30),$X$19:$X$30,$W$19:$W$30)-8,LOOKUP(F30,$Y$35:$AY$35,$Y$34:$AY$34)+1):INDEX($Y$36:$AY$143,9*LOOKUP((D30-C30)/(E30-C30),$X$19:$X$30,$W$19:$W$30),LOOKUP(F30,$Y$35:$AY$35,$Y$34:$AY$34)+1))))*(1-((INDEX($Y$35:$AY$35,1,LOOKUP(F30,$Y$35:$AY$35,$Y$34:$AY$34)+1)-F30)/(INDEX($Y$35:$AY$35,1,LOOKUP(F30,$Y$35:$AY$35,$Y$34:$AY$34)+1)-INDEX($Y$35:$AY$35,1,LOOKUP(F30,$Y$35:$AY$35,$Y$34:$AY$34))))))*((INDEX($X$19:$X$30,LOOKUP((D30-C30)/(E30-C30),$X$19:$X$30,$W$19:$W$30)+1,1)-(D30-C30)/(E30-C30))/(INDEX($X$19:$X$30,LOOKUP((D30-C30)/(E30-C30),$X$19:$X$30,$W$19:$W$30)+1,1)-INDEX($X$19:$X$30,LOOKUP((D30-C30)/(E30-C30),$X$19:$X$30,$W$19:$W$30),1)))+((LN(INDEX($Y$36:$AY$143,9*LOOKUP((D30-C30)/(E30-C30),$X$19:$X$30,$W$19:$W$30)+1,LOOKUP(F30,$Y$35:$AY$35,$Y$34:$AY$34)):INDEX($Y$36:$AY$143,9*LOOKUP((D30-C30)/(E30-C30),$X$19:$X$30,$W$19:$W$30)+9,LOOKUP(F30,$Y$35:$AY$35,$Y$34:$AY$34))/(1-INDEX($Y$36:$AY$143,9*LOOKUP((D30-C30)/(E30-C30),$X$19:$X$30,$W$19:$W$30)+1,LOOKUP(F30,$Y$35:$AY$35,$Y$34:$AY$34)):INDEX($Y$36:$AY$143,9*LOOKUP((D30-C30)/(E30-C30),$X$19:$X$30,$W$19:$W$30)+9,LOOKUP(F30,$Y$35:$AY$35,$Y$34:$AY$34)))))*((INDEX($Y$35:$AY$35,1,LOOKUP(F30,$Y$35:$AY$35,$Y$34:$AY$34)+1)-F30)/(INDEX($Y$35:$AY$35,1,LOOKUP(F30,$Y$35:$AY$35,$Y$34:$AY$34)+1)-INDEX($Y$35:$AY$35,1,LOOKUP(F30,$Y$35:$AY$35,$Y$34:$AY$34))))+(LN(INDEX($Y$36:$AY$143,9*LOOKUP((D30-C30)/(E30-C30),$X$19:$X$30,$W$19:$W$30)+1,LOOKUP(F30,$Y$35:$AY$35,$Y$34:$AY$34)+1):INDEX($Y$36:$AY$143,9*LOOKUP((D30-C30)/(E30-C30),$X$19:$X$30,$W$19:$W$30)+9,LOOKUP(F30,$Y$35:$AY$35,$Y$34:$AY$34)+1)/(1-INDEX($Y$36:$AY$143,9*LOOKUP((D30-C30)/(E30-C30),$X$19:$X$30,$W$19:$W$30)+1,LOOKUP(F30,$Y$35:$AY$35,$Y$34:$AY$34)+1):INDEX($Y$36:$AY$143,9*LOOKUP((D30-C30)/(E30-C30),$X$19:$X$30,$W$19:$W$30)+9,LOOKUP(F30,$Y$35:$AY$35,$Y$34:$AY$34)+1))))*(1-((INDEX($Y$35:$AY$35,1,LOOKUP(F30,$Y$35:$AY$35,$Y$34:$AY$34)+1)-F30)/(INDEX($Y$35:$AY$35,1,LOOKUP(F30,$Y$35:$AY$35,$Y$34:$AY$34)+1)-INDEX($Y$35:$AY$35,1,LOOKUP(F30,$Y$35:$AY$35,$Y$34:$AY$34))))))*(1-(INDEX($X$19:$X$30,LOOKUP((D30-C30)/(E30-C30),$X$19:$X$30,$W$19:$W$30)+1,1)-(D30-C30)/(E30-C30))/(INDEX($X$19:$X$30,LOOKUP((D30-C30)/(E30-C30),$X$19:$X$30,$W$19:$W$30)+1,1)-INDEX($X$19:$X$30,LOOKUP((D30-C30)/(E30-C30),$X$19:$X$30,$W$19:$W$30),1)))) )</f>
        <v>#N/A</v>
      </c>
      <c r="N38" s="105" t="e">
        <v>#N/A</v>
      </c>
      <c r="O38" s="105" t="e">
        <v>#N/A</v>
      </c>
      <c r="P38" s="105" t="e">
        <v>#N/A</v>
      </c>
      <c r="Q38" s="105" t="e">
        <v>#N/A</v>
      </c>
      <c r="R38" s="105" t="e">
        <v>#N/A</v>
      </c>
      <c r="S38" s="105" t="e">
        <v>#N/A</v>
      </c>
      <c r="T38" s="105" t="e">
        <v>#N/A</v>
      </c>
      <c r="U38" s="106" t="e">
        <v>#N/A</v>
      </c>
      <c r="W38" s="122"/>
      <c r="X38" s="123">
        <v>9.9999999999999992E-2</v>
      </c>
      <c r="Y38" s="122">
        <v>5.132742872145718E-2</v>
      </c>
      <c r="Z38" s="122">
        <v>0.12169626442845266</v>
      </c>
      <c r="AA38" s="124">
        <v>0.16043635602830914</v>
      </c>
      <c r="AB38" s="124">
        <v>0.18405305345560094</v>
      </c>
      <c r="AC38" s="124">
        <v>0.21166329949530521</v>
      </c>
      <c r="AD38" s="92">
        <v>0.22788549115015402</v>
      </c>
      <c r="AE38" s="122">
        <v>0.23900360998424697</v>
      </c>
      <c r="AF38" s="124">
        <v>0.25043726360268559</v>
      </c>
      <c r="AG38" s="124">
        <v>0.26279461450285568</v>
      </c>
      <c r="AH38" s="124">
        <v>0.27340730933326096</v>
      </c>
      <c r="AI38" s="92">
        <v>0.28269576475988262</v>
      </c>
      <c r="AJ38" s="124">
        <v>0.29094747671364074</v>
      </c>
      <c r="AK38" s="124">
        <v>0.29795699045961915</v>
      </c>
      <c r="AL38" s="124">
        <v>0.30354471147260237</v>
      </c>
      <c r="AM38" s="124">
        <v>0.30825473659878622</v>
      </c>
      <c r="AN38" s="124">
        <v>0.31201926322434598</v>
      </c>
      <c r="AO38" s="122">
        <v>0.31498827553228276</v>
      </c>
      <c r="AP38" s="124">
        <v>0.31720362375341327</v>
      </c>
      <c r="AQ38" s="124">
        <v>0.31879729854454758</v>
      </c>
      <c r="AR38" s="124">
        <v>0.31996459082018452</v>
      </c>
      <c r="AS38" s="92">
        <v>0.32090803499596632</v>
      </c>
      <c r="AT38" s="124">
        <v>0.32166996683039961</v>
      </c>
      <c r="AU38" s="124">
        <v>0.32232804988948671</v>
      </c>
      <c r="AV38" s="124">
        <v>0.32286022921993712</v>
      </c>
      <c r="AW38" s="124">
        <v>0.32334679528978805</v>
      </c>
      <c r="AX38" s="92">
        <v>0.32379512000059135</v>
      </c>
      <c r="AY38" s="125">
        <v>0.32379512000059135</v>
      </c>
    </row>
    <row r="39" spans="1:51" x14ac:dyDescent="0.2">
      <c r="A39" s="211" t="s">
        <v>140</v>
      </c>
      <c r="B39" s="71" t="s">
        <v>99</v>
      </c>
      <c r="C39" s="94">
        <f>'Loss Magnitude'!BK43</f>
        <v>0</v>
      </c>
      <c r="D39" s="94">
        <f>'Loss Magnitude'!BL43</f>
        <v>0</v>
      </c>
      <c r="E39" s="94">
        <f>'Loss Magnitude'!BM43</f>
        <v>0</v>
      </c>
      <c r="F39" s="96">
        <f>Proposed_Calc!$AE$12</f>
        <v>0</v>
      </c>
      <c r="G39" s="97" t="s">
        <v>58</v>
      </c>
      <c r="H39" s="98">
        <f t="shared" si="0"/>
        <v>0.10123587427718372</v>
      </c>
      <c r="I39" s="99">
        <f t="shared" si="1"/>
        <v>0</v>
      </c>
      <c r="J39" s="71">
        <f>Proposed_Calc!Z20</f>
        <v>2002</v>
      </c>
      <c r="M39" s="105" t="e">
        <f t="array" ref="M39:U39">TRANSPOSE( MMULT($Z$19:$AH$27,((LN(INDEX($Y$36:$AY$143,9*LOOKUP((D31-C31)/(E31-C31),$X$19:$X$30,$W$19:$W$30)-8,LOOKUP(F31,$Y$35:$AY$35,$Y$34:$AY$34)):INDEX($Y$36:$AY$143,9*LOOKUP((D31-C31)/(E31-C31),$X$19:$X$30,$W$19:$W$30),LOOKUP(F31,$Y$35:$AY$35,$Y$34:$AY$34))/(1-INDEX($Y$36:$AY$143,9*LOOKUP((D31-C31)/(E31-C31),$X$19:$X$30,$W$19:$W$30)-8,LOOKUP(F31,$Y$35:$AY$35,$Y$34:$AY$34)):INDEX($Y$36:$AY$143,9*LOOKUP((D31-C31)/(E31-C31),$X$19:$X$30,$W$19:$W$30),LOOKUP(F31,$Y$35:$AY$35,$Y$34:$AY$34)))))*((INDEX($Y$35:$AY$35,1,LOOKUP(F31,$Y$35:$AY$35,$Y$34:$AY$34)+1)-F31)/(INDEX($Y$35:$AY$35,1,LOOKUP(F31,$Y$35:$AY$35,$Y$34:$AY$34)+1)-INDEX($Y$35:$AY$35,1,LOOKUP(F31,$Y$35:$AY$35,$Y$34:$AY$34))))+(LN(INDEX($Y$36:$AY$143,9*LOOKUP((D31-C31)/(E31-C31),$X$19:$X$30,$W$19:$W$30)-8,LOOKUP(F31,$Y$35:$AY$35,$Y$34:$AY$34)+1):INDEX($Y$36:$AY$143,9*LOOKUP((D31-C31)/(E31-C31),$X$19:$X$30,$W$19:$W$30),LOOKUP(F31,$Y$35:$AY$35,$Y$34:$AY$34)+1)/(1-INDEX($Y$36:$AY$143,9*LOOKUP((D31-C31)/(E31-C31),$X$19:$X$30,$W$19:$W$30)-8,LOOKUP(F31,$Y$35:$AY$35,$Y$34:$AY$34)+1):INDEX($Y$36:$AY$143,9*LOOKUP((D31-C31)/(E31-C31),$X$19:$X$30,$W$19:$W$30),LOOKUP(F31,$Y$35:$AY$35,$Y$34:$AY$34)+1))))*(1-((INDEX($Y$35:$AY$35,1,LOOKUP(F31,$Y$35:$AY$35,$Y$34:$AY$34)+1)-F31)/(INDEX($Y$35:$AY$35,1,LOOKUP(F31,$Y$35:$AY$35,$Y$34:$AY$34)+1)-INDEX($Y$35:$AY$35,1,LOOKUP(F31,$Y$35:$AY$35,$Y$34:$AY$34))))))*((INDEX($X$19:$X$30,LOOKUP((D31-C31)/(E31-C31),$X$19:$X$30,$W$19:$W$30)+1,1)-(D31-C31)/(E31-C31))/(INDEX($X$19:$X$30,LOOKUP((D31-C31)/(E31-C31),$X$19:$X$30,$W$19:$W$30)+1,1)-INDEX($X$19:$X$30,LOOKUP((D31-C31)/(E31-C31),$X$19:$X$30,$W$19:$W$30),1)))+((LN(INDEX($Y$36:$AY$143,9*LOOKUP((D31-C31)/(E31-C31),$X$19:$X$30,$W$19:$W$30)+1,LOOKUP(F31,$Y$35:$AY$35,$Y$34:$AY$34)):INDEX($Y$36:$AY$143,9*LOOKUP((D31-C31)/(E31-C31),$X$19:$X$30,$W$19:$W$30)+9,LOOKUP(F31,$Y$35:$AY$35,$Y$34:$AY$34))/(1-INDEX($Y$36:$AY$143,9*LOOKUP((D31-C31)/(E31-C31),$X$19:$X$30,$W$19:$W$30)+1,LOOKUP(F31,$Y$35:$AY$35,$Y$34:$AY$34)):INDEX($Y$36:$AY$143,9*LOOKUP((D31-C31)/(E31-C31),$X$19:$X$30,$W$19:$W$30)+9,LOOKUP(F31,$Y$35:$AY$35,$Y$34:$AY$34)))))*((INDEX($Y$35:$AY$35,1,LOOKUP(F31,$Y$35:$AY$35,$Y$34:$AY$34)+1)-F31)/(INDEX($Y$35:$AY$35,1,LOOKUP(F31,$Y$35:$AY$35,$Y$34:$AY$34)+1)-INDEX($Y$35:$AY$35,1,LOOKUP(F31,$Y$35:$AY$35,$Y$34:$AY$34))))+(LN(INDEX($Y$36:$AY$143,9*LOOKUP((D31-C31)/(E31-C31),$X$19:$X$30,$W$19:$W$30)+1,LOOKUP(F31,$Y$35:$AY$35,$Y$34:$AY$34)+1):INDEX($Y$36:$AY$143,9*LOOKUP((D31-C31)/(E31-C31),$X$19:$X$30,$W$19:$W$30)+9,LOOKUP(F31,$Y$35:$AY$35,$Y$34:$AY$34)+1)/(1-INDEX($Y$36:$AY$143,9*LOOKUP((D31-C31)/(E31-C31),$X$19:$X$30,$W$19:$W$30)+1,LOOKUP(F31,$Y$35:$AY$35,$Y$34:$AY$34)+1):INDEX($Y$36:$AY$143,9*LOOKUP((D31-C31)/(E31-C31),$X$19:$X$30,$W$19:$W$30)+9,LOOKUP(F31,$Y$35:$AY$35,$Y$34:$AY$34)+1))))*(1-((INDEX($Y$35:$AY$35,1,LOOKUP(F31,$Y$35:$AY$35,$Y$34:$AY$34)+1)-F31)/(INDEX($Y$35:$AY$35,1,LOOKUP(F31,$Y$35:$AY$35,$Y$34:$AY$34)+1)-INDEX($Y$35:$AY$35,1,LOOKUP(F31,$Y$35:$AY$35,$Y$34:$AY$34))))))*(1-(INDEX($X$19:$X$30,LOOKUP((D31-C31)/(E31-C31),$X$19:$X$30,$W$19:$W$30)+1,1)-(D31-C31)/(E31-C31))/(INDEX($X$19:$X$30,LOOKUP((D31-C31)/(E31-C31),$X$19:$X$30,$W$19:$W$30)+1,1)-INDEX($X$19:$X$30,LOOKUP((D31-C31)/(E31-C31),$X$19:$X$30,$W$19:$W$30),1)))) )</f>
        <v>#DIV/0!</v>
      </c>
      <c r="N39" s="105" t="e">
        <v>#DIV/0!</v>
      </c>
      <c r="O39" s="105" t="e">
        <v>#DIV/0!</v>
      </c>
      <c r="P39" s="105" t="e">
        <v>#DIV/0!</v>
      </c>
      <c r="Q39" s="105" t="e">
        <v>#DIV/0!</v>
      </c>
      <c r="R39" s="105" t="e">
        <v>#DIV/0!</v>
      </c>
      <c r="S39" s="105" t="e">
        <v>#DIV/0!</v>
      </c>
      <c r="T39" s="105" t="e">
        <v>#DIV/0!</v>
      </c>
      <c r="U39" s="106" t="e">
        <v>#DIV/0!</v>
      </c>
      <c r="W39" s="122"/>
      <c r="X39" s="123">
        <v>0.25000000000000006</v>
      </c>
      <c r="Y39" s="122">
        <v>0.13350897138309628</v>
      </c>
      <c r="Z39" s="122">
        <v>0.20526733560346436</v>
      </c>
      <c r="AA39" s="124">
        <v>0.23343536060293127</v>
      </c>
      <c r="AB39" s="124">
        <v>0.24851753288969883</v>
      </c>
      <c r="AC39" s="124">
        <v>0.26521351311613667</v>
      </c>
      <c r="AD39" s="92">
        <v>0.27494280100141227</v>
      </c>
      <c r="AE39" s="122">
        <v>0.2814256920038633</v>
      </c>
      <c r="AF39" s="124">
        <v>0.28803725241312689</v>
      </c>
      <c r="AG39" s="124">
        <v>0.2949745218348826</v>
      </c>
      <c r="AH39" s="124">
        <v>0.30100780893941592</v>
      </c>
      <c r="AI39" s="92">
        <v>0.30607953679476652</v>
      </c>
      <c r="AJ39" s="124">
        <v>0.31062036657774417</v>
      </c>
      <c r="AK39" s="124">
        <v>0.31441931054063238</v>
      </c>
      <c r="AL39" s="124">
        <v>0.31745420527429885</v>
      </c>
      <c r="AM39" s="124">
        <v>0.31997001934571723</v>
      </c>
      <c r="AN39" s="124">
        <v>0.3219937895654465</v>
      </c>
      <c r="AO39" s="122">
        <v>0.32357314882104865</v>
      </c>
      <c r="AP39" s="124">
        <v>0.3247685627093565</v>
      </c>
      <c r="AQ39" s="124">
        <v>0.32562826105133652</v>
      </c>
      <c r="AR39" s="124">
        <v>0.32625880187383788</v>
      </c>
      <c r="AS39" s="92">
        <v>0.32676710671740483</v>
      </c>
      <c r="AT39" s="124">
        <v>0.32717566884899185</v>
      </c>
      <c r="AU39" s="124">
        <v>0.32750626439706587</v>
      </c>
      <c r="AV39" s="124">
        <v>0.32779861611186756</v>
      </c>
      <c r="AW39" s="124">
        <v>0.32805402312803383</v>
      </c>
      <c r="AX39" s="92">
        <v>0.32828806607453298</v>
      </c>
      <c r="AY39" s="125">
        <v>0.32828806607453298</v>
      </c>
    </row>
    <row r="40" spans="1:51" x14ac:dyDescent="0.2">
      <c r="B40" s="71" t="s">
        <v>100</v>
      </c>
      <c r="C40" s="94">
        <f>'Loss Magnitude'!BK44</f>
        <v>0</v>
      </c>
      <c r="D40" s="94">
        <f>'Loss Magnitude'!BL44</f>
        <v>0</v>
      </c>
      <c r="E40" s="94">
        <f>'Loss Magnitude'!BM44</f>
        <v>0</v>
      </c>
      <c r="F40" s="96">
        <f>Proposed_Calc!$AE$12</f>
        <v>0</v>
      </c>
      <c r="G40" s="97" t="s">
        <v>58</v>
      </c>
      <c r="H40" s="98">
        <f t="shared" si="0"/>
        <v>0.29800046551879517</v>
      </c>
      <c r="I40" s="99">
        <f t="shared" si="1"/>
        <v>0</v>
      </c>
      <c r="J40" s="71">
        <f>Proposed_Calc!Z21</f>
        <v>2003</v>
      </c>
      <c r="M40" s="105" t="e">
        <f t="array" ref="M40:U40">TRANSPOSE( MMULT($Z$19:$AH$27,((LN(INDEX($Y$36:$AY$143,9*LOOKUP((D32-C32)/(E32-C32),$X$19:$X$30,$W$19:$W$30)-8,LOOKUP(F32,$Y$35:$AY$35,$Y$34:$AY$34)):INDEX($Y$36:$AY$143,9*LOOKUP((D32-C32)/(E32-C32),$X$19:$X$30,$W$19:$W$30),LOOKUP(F32,$Y$35:$AY$35,$Y$34:$AY$34))/(1-INDEX($Y$36:$AY$143,9*LOOKUP((D32-C32)/(E32-C32),$X$19:$X$30,$W$19:$W$30)-8,LOOKUP(F32,$Y$35:$AY$35,$Y$34:$AY$34)):INDEX($Y$36:$AY$143,9*LOOKUP((D32-C32)/(E32-C32),$X$19:$X$30,$W$19:$W$30),LOOKUP(F32,$Y$35:$AY$35,$Y$34:$AY$34)))))*((INDEX($Y$35:$AY$35,1,LOOKUP(F32,$Y$35:$AY$35,$Y$34:$AY$34)+1)-F32)/(INDEX($Y$35:$AY$35,1,LOOKUP(F32,$Y$35:$AY$35,$Y$34:$AY$34)+1)-INDEX($Y$35:$AY$35,1,LOOKUP(F32,$Y$35:$AY$35,$Y$34:$AY$34))))+(LN(INDEX($Y$36:$AY$143,9*LOOKUP((D32-C32)/(E32-C32),$X$19:$X$30,$W$19:$W$30)-8,LOOKUP(F32,$Y$35:$AY$35,$Y$34:$AY$34)+1):INDEX($Y$36:$AY$143,9*LOOKUP((D32-C32)/(E32-C32),$X$19:$X$30,$W$19:$W$30),LOOKUP(F32,$Y$35:$AY$35,$Y$34:$AY$34)+1)/(1-INDEX($Y$36:$AY$143,9*LOOKUP((D32-C32)/(E32-C32),$X$19:$X$30,$W$19:$W$30)-8,LOOKUP(F32,$Y$35:$AY$35,$Y$34:$AY$34)+1):INDEX($Y$36:$AY$143,9*LOOKUP((D32-C32)/(E32-C32),$X$19:$X$30,$W$19:$W$30),LOOKUP(F32,$Y$35:$AY$35,$Y$34:$AY$34)+1))))*(1-((INDEX($Y$35:$AY$35,1,LOOKUP(F32,$Y$35:$AY$35,$Y$34:$AY$34)+1)-F32)/(INDEX($Y$35:$AY$35,1,LOOKUP(F32,$Y$35:$AY$35,$Y$34:$AY$34)+1)-INDEX($Y$35:$AY$35,1,LOOKUP(F32,$Y$35:$AY$35,$Y$34:$AY$34))))))*((INDEX($X$19:$X$30,LOOKUP((D32-C32)/(E32-C32),$X$19:$X$30,$W$19:$W$30)+1,1)-(D32-C32)/(E32-C32))/(INDEX($X$19:$X$30,LOOKUP((D32-C32)/(E32-C32),$X$19:$X$30,$W$19:$W$30)+1,1)-INDEX($X$19:$X$30,LOOKUP((D32-C32)/(E32-C32),$X$19:$X$30,$W$19:$W$30),1)))+((LN(INDEX($Y$36:$AY$143,9*LOOKUP((D32-C32)/(E32-C32),$X$19:$X$30,$W$19:$W$30)+1,LOOKUP(F32,$Y$35:$AY$35,$Y$34:$AY$34)):INDEX($Y$36:$AY$143,9*LOOKUP((D32-C32)/(E32-C32),$X$19:$X$30,$W$19:$W$30)+9,LOOKUP(F32,$Y$35:$AY$35,$Y$34:$AY$34))/(1-INDEX($Y$36:$AY$143,9*LOOKUP((D32-C32)/(E32-C32),$X$19:$X$30,$W$19:$W$30)+1,LOOKUP(F32,$Y$35:$AY$35,$Y$34:$AY$34)):INDEX($Y$36:$AY$143,9*LOOKUP((D32-C32)/(E32-C32),$X$19:$X$30,$W$19:$W$30)+9,LOOKUP(F32,$Y$35:$AY$35,$Y$34:$AY$34)))))*((INDEX($Y$35:$AY$35,1,LOOKUP(F32,$Y$35:$AY$35,$Y$34:$AY$34)+1)-F32)/(INDEX($Y$35:$AY$35,1,LOOKUP(F32,$Y$35:$AY$35,$Y$34:$AY$34)+1)-INDEX($Y$35:$AY$35,1,LOOKUP(F32,$Y$35:$AY$35,$Y$34:$AY$34))))+(LN(INDEX($Y$36:$AY$143,9*LOOKUP((D32-C32)/(E32-C32),$X$19:$X$30,$W$19:$W$30)+1,LOOKUP(F32,$Y$35:$AY$35,$Y$34:$AY$34)+1):INDEX($Y$36:$AY$143,9*LOOKUP((D32-C32)/(E32-C32),$X$19:$X$30,$W$19:$W$30)+9,LOOKUP(F32,$Y$35:$AY$35,$Y$34:$AY$34)+1)/(1-INDEX($Y$36:$AY$143,9*LOOKUP((D32-C32)/(E32-C32),$X$19:$X$30,$W$19:$W$30)+1,LOOKUP(F32,$Y$35:$AY$35,$Y$34:$AY$34)+1):INDEX($Y$36:$AY$143,9*LOOKUP((D32-C32)/(E32-C32),$X$19:$X$30,$W$19:$W$30)+9,LOOKUP(F32,$Y$35:$AY$35,$Y$34:$AY$34)+1))))*(1-((INDEX($Y$35:$AY$35,1,LOOKUP(F32,$Y$35:$AY$35,$Y$34:$AY$34)+1)-F32)/(INDEX($Y$35:$AY$35,1,LOOKUP(F32,$Y$35:$AY$35,$Y$34:$AY$34)+1)-INDEX($Y$35:$AY$35,1,LOOKUP(F32,$Y$35:$AY$35,$Y$34:$AY$34))))))*(1-(INDEX($X$19:$X$30,LOOKUP((D32-C32)/(E32-C32),$X$19:$X$30,$W$19:$W$30)+1,1)-(D32-C32)/(E32-C32))/(INDEX($X$19:$X$30,LOOKUP((D32-C32)/(E32-C32),$X$19:$X$30,$W$19:$W$30)+1,1)-INDEX($X$19:$X$30,LOOKUP((D32-C32)/(E32-C32),$X$19:$X$30,$W$19:$W$30),1)))) )</f>
        <v>#N/A</v>
      </c>
      <c r="N40" s="105" t="e">
        <v>#N/A</v>
      </c>
      <c r="O40" s="105" t="e">
        <v>#N/A</v>
      </c>
      <c r="P40" s="105" t="e">
        <v>#N/A</v>
      </c>
      <c r="Q40" s="105" t="e">
        <v>#N/A</v>
      </c>
      <c r="R40" s="105" t="e">
        <v>#N/A</v>
      </c>
      <c r="S40" s="105" t="e">
        <v>#N/A</v>
      </c>
      <c r="T40" s="105" t="e">
        <v>#N/A</v>
      </c>
      <c r="U40" s="106" t="e">
        <v>#N/A</v>
      </c>
      <c r="W40" s="122">
        <f>X19</f>
        <v>0</v>
      </c>
      <c r="X40" s="123">
        <v>0.50000000000000022</v>
      </c>
      <c r="Y40" s="122">
        <v>0.292303562804901</v>
      </c>
      <c r="Z40" s="122">
        <v>0.32079511950459505</v>
      </c>
      <c r="AA40" s="124">
        <v>0.32524165605094707</v>
      </c>
      <c r="AB40" s="124">
        <v>0.32744425281183598</v>
      </c>
      <c r="AC40" s="124">
        <v>0.3295618010359499</v>
      </c>
      <c r="AD40" s="92">
        <v>0.33054938024804642</v>
      </c>
      <c r="AE40" s="122">
        <v>0.33110039224516241</v>
      </c>
      <c r="AF40" s="124">
        <v>0.33166040988000517</v>
      </c>
      <c r="AG40" s="124">
        <v>0.33220634749443451</v>
      </c>
      <c r="AH40" s="124">
        <v>0.33250459146613365</v>
      </c>
      <c r="AI40" s="92">
        <v>0.33274770938213971</v>
      </c>
      <c r="AJ40" s="124">
        <v>0.33288038774119527</v>
      </c>
      <c r="AK40" s="124">
        <v>0.33298660643941075</v>
      </c>
      <c r="AL40" s="124">
        <v>0.33310665226505815</v>
      </c>
      <c r="AM40" s="124">
        <v>0.33314548561912583</v>
      </c>
      <c r="AN40" s="124">
        <v>0.33320441473507389</v>
      </c>
      <c r="AO40" s="122">
        <v>0.33322104401759617</v>
      </c>
      <c r="AP40" s="124">
        <v>0.33323447564217235</v>
      </c>
      <c r="AQ40" s="124">
        <v>0.33326369744411904</v>
      </c>
      <c r="AR40" s="124">
        <v>0.33327708279349466</v>
      </c>
      <c r="AS40" s="92">
        <v>0.33328837978520021</v>
      </c>
      <c r="AT40" s="124">
        <v>0.33329381024881821</v>
      </c>
      <c r="AU40" s="124">
        <v>0.33329640823600443</v>
      </c>
      <c r="AV40" s="124">
        <v>0.33328891362389085</v>
      </c>
      <c r="AW40" s="124">
        <v>0.33329585843539056</v>
      </c>
      <c r="AX40" s="92">
        <v>0.3332934599937164</v>
      </c>
      <c r="AY40" s="125">
        <v>0.3332934599937164</v>
      </c>
    </row>
    <row r="41" spans="1:51" x14ac:dyDescent="0.2">
      <c r="B41" s="71" t="s">
        <v>101</v>
      </c>
      <c r="C41" s="94">
        <f>'Loss Magnitude'!BK45</f>
        <v>0</v>
      </c>
      <c r="D41" s="94">
        <f>'Loss Magnitude'!BL45</f>
        <v>0</v>
      </c>
      <c r="E41" s="94">
        <f>'Loss Magnitude'!BM45</f>
        <v>0</v>
      </c>
      <c r="F41" s="96">
        <f>Proposed_Calc!$AE$12</f>
        <v>0</v>
      </c>
      <c r="G41" s="97" t="s">
        <v>58</v>
      </c>
      <c r="H41" s="98">
        <f t="shared" si="0"/>
        <v>0.23281213861555428</v>
      </c>
      <c r="I41" s="99">
        <f t="shared" si="1"/>
        <v>0</v>
      </c>
      <c r="J41" s="71">
        <f>Proposed_Calc!Z22</f>
        <v>2004</v>
      </c>
      <c r="M41" s="105">
        <f t="array" ref="M41:U41">TRANSPOSE( MMULT($Z$19:$AH$27,((LN(INDEX($Y$36:$AY$143,9*LOOKUP((D33-C33)/(E33-C33),$X$19:$X$30,$W$19:$W$30)-8,LOOKUP(F33,$Y$35:$AY$35,$Y$34:$AY$34)):INDEX($Y$36:$AY$143,9*LOOKUP((D33-C33)/(E33-C33),$X$19:$X$30,$W$19:$W$30),LOOKUP(F33,$Y$35:$AY$35,$Y$34:$AY$34))/(1-INDEX($Y$36:$AY$143,9*LOOKUP((D33-C33)/(E33-C33),$X$19:$X$30,$W$19:$W$30)-8,LOOKUP(F33,$Y$35:$AY$35,$Y$34:$AY$34)):INDEX($Y$36:$AY$143,9*LOOKUP((D33-C33)/(E33-C33),$X$19:$X$30,$W$19:$W$30),LOOKUP(F33,$Y$35:$AY$35,$Y$34:$AY$34)))))*((INDEX($Y$35:$AY$35,1,LOOKUP(F33,$Y$35:$AY$35,$Y$34:$AY$34)+1)-F33)/(INDEX($Y$35:$AY$35,1,LOOKUP(F33,$Y$35:$AY$35,$Y$34:$AY$34)+1)-INDEX($Y$35:$AY$35,1,LOOKUP(F33,$Y$35:$AY$35,$Y$34:$AY$34))))+(LN(INDEX($Y$36:$AY$143,9*LOOKUP((D33-C33)/(E33-C33),$X$19:$X$30,$W$19:$W$30)-8,LOOKUP(F33,$Y$35:$AY$35,$Y$34:$AY$34)+1):INDEX($Y$36:$AY$143,9*LOOKUP((D33-C33)/(E33-C33),$X$19:$X$30,$W$19:$W$30),LOOKUP(F33,$Y$35:$AY$35,$Y$34:$AY$34)+1)/(1-INDEX($Y$36:$AY$143,9*LOOKUP((D33-C33)/(E33-C33),$X$19:$X$30,$W$19:$W$30)-8,LOOKUP(F33,$Y$35:$AY$35,$Y$34:$AY$34)+1):INDEX($Y$36:$AY$143,9*LOOKUP((D33-C33)/(E33-C33),$X$19:$X$30,$W$19:$W$30),LOOKUP(F33,$Y$35:$AY$35,$Y$34:$AY$34)+1))))*(1-((INDEX($Y$35:$AY$35,1,LOOKUP(F33,$Y$35:$AY$35,$Y$34:$AY$34)+1)-F33)/(INDEX($Y$35:$AY$35,1,LOOKUP(F33,$Y$35:$AY$35,$Y$34:$AY$34)+1)-INDEX($Y$35:$AY$35,1,LOOKUP(F33,$Y$35:$AY$35,$Y$34:$AY$34))))))*((INDEX($X$19:$X$30,LOOKUP((D33-C33)/(E33-C33),$X$19:$X$30,$W$19:$W$30)+1,1)-(D33-C33)/(E33-C33))/(INDEX($X$19:$X$30,LOOKUP((D33-C33)/(E33-C33),$X$19:$X$30,$W$19:$W$30)+1,1)-INDEX($X$19:$X$30,LOOKUP((D33-C33)/(E33-C33),$X$19:$X$30,$W$19:$W$30),1)))+((LN(INDEX($Y$36:$AY$143,9*LOOKUP((D33-C33)/(E33-C33),$X$19:$X$30,$W$19:$W$30)+1,LOOKUP(F33,$Y$35:$AY$35,$Y$34:$AY$34)):INDEX($Y$36:$AY$143,9*LOOKUP((D33-C33)/(E33-C33),$X$19:$X$30,$W$19:$W$30)+9,LOOKUP(F33,$Y$35:$AY$35,$Y$34:$AY$34))/(1-INDEX($Y$36:$AY$143,9*LOOKUP((D33-C33)/(E33-C33),$X$19:$X$30,$W$19:$W$30)+1,LOOKUP(F33,$Y$35:$AY$35,$Y$34:$AY$34)):INDEX($Y$36:$AY$143,9*LOOKUP((D33-C33)/(E33-C33),$X$19:$X$30,$W$19:$W$30)+9,LOOKUP(F33,$Y$35:$AY$35,$Y$34:$AY$34)))))*((INDEX($Y$35:$AY$35,1,LOOKUP(F33,$Y$35:$AY$35,$Y$34:$AY$34)+1)-F33)/(INDEX($Y$35:$AY$35,1,LOOKUP(F33,$Y$35:$AY$35,$Y$34:$AY$34)+1)-INDEX($Y$35:$AY$35,1,LOOKUP(F33,$Y$35:$AY$35,$Y$34:$AY$34))))+(LN(INDEX($Y$36:$AY$143,9*LOOKUP((D33-C33)/(E33-C33),$X$19:$X$30,$W$19:$W$30)+1,LOOKUP(F33,$Y$35:$AY$35,$Y$34:$AY$34)+1):INDEX($Y$36:$AY$143,9*LOOKUP((D33-C33)/(E33-C33),$X$19:$X$30,$W$19:$W$30)+9,LOOKUP(F33,$Y$35:$AY$35,$Y$34:$AY$34)+1)/(1-INDEX($Y$36:$AY$143,9*LOOKUP((D33-C33)/(E33-C33),$X$19:$X$30,$W$19:$W$30)+1,LOOKUP(F33,$Y$35:$AY$35,$Y$34:$AY$34)+1):INDEX($Y$36:$AY$143,9*LOOKUP((D33-C33)/(E33-C33),$X$19:$X$30,$W$19:$W$30)+9,LOOKUP(F33,$Y$35:$AY$35,$Y$34:$AY$34)+1))))*(1-((INDEX($Y$35:$AY$35,1,LOOKUP(F33,$Y$35:$AY$35,$Y$34:$AY$34)+1)-F33)/(INDEX($Y$35:$AY$35,1,LOOKUP(F33,$Y$35:$AY$35,$Y$34:$AY$34)+1)-INDEX($Y$35:$AY$35,1,LOOKUP(F33,$Y$35:$AY$35,$Y$34:$AY$34))))))*(1-(INDEX($X$19:$X$30,LOOKUP((D33-C33)/(E33-C33),$X$19:$X$30,$W$19:$W$30)+1,1)-(D33-C33)/(E33-C33))/(INDEX($X$19:$X$30,LOOKUP((D33-C33)/(E33-C33),$X$19:$X$30,$W$19:$W$30)+1,1)-INDEX($X$19:$X$30,LOOKUP((D33-C33)/(E33-C33),$X$19:$X$30,$W$19:$W$30),1)))) )</f>
        <v>-0.44507502417071221</v>
      </c>
      <c r="N41" s="105">
        <v>9.2204112831421714E-2</v>
      </c>
      <c r="O41" s="105">
        <v>-0.12442358744510784</v>
      </c>
      <c r="P41" s="105">
        <v>1.3783983951814172</v>
      </c>
      <c r="Q41" s="105">
        <v>0.38204161635952261</v>
      </c>
      <c r="R41" s="105">
        <v>0.71170782468199256</v>
      </c>
      <c r="S41" s="105">
        <v>-1.8114160317009649</v>
      </c>
      <c r="T41" s="105">
        <v>0.61499215758187376</v>
      </c>
      <c r="U41" s="106">
        <v>-1.9239697365305375</v>
      </c>
      <c r="W41" s="122"/>
      <c r="X41" s="123">
        <v>0.75000000000000044</v>
      </c>
      <c r="Y41" s="122">
        <v>0.49940242736855078</v>
      </c>
      <c r="Z41" s="122">
        <v>0.445670717311547</v>
      </c>
      <c r="AA41" s="124">
        <v>0.42396534726691876</v>
      </c>
      <c r="AB41" s="124">
        <v>0.41160782632808046</v>
      </c>
      <c r="AC41" s="124">
        <v>0.39730187334549549</v>
      </c>
      <c r="AD41" s="92">
        <v>0.38861323380370105</v>
      </c>
      <c r="AE41" s="122">
        <v>0.38294188260220935</v>
      </c>
      <c r="AF41" s="124">
        <v>0.37692211156611494</v>
      </c>
      <c r="AG41" s="124">
        <v>0.37035589635408966</v>
      </c>
      <c r="AH41" s="124">
        <v>0.36481216818415108</v>
      </c>
      <c r="AI41" s="92">
        <v>0.35992104773689165</v>
      </c>
      <c r="AJ41" s="124">
        <v>0.35565667171719534</v>
      </c>
      <c r="AK41" s="124">
        <v>0.35190904626728509</v>
      </c>
      <c r="AL41" s="124">
        <v>0.34889640553997175</v>
      </c>
      <c r="AM41" s="124">
        <v>0.34646987988217831</v>
      </c>
      <c r="AN41" s="124">
        <v>0.3444836615930329</v>
      </c>
      <c r="AO41" s="122">
        <v>0.34293725318469653</v>
      </c>
      <c r="AP41" s="124">
        <v>0.34177986935872995</v>
      </c>
      <c r="AQ41" s="124">
        <v>0.34095312450889059</v>
      </c>
      <c r="AR41" s="124">
        <v>0.3403177445175089</v>
      </c>
      <c r="AS41" s="92">
        <v>0.33983681452710945</v>
      </c>
      <c r="AT41" s="124">
        <v>0.33943549631343312</v>
      </c>
      <c r="AU41" s="124">
        <v>0.33909781966069269</v>
      </c>
      <c r="AV41" s="124">
        <v>0.33881302768051458</v>
      </c>
      <c r="AW41" s="124">
        <v>0.33855190676125668</v>
      </c>
      <c r="AX41" s="92">
        <v>0.33833364822855211</v>
      </c>
      <c r="AY41" s="125">
        <v>0.33833364822855211</v>
      </c>
    </row>
    <row r="42" spans="1:51" x14ac:dyDescent="0.2">
      <c r="B42" s="71" t="s">
        <v>102</v>
      </c>
      <c r="C42" s="94">
        <f>'Loss Magnitude'!BK46</f>
        <v>0</v>
      </c>
      <c r="D42" s="94">
        <f>'Loss Magnitude'!BL46</f>
        <v>15</v>
      </c>
      <c r="E42" s="94">
        <f>'Loss Magnitude'!BM46</f>
        <v>60</v>
      </c>
      <c r="F42" s="96">
        <f>Proposed_Calc!$AE$12</f>
        <v>0</v>
      </c>
      <c r="G42" s="97" t="s">
        <v>58</v>
      </c>
      <c r="H42" s="98">
        <f t="shared" si="0"/>
        <v>6.3005980366378084E-2</v>
      </c>
      <c r="I42" s="99" t="e">
        <f t="shared" si="1"/>
        <v>#N/A</v>
      </c>
      <c r="J42" s="71">
        <f>Proposed_Calc!Z23</f>
        <v>2005</v>
      </c>
      <c r="M42" s="105" t="e">
        <f t="array" ref="M42:U42">TRANSPOSE( MMULT($Z$19:$AH$27,((LN(INDEX($Y$36:$AY$143,9*LOOKUP((D34-C34)/(E34-C34),$X$19:$X$30,$W$19:$W$30)-8,LOOKUP(F34,$Y$35:$AY$35,$Y$34:$AY$34)):INDEX($Y$36:$AY$143,9*LOOKUP((D34-C34)/(E34-C34),$X$19:$X$30,$W$19:$W$30),LOOKUP(F34,$Y$35:$AY$35,$Y$34:$AY$34))/(1-INDEX($Y$36:$AY$143,9*LOOKUP((D34-C34)/(E34-C34),$X$19:$X$30,$W$19:$W$30)-8,LOOKUP(F34,$Y$35:$AY$35,$Y$34:$AY$34)):INDEX($Y$36:$AY$143,9*LOOKUP((D34-C34)/(E34-C34),$X$19:$X$30,$W$19:$W$30),LOOKUP(F34,$Y$35:$AY$35,$Y$34:$AY$34)))))*((INDEX($Y$35:$AY$35,1,LOOKUP(F34,$Y$35:$AY$35,$Y$34:$AY$34)+1)-F34)/(INDEX($Y$35:$AY$35,1,LOOKUP(F34,$Y$35:$AY$35,$Y$34:$AY$34)+1)-INDEX($Y$35:$AY$35,1,LOOKUP(F34,$Y$35:$AY$35,$Y$34:$AY$34))))+(LN(INDEX($Y$36:$AY$143,9*LOOKUP((D34-C34)/(E34-C34),$X$19:$X$30,$W$19:$W$30)-8,LOOKUP(F34,$Y$35:$AY$35,$Y$34:$AY$34)+1):INDEX($Y$36:$AY$143,9*LOOKUP((D34-C34)/(E34-C34),$X$19:$X$30,$W$19:$W$30),LOOKUP(F34,$Y$35:$AY$35,$Y$34:$AY$34)+1)/(1-INDEX($Y$36:$AY$143,9*LOOKUP((D34-C34)/(E34-C34),$X$19:$X$30,$W$19:$W$30)-8,LOOKUP(F34,$Y$35:$AY$35,$Y$34:$AY$34)+1):INDEX($Y$36:$AY$143,9*LOOKUP((D34-C34)/(E34-C34),$X$19:$X$30,$W$19:$W$30),LOOKUP(F34,$Y$35:$AY$35,$Y$34:$AY$34)+1))))*(1-((INDEX($Y$35:$AY$35,1,LOOKUP(F34,$Y$35:$AY$35,$Y$34:$AY$34)+1)-F34)/(INDEX($Y$35:$AY$35,1,LOOKUP(F34,$Y$35:$AY$35,$Y$34:$AY$34)+1)-INDEX($Y$35:$AY$35,1,LOOKUP(F34,$Y$35:$AY$35,$Y$34:$AY$34))))))*((INDEX($X$19:$X$30,LOOKUP((D34-C34)/(E34-C34),$X$19:$X$30,$W$19:$W$30)+1,1)-(D34-C34)/(E34-C34))/(INDEX($X$19:$X$30,LOOKUP((D34-C34)/(E34-C34),$X$19:$X$30,$W$19:$W$30)+1,1)-INDEX($X$19:$X$30,LOOKUP((D34-C34)/(E34-C34),$X$19:$X$30,$W$19:$W$30),1)))+((LN(INDEX($Y$36:$AY$143,9*LOOKUP((D34-C34)/(E34-C34),$X$19:$X$30,$W$19:$W$30)+1,LOOKUP(F34,$Y$35:$AY$35,$Y$34:$AY$34)):INDEX($Y$36:$AY$143,9*LOOKUP((D34-C34)/(E34-C34),$X$19:$X$30,$W$19:$W$30)+9,LOOKUP(F34,$Y$35:$AY$35,$Y$34:$AY$34))/(1-INDEX($Y$36:$AY$143,9*LOOKUP((D34-C34)/(E34-C34),$X$19:$X$30,$W$19:$W$30)+1,LOOKUP(F34,$Y$35:$AY$35,$Y$34:$AY$34)):INDEX($Y$36:$AY$143,9*LOOKUP((D34-C34)/(E34-C34),$X$19:$X$30,$W$19:$W$30)+9,LOOKUP(F34,$Y$35:$AY$35,$Y$34:$AY$34)))))*((INDEX($Y$35:$AY$35,1,LOOKUP(F34,$Y$35:$AY$35,$Y$34:$AY$34)+1)-F34)/(INDEX($Y$35:$AY$35,1,LOOKUP(F34,$Y$35:$AY$35,$Y$34:$AY$34)+1)-INDEX($Y$35:$AY$35,1,LOOKUP(F34,$Y$35:$AY$35,$Y$34:$AY$34))))+(LN(INDEX($Y$36:$AY$143,9*LOOKUP((D34-C34)/(E34-C34),$X$19:$X$30,$W$19:$W$30)+1,LOOKUP(F34,$Y$35:$AY$35,$Y$34:$AY$34)+1):INDEX($Y$36:$AY$143,9*LOOKUP((D34-C34)/(E34-C34),$X$19:$X$30,$W$19:$W$30)+9,LOOKUP(F34,$Y$35:$AY$35,$Y$34:$AY$34)+1)/(1-INDEX($Y$36:$AY$143,9*LOOKUP((D34-C34)/(E34-C34),$X$19:$X$30,$W$19:$W$30)+1,LOOKUP(F34,$Y$35:$AY$35,$Y$34:$AY$34)+1):INDEX($Y$36:$AY$143,9*LOOKUP((D34-C34)/(E34-C34),$X$19:$X$30,$W$19:$W$30)+9,LOOKUP(F34,$Y$35:$AY$35,$Y$34:$AY$34)+1))))*(1-((INDEX($Y$35:$AY$35,1,LOOKUP(F34,$Y$35:$AY$35,$Y$34:$AY$34)+1)-F34)/(INDEX($Y$35:$AY$35,1,LOOKUP(F34,$Y$35:$AY$35,$Y$34:$AY$34)+1)-INDEX($Y$35:$AY$35,1,LOOKUP(F34,$Y$35:$AY$35,$Y$34:$AY$34))))))*(1-(INDEX($X$19:$X$30,LOOKUP((D34-C34)/(E34-C34),$X$19:$X$30,$W$19:$W$30)+1,1)-(D34-C34)/(E34-C34))/(INDEX($X$19:$X$30,LOOKUP((D34-C34)/(E34-C34),$X$19:$X$30,$W$19:$W$30)+1,1)-INDEX($X$19:$X$30,LOOKUP((D34-C34)/(E34-C34),$X$19:$X$30,$W$19:$W$30),1)))) )</f>
        <v>#DIV/0!</v>
      </c>
      <c r="N42" s="105" t="e">
        <v>#DIV/0!</v>
      </c>
      <c r="O42" s="105" t="e">
        <v>#DIV/0!</v>
      </c>
      <c r="P42" s="105" t="e">
        <v>#DIV/0!</v>
      </c>
      <c r="Q42" s="105" t="e">
        <v>#DIV/0!</v>
      </c>
      <c r="R42" s="105" t="e">
        <v>#DIV/0!</v>
      </c>
      <c r="S42" s="105" t="e">
        <v>#DIV/0!</v>
      </c>
      <c r="T42" s="105" t="e">
        <v>#DIV/0!</v>
      </c>
      <c r="U42" s="106" t="e">
        <v>#DIV/0!</v>
      </c>
      <c r="W42" s="122"/>
      <c r="X42" s="123">
        <v>0.90000000000000058</v>
      </c>
      <c r="Y42" s="122">
        <v>0.68410562994546387</v>
      </c>
      <c r="Z42" s="122">
        <v>0.55959958049175229</v>
      </c>
      <c r="AA42" s="124">
        <v>0.51603817286398601</v>
      </c>
      <c r="AB42" s="124">
        <v>0.49002949941455293</v>
      </c>
      <c r="AC42" s="124">
        <v>0.46021787365772199</v>
      </c>
      <c r="AD42" s="92">
        <v>0.44255161356405426</v>
      </c>
      <c r="AE42" s="122">
        <v>0.43085976626013844</v>
      </c>
      <c r="AF42" s="124">
        <v>0.41848084384037515</v>
      </c>
      <c r="AG42" s="124">
        <v>0.4055670407036957</v>
      </c>
      <c r="AH42" s="124">
        <v>0.39457636346828112</v>
      </c>
      <c r="AI42" s="92">
        <v>0.38487397433837639</v>
      </c>
      <c r="AJ42" s="124">
        <v>0.37646512748540889</v>
      </c>
      <c r="AK42" s="124">
        <v>0.36910735384323312</v>
      </c>
      <c r="AL42" s="124">
        <v>0.36332023104612376</v>
      </c>
      <c r="AM42" s="124">
        <v>0.35854522012979162</v>
      </c>
      <c r="AN42" s="124">
        <v>0.35469200897437597</v>
      </c>
      <c r="AO42" s="122">
        <v>0.35172611077960964</v>
      </c>
      <c r="AP42" s="124">
        <v>0.34947090661771207</v>
      </c>
      <c r="AQ42" s="124">
        <v>0.3479016382313328</v>
      </c>
      <c r="AR42" s="124">
        <v>0.34671002986053057</v>
      </c>
      <c r="AS42" s="92">
        <v>0.34577929901117777</v>
      </c>
      <c r="AT42" s="124">
        <v>0.34501840735826761</v>
      </c>
      <c r="AU42" s="124">
        <v>0.34436862979741617</v>
      </c>
      <c r="AV42" s="124">
        <v>0.34383316015914972</v>
      </c>
      <c r="AW42" s="124">
        <v>0.34333200701663624</v>
      </c>
      <c r="AX42" s="92">
        <v>0.34289851576025709</v>
      </c>
      <c r="AY42" s="125">
        <v>0.34289851576025709</v>
      </c>
    </row>
    <row r="43" spans="1:51" x14ac:dyDescent="0.2">
      <c r="B43" s="71" t="s">
        <v>103</v>
      </c>
      <c r="C43" s="94">
        <f>'Loss Magnitude'!BK47</f>
        <v>0</v>
      </c>
      <c r="D43" s="94">
        <f>'Loss Magnitude'!BL47</f>
        <v>0</v>
      </c>
      <c r="E43" s="94">
        <f>'Loss Magnitude'!BM47</f>
        <v>0</v>
      </c>
      <c r="F43" s="96">
        <f>Proposed_Calc!$AE$12</f>
        <v>0</v>
      </c>
      <c r="G43" s="97" t="s">
        <v>58</v>
      </c>
      <c r="H43" s="98">
        <f t="shared" si="0"/>
        <v>0.46940811209818728</v>
      </c>
      <c r="I43" s="99">
        <f t="shared" si="1"/>
        <v>0</v>
      </c>
      <c r="J43" s="71">
        <f>Proposed_Calc!Z24</f>
        <v>2006</v>
      </c>
      <c r="M43" s="105" t="e">
        <f t="array" ref="M43:U43">TRANSPOSE( MMULT($Z$19:$AH$27,((LN(INDEX($Y$36:$AY$143,9*LOOKUP((D35-C35)/(E35-C35),$X$19:$X$30,$W$19:$W$30)-8,LOOKUP(F35,$Y$35:$AY$35,$Y$34:$AY$34)):INDEX($Y$36:$AY$143,9*LOOKUP((D35-C35)/(E35-C35),$X$19:$X$30,$W$19:$W$30),LOOKUP(F35,$Y$35:$AY$35,$Y$34:$AY$34))/(1-INDEX($Y$36:$AY$143,9*LOOKUP((D35-C35)/(E35-C35),$X$19:$X$30,$W$19:$W$30)-8,LOOKUP(F35,$Y$35:$AY$35,$Y$34:$AY$34)):INDEX($Y$36:$AY$143,9*LOOKUP((D35-C35)/(E35-C35),$X$19:$X$30,$W$19:$W$30),LOOKUP(F35,$Y$35:$AY$35,$Y$34:$AY$34)))))*((INDEX($Y$35:$AY$35,1,LOOKUP(F35,$Y$35:$AY$35,$Y$34:$AY$34)+1)-F35)/(INDEX($Y$35:$AY$35,1,LOOKUP(F35,$Y$35:$AY$35,$Y$34:$AY$34)+1)-INDEX($Y$35:$AY$35,1,LOOKUP(F35,$Y$35:$AY$35,$Y$34:$AY$34))))+(LN(INDEX($Y$36:$AY$143,9*LOOKUP((D35-C35)/(E35-C35),$X$19:$X$30,$W$19:$W$30)-8,LOOKUP(F35,$Y$35:$AY$35,$Y$34:$AY$34)+1):INDEX($Y$36:$AY$143,9*LOOKUP((D35-C35)/(E35-C35),$X$19:$X$30,$W$19:$W$30),LOOKUP(F35,$Y$35:$AY$35,$Y$34:$AY$34)+1)/(1-INDEX($Y$36:$AY$143,9*LOOKUP((D35-C35)/(E35-C35),$X$19:$X$30,$W$19:$W$30)-8,LOOKUP(F35,$Y$35:$AY$35,$Y$34:$AY$34)+1):INDEX($Y$36:$AY$143,9*LOOKUP((D35-C35)/(E35-C35),$X$19:$X$30,$W$19:$W$30),LOOKUP(F35,$Y$35:$AY$35,$Y$34:$AY$34)+1))))*(1-((INDEX($Y$35:$AY$35,1,LOOKUP(F35,$Y$35:$AY$35,$Y$34:$AY$34)+1)-F35)/(INDEX($Y$35:$AY$35,1,LOOKUP(F35,$Y$35:$AY$35,$Y$34:$AY$34)+1)-INDEX($Y$35:$AY$35,1,LOOKUP(F35,$Y$35:$AY$35,$Y$34:$AY$34))))))*((INDEX($X$19:$X$30,LOOKUP((D35-C35)/(E35-C35),$X$19:$X$30,$W$19:$W$30)+1,1)-(D35-C35)/(E35-C35))/(INDEX($X$19:$X$30,LOOKUP((D35-C35)/(E35-C35),$X$19:$X$30,$W$19:$W$30)+1,1)-INDEX($X$19:$X$30,LOOKUP((D35-C35)/(E35-C35),$X$19:$X$30,$W$19:$W$30),1)))+((LN(INDEX($Y$36:$AY$143,9*LOOKUP((D35-C35)/(E35-C35),$X$19:$X$30,$W$19:$W$30)+1,LOOKUP(F35,$Y$35:$AY$35,$Y$34:$AY$34)):INDEX($Y$36:$AY$143,9*LOOKUP((D35-C35)/(E35-C35),$X$19:$X$30,$W$19:$W$30)+9,LOOKUP(F35,$Y$35:$AY$35,$Y$34:$AY$34))/(1-INDEX($Y$36:$AY$143,9*LOOKUP((D35-C35)/(E35-C35),$X$19:$X$30,$W$19:$W$30)+1,LOOKUP(F35,$Y$35:$AY$35,$Y$34:$AY$34)):INDEX($Y$36:$AY$143,9*LOOKUP((D35-C35)/(E35-C35),$X$19:$X$30,$W$19:$W$30)+9,LOOKUP(F35,$Y$35:$AY$35,$Y$34:$AY$34)))))*((INDEX($Y$35:$AY$35,1,LOOKUP(F35,$Y$35:$AY$35,$Y$34:$AY$34)+1)-F35)/(INDEX($Y$35:$AY$35,1,LOOKUP(F35,$Y$35:$AY$35,$Y$34:$AY$34)+1)-INDEX($Y$35:$AY$35,1,LOOKUP(F35,$Y$35:$AY$35,$Y$34:$AY$34))))+(LN(INDEX($Y$36:$AY$143,9*LOOKUP((D35-C35)/(E35-C35),$X$19:$X$30,$W$19:$W$30)+1,LOOKUP(F35,$Y$35:$AY$35,$Y$34:$AY$34)+1):INDEX($Y$36:$AY$143,9*LOOKUP((D35-C35)/(E35-C35),$X$19:$X$30,$W$19:$W$30)+9,LOOKUP(F35,$Y$35:$AY$35,$Y$34:$AY$34)+1)/(1-INDEX($Y$36:$AY$143,9*LOOKUP((D35-C35)/(E35-C35),$X$19:$X$30,$W$19:$W$30)+1,LOOKUP(F35,$Y$35:$AY$35,$Y$34:$AY$34)+1):INDEX($Y$36:$AY$143,9*LOOKUP((D35-C35)/(E35-C35),$X$19:$X$30,$W$19:$W$30)+9,LOOKUP(F35,$Y$35:$AY$35,$Y$34:$AY$34)+1))))*(1-((INDEX($Y$35:$AY$35,1,LOOKUP(F35,$Y$35:$AY$35,$Y$34:$AY$34)+1)-F35)/(INDEX($Y$35:$AY$35,1,LOOKUP(F35,$Y$35:$AY$35,$Y$34:$AY$34)+1)-INDEX($Y$35:$AY$35,1,LOOKUP(F35,$Y$35:$AY$35,$Y$34:$AY$34))))))*(1-(INDEX($X$19:$X$30,LOOKUP((D35-C35)/(E35-C35),$X$19:$X$30,$W$19:$W$30)+1,1)-(D35-C35)/(E35-C35))/(INDEX($X$19:$X$30,LOOKUP((D35-C35)/(E35-C35),$X$19:$X$30,$W$19:$W$30)+1,1)-INDEX($X$19:$X$30,LOOKUP((D35-C35)/(E35-C35),$X$19:$X$30,$W$19:$W$30),1)))) )</f>
        <v>#DIV/0!</v>
      </c>
      <c r="N43" s="105" t="e">
        <v>#DIV/0!</v>
      </c>
      <c r="O43" s="105" t="e">
        <v>#DIV/0!</v>
      </c>
      <c r="P43" s="105" t="e">
        <v>#DIV/0!</v>
      </c>
      <c r="Q43" s="105" t="e">
        <v>#DIV/0!</v>
      </c>
      <c r="R43" s="105" t="e">
        <v>#DIV/0!</v>
      </c>
      <c r="S43" s="105" t="e">
        <v>#DIV/0!</v>
      </c>
      <c r="T43" s="105" t="e">
        <v>#DIV/0!</v>
      </c>
      <c r="U43" s="106" t="e">
        <v>#DIV/0!</v>
      </c>
      <c r="W43" s="122"/>
      <c r="X43" s="123">
        <v>0.99000000000000066</v>
      </c>
      <c r="Y43" s="122">
        <v>0.89996611258868031</v>
      </c>
      <c r="Z43" s="122">
        <v>0.75237690462048901</v>
      </c>
      <c r="AA43" s="124">
        <v>0.67190342306388995</v>
      </c>
      <c r="AB43" s="124">
        <v>0.62516597452886136</v>
      </c>
      <c r="AC43" s="124">
        <v>0.57021720110446261</v>
      </c>
      <c r="AD43" s="92">
        <v>0.53673890602822383</v>
      </c>
      <c r="AE43" s="122">
        <v>0.51473783167237142</v>
      </c>
      <c r="AF43" s="124">
        <v>0.49230162056502597</v>
      </c>
      <c r="AG43" s="124">
        <v>0.4671158546053642</v>
      </c>
      <c r="AH43" s="124">
        <v>0.44638480691455124</v>
      </c>
      <c r="AI43" s="92">
        <v>0.42848759385845747</v>
      </c>
      <c r="AJ43" s="124">
        <v>0.41278301253484651</v>
      </c>
      <c r="AK43" s="124">
        <v>0.39927358443438737</v>
      </c>
      <c r="AL43" s="124">
        <v>0.38838039694967685</v>
      </c>
      <c r="AM43" s="124">
        <v>0.37957459894151024</v>
      </c>
      <c r="AN43" s="124">
        <v>0.37246203026855512</v>
      </c>
      <c r="AO43" s="122">
        <v>0.36697975219582596</v>
      </c>
      <c r="AP43" s="124">
        <v>0.36292020196394953</v>
      </c>
      <c r="AQ43" s="124">
        <v>0.3600395398213202</v>
      </c>
      <c r="AR43" s="124">
        <v>0.35783164569742398</v>
      </c>
      <c r="AS43" s="92">
        <v>0.35611265658988367</v>
      </c>
      <c r="AT43" s="124">
        <v>0.35469915900576821</v>
      </c>
      <c r="AU43" s="124">
        <v>0.35352025389328517</v>
      </c>
      <c r="AV43" s="124">
        <v>0.35254896427894006</v>
      </c>
      <c r="AW43" s="124">
        <v>0.35161594399940627</v>
      </c>
      <c r="AX43" s="92">
        <v>0.35080319733888377</v>
      </c>
      <c r="AY43" s="125">
        <v>0.35080319733888377</v>
      </c>
    </row>
    <row r="44" spans="1:51" x14ac:dyDescent="0.2">
      <c r="B44" s="71" t="s">
        <v>104</v>
      </c>
      <c r="C44" s="94">
        <f>'Loss Magnitude'!BK48</f>
        <v>0</v>
      </c>
      <c r="D44" s="94">
        <f>'Loss Magnitude'!BL48</f>
        <v>0</v>
      </c>
      <c r="E44" s="94">
        <f>'Loss Magnitude'!BM48</f>
        <v>75</v>
      </c>
      <c r="F44" s="96">
        <f>Proposed_Calc!$AE$12</f>
        <v>0</v>
      </c>
      <c r="G44" s="97" t="s">
        <v>58</v>
      </c>
      <c r="H44" s="98">
        <f t="shared" si="0"/>
        <v>0.60942397504552448</v>
      </c>
      <c r="I44" s="99" t="e">
        <f t="shared" si="1"/>
        <v>#N/A</v>
      </c>
      <c r="J44" s="71">
        <f>Proposed_Calc!Z25</f>
        <v>2007</v>
      </c>
      <c r="M44" s="105" t="e">
        <f t="array" ref="M44:U44">TRANSPOSE( MMULT($Z$19:$AH$27,((LN(INDEX($Y$36:$AY$143,9*LOOKUP((D36-C36)/(E36-C36),$X$19:$X$30,$W$19:$W$30)-8,LOOKUP(F36,$Y$35:$AY$35,$Y$34:$AY$34)):INDEX($Y$36:$AY$143,9*LOOKUP((D36-C36)/(E36-C36),$X$19:$X$30,$W$19:$W$30),LOOKUP(F36,$Y$35:$AY$35,$Y$34:$AY$34))/(1-INDEX($Y$36:$AY$143,9*LOOKUP((D36-C36)/(E36-C36),$X$19:$X$30,$W$19:$W$30)-8,LOOKUP(F36,$Y$35:$AY$35,$Y$34:$AY$34)):INDEX($Y$36:$AY$143,9*LOOKUP((D36-C36)/(E36-C36),$X$19:$X$30,$W$19:$W$30),LOOKUP(F36,$Y$35:$AY$35,$Y$34:$AY$34)))))*((INDEX($Y$35:$AY$35,1,LOOKUP(F36,$Y$35:$AY$35,$Y$34:$AY$34)+1)-F36)/(INDEX($Y$35:$AY$35,1,LOOKUP(F36,$Y$35:$AY$35,$Y$34:$AY$34)+1)-INDEX($Y$35:$AY$35,1,LOOKUP(F36,$Y$35:$AY$35,$Y$34:$AY$34))))+(LN(INDEX($Y$36:$AY$143,9*LOOKUP((D36-C36)/(E36-C36),$X$19:$X$30,$W$19:$W$30)-8,LOOKUP(F36,$Y$35:$AY$35,$Y$34:$AY$34)+1):INDEX($Y$36:$AY$143,9*LOOKUP((D36-C36)/(E36-C36),$X$19:$X$30,$W$19:$W$30),LOOKUP(F36,$Y$35:$AY$35,$Y$34:$AY$34)+1)/(1-INDEX($Y$36:$AY$143,9*LOOKUP((D36-C36)/(E36-C36),$X$19:$X$30,$W$19:$W$30)-8,LOOKUP(F36,$Y$35:$AY$35,$Y$34:$AY$34)+1):INDEX($Y$36:$AY$143,9*LOOKUP((D36-C36)/(E36-C36),$X$19:$X$30,$W$19:$W$30),LOOKUP(F36,$Y$35:$AY$35,$Y$34:$AY$34)+1))))*(1-((INDEX($Y$35:$AY$35,1,LOOKUP(F36,$Y$35:$AY$35,$Y$34:$AY$34)+1)-F36)/(INDEX($Y$35:$AY$35,1,LOOKUP(F36,$Y$35:$AY$35,$Y$34:$AY$34)+1)-INDEX($Y$35:$AY$35,1,LOOKUP(F36,$Y$35:$AY$35,$Y$34:$AY$34))))))*((INDEX($X$19:$X$30,LOOKUP((D36-C36)/(E36-C36),$X$19:$X$30,$W$19:$W$30)+1,1)-(D36-C36)/(E36-C36))/(INDEX($X$19:$X$30,LOOKUP((D36-C36)/(E36-C36),$X$19:$X$30,$W$19:$W$30)+1,1)-INDEX($X$19:$X$30,LOOKUP((D36-C36)/(E36-C36),$X$19:$X$30,$W$19:$W$30),1)))+((LN(INDEX($Y$36:$AY$143,9*LOOKUP((D36-C36)/(E36-C36),$X$19:$X$30,$W$19:$W$30)+1,LOOKUP(F36,$Y$35:$AY$35,$Y$34:$AY$34)):INDEX($Y$36:$AY$143,9*LOOKUP((D36-C36)/(E36-C36),$X$19:$X$30,$W$19:$W$30)+9,LOOKUP(F36,$Y$35:$AY$35,$Y$34:$AY$34))/(1-INDEX($Y$36:$AY$143,9*LOOKUP((D36-C36)/(E36-C36),$X$19:$X$30,$W$19:$W$30)+1,LOOKUP(F36,$Y$35:$AY$35,$Y$34:$AY$34)):INDEX($Y$36:$AY$143,9*LOOKUP((D36-C36)/(E36-C36),$X$19:$X$30,$W$19:$W$30)+9,LOOKUP(F36,$Y$35:$AY$35,$Y$34:$AY$34)))))*((INDEX($Y$35:$AY$35,1,LOOKUP(F36,$Y$35:$AY$35,$Y$34:$AY$34)+1)-F36)/(INDEX($Y$35:$AY$35,1,LOOKUP(F36,$Y$35:$AY$35,$Y$34:$AY$34)+1)-INDEX($Y$35:$AY$35,1,LOOKUP(F36,$Y$35:$AY$35,$Y$34:$AY$34))))+(LN(INDEX($Y$36:$AY$143,9*LOOKUP((D36-C36)/(E36-C36),$X$19:$X$30,$W$19:$W$30)+1,LOOKUP(F36,$Y$35:$AY$35,$Y$34:$AY$34)+1):INDEX($Y$36:$AY$143,9*LOOKUP((D36-C36)/(E36-C36),$X$19:$X$30,$W$19:$W$30)+9,LOOKUP(F36,$Y$35:$AY$35,$Y$34:$AY$34)+1)/(1-INDEX($Y$36:$AY$143,9*LOOKUP((D36-C36)/(E36-C36),$X$19:$X$30,$W$19:$W$30)+1,LOOKUP(F36,$Y$35:$AY$35,$Y$34:$AY$34)+1):INDEX($Y$36:$AY$143,9*LOOKUP((D36-C36)/(E36-C36),$X$19:$X$30,$W$19:$W$30)+9,LOOKUP(F36,$Y$35:$AY$35,$Y$34:$AY$34)+1))))*(1-((INDEX($Y$35:$AY$35,1,LOOKUP(F36,$Y$35:$AY$35,$Y$34:$AY$34)+1)-F36)/(INDEX($Y$35:$AY$35,1,LOOKUP(F36,$Y$35:$AY$35,$Y$34:$AY$34)+1)-INDEX($Y$35:$AY$35,1,LOOKUP(F36,$Y$35:$AY$35,$Y$34:$AY$34))))))*(1-(INDEX($X$19:$X$30,LOOKUP((D36-C36)/(E36-C36),$X$19:$X$30,$W$19:$W$30)+1,1)-(D36-C36)/(E36-C36))/(INDEX($X$19:$X$30,LOOKUP((D36-C36)/(E36-C36),$X$19:$X$30,$W$19:$W$30)+1,1)-INDEX($X$19:$X$30,LOOKUP((D36-C36)/(E36-C36),$X$19:$X$30,$W$19:$W$30),1)))) )</f>
        <v>#DIV/0!</v>
      </c>
      <c r="N44" s="105" t="e">
        <v>#DIV/0!</v>
      </c>
      <c r="O44" s="105" t="e">
        <v>#DIV/0!</v>
      </c>
      <c r="P44" s="105" t="e">
        <v>#DIV/0!</v>
      </c>
      <c r="Q44" s="105" t="e">
        <v>#DIV/0!</v>
      </c>
      <c r="R44" s="105" t="e">
        <v>#DIV/0!</v>
      </c>
      <c r="S44" s="105" t="e">
        <v>#DIV/0!</v>
      </c>
      <c r="T44" s="105" t="e">
        <v>#DIV/0!</v>
      </c>
      <c r="U44" s="106" t="e">
        <v>#DIV/0!</v>
      </c>
      <c r="W44" s="126"/>
      <c r="X44" s="127">
        <v>0.999</v>
      </c>
      <c r="Y44" s="126">
        <v>0.96852607932739265</v>
      </c>
      <c r="Z44" s="126">
        <v>0.8583742939795822</v>
      </c>
      <c r="AA44" s="128">
        <v>0.77677894374854117</v>
      </c>
      <c r="AB44" s="128">
        <v>0.71864961031004837</v>
      </c>
      <c r="AC44" s="128">
        <v>0.64830233530719583</v>
      </c>
      <c r="AD44" s="100">
        <v>0.60549883187846765</v>
      </c>
      <c r="AE44" s="126">
        <v>0.57579324637672025</v>
      </c>
      <c r="AF44" s="128">
        <v>0.54588789535319404</v>
      </c>
      <c r="AG44" s="128">
        <v>0.51262727057997526</v>
      </c>
      <c r="AH44" s="128">
        <v>0.48513480802433956</v>
      </c>
      <c r="AI44" s="100">
        <v>0.46046889510836908</v>
      </c>
      <c r="AJ44" s="128">
        <v>0.43927911823919652</v>
      </c>
      <c r="AK44" s="128">
        <v>0.42138563381655075</v>
      </c>
      <c r="AL44" s="128">
        <v>0.40680831311651239</v>
      </c>
      <c r="AM44" s="128">
        <v>0.39506419916620106</v>
      </c>
      <c r="AN44" s="128">
        <v>0.3855696927262543</v>
      </c>
      <c r="AO44" s="126">
        <v>0.37840408489415189</v>
      </c>
      <c r="AP44" s="128">
        <v>0.37278559432249825</v>
      </c>
      <c r="AQ44" s="128">
        <v>0.36894386312035599</v>
      </c>
      <c r="AR44" s="128">
        <v>0.36598572718345102</v>
      </c>
      <c r="AS44" s="100">
        <v>0.36370666224271736</v>
      </c>
      <c r="AT44" s="128">
        <v>0.36174533706461343</v>
      </c>
      <c r="AU44" s="128">
        <v>0.36022410836612734</v>
      </c>
      <c r="AV44" s="128">
        <v>0.35877412715149382</v>
      </c>
      <c r="AW44" s="128">
        <v>0.35756087714441015</v>
      </c>
      <c r="AX44" s="100">
        <v>0.35644777823761364</v>
      </c>
      <c r="AY44" s="129">
        <v>0.35644777823761364</v>
      </c>
    </row>
    <row r="45" spans="1:51" x14ac:dyDescent="0.2">
      <c r="B45" s="211" t="s">
        <v>142</v>
      </c>
      <c r="C45" s="94">
        <f>'Loss Magnitude'!H4</f>
        <v>1</v>
      </c>
      <c r="D45" s="94">
        <f>'Loss Magnitude'!I4</f>
        <v>26</v>
      </c>
      <c r="E45" s="94">
        <f>'Loss Magnitude'!J4</f>
        <v>185</v>
      </c>
      <c r="F45" s="96">
        <f>Current_Calc!$L$12</f>
        <v>2</v>
      </c>
      <c r="G45" s="97" t="s">
        <v>58</v>
      </c>
      <c r="H45" s="98">
        <f t="shared" si="0"/>
        <v>0.30234536519383332</v>
      </c>
      <c r="I45" s="99">
        <f t="shared" si="1"/>
        <v>106.13151616017062</v>
      </c>
      <c r="J45" s="71">
        <f>Current_Calc!G13</f>
        <v>1011</v>
      </c>
      <c r="M45" s="105" t="e">
        <f t="array" ref="M45:U45">TRANSPOSE( MMULT($Z$19:$AH$27,((LN(INDEX($Y$36:$AY$143,9*LOOKUP((D37-C37)/(E37-C37),$X$19:$X$30,$W$19:$W$30)-8,LOOKUP(F37,$Y$35:$AY$35,$Y$34:$AY$34)):INDEX($Y$36:$AY$143,9*LOOKUP((D37-C37)/(E37-C37),$X$19:$X$30,$W$19:$W$30),LOOKUP(F37,$Y$35:$AY$35,$Y$34:$AY$34))/(1-INDEX($Y$36:$AY$143,9*LOOKUP((D37-C37)/(E37-C37),$X$19:$X$30,$W$19:$W$30)-8,LOOKUP(F37,$Y$35:$AY$35,$Y$34:$AY$34)):INDEX($Y$36:$AY$143,9*LOOKUP((D37-C37)/(E37-C37),$X$19:$X$30,$W$19:$W$30),LOOKUP(F37,$Y$35:$AY$35,$Y$34:$AY$34)))))*((INDEX($Y$35:$AY$35,1,LOOKUP(F37,$Y$35:$AY$35,$Y$34:$AY$34)+1)-F37)/(INDEX($Y$35:$AY$35,1,LOOKUP(F37,$Y$35:$AY$35,$Y$34:$AY$34)+1)-INDEX($Y$35:$AY$35,1,LOOKUP(F37,$Y$35:$AY$35,$Y$34:$AY$34))))+(LN(INDEX($Y$36:$AY$143,9*LOOKUP((D37-C37)/(E37-C37),$X$19:$X$30,$W$19:$W$30)-8,LOOKUP(F37,$Y$35:$AY$35,$Y$34:$AY$34)+1):INDEX($Y$36:$AY$143,9*LOOKUP((D37-C37)/(E37-C37),$X$19:$X$30,$W$19:$W$30),LOOKUP(F37,$Y$35:$AY$35,$Y$34:$AY$34)+1)/(1-INDEX($Y$36:$AY$143,9*LOOKUP((D37-C37)/(E37-C37),$X$19:$X$30,$W$19:$W$30)-8,LOOKUP(F37,$Y$35:$AY$35,$Y$34:$AY$34)+1):INDEX($Y$36:$AY$143,9*LOOKUP((D37-C37)/(E37-C37),$X$19:$X$30,$W$19:$W$30),LOOKUP(F37,$Y$35:$AY$35,$Y$34:$AY$34)+1))))*(1-((INDEX($Y$35:$AY$35,1,LOOKUP(F37,$Y$35:$AY$35,$Y$34:$AY$34)+1)-F37)/(INDEX($Y$35:$AY$35,1,LOOKUP(F37,$Y$35:$AY$35,$Y$34:$AY$34)+1)-INDEX($Y$35:$AY$35,1,LOOKUP(F37,$Y$35:$AY$35,$Y$34:$AY$34))))))*((INDEX($X$19:$X$30,LOOKUP((D37-C37)/(E37-C37),$X$19:$X$30,$W$19:$W$30)+1,1)-(D37-C37)/(E37-C37))/(INDEX($X$19:$X$30,LOOKUP((D37-C37)/(E37-C37),$X$19:$X$30,$W$19:$W$30)+1,1)-INDEX($X$19:$X$30,LOOKUP((D37-C37)/(E37-C37),$X$19:$X$30,$W$19:$W$30),1)))+((LN(INDEX($Y$36:$AY$143,9*LOOKUP((D37-C37)/(E37-C37),$X$19:$X$30,$W$19:$W$30)+1,LOOKUP(F37,$Y$35:$AY$35,$Y$34:$AY$34)):INDEX($Y$36:$AY$143,9*LOOKUP((D37-C37)/(E37-C37),$X$19:$X$30,$W$19:$W$30)+9,LOOKUP(F37,$Y$35:$AY$35,$Y$34:$AY$34))/(1-INDEX($Y$36:$AY$143,9*LOOKUP((D37-C37)/(E37-C37),$X$19:$X$30,$W$19:$W$30)+1,LOOKUP(F37,$Y$35:$AY$35,$Y$34:$AY$34)):INDEX($Y$36:$AY$143,9*LOOKUP((D37-C37)/(E37-C37),$X$19:$X$30,$W$19:$W$30)+9,LOOKUP(F37,$Y$35:$AY$35,$Y$34:$AY$34)))))*((INDEX($Y$35:$AY$35,1,LOOKUP(F37,$Y$35:$AY$35,$Y$34:$AY$34)+1)-F37)/(INDEX($Y$35:$AY$35,1,LOOKUP(F37,$Y$35:$AY$35,$Y$34:$AY$34)+1)-INDEX($Y$35:$AY$35,1,LOOKUP(F37,$Y$35:$AY$35,$Y$34:$AY$34))))+(LN(INDEX($Y$36:$AY$143,9*LOOKUP((D37-C37)/(E37-C37),$X$19:$X$30,$W$19:$W$30)+1,LOOKUP(F37,$Y$35:$AY$35,$Y$34:$AY$34)+1):INDEX($Y$36:$AY$143,9*LOOKUP((D37-C37)/(E37-C37),$X$19:$X$30,$W$19:$W$30)+9,LOOKUP(F37,$Y$35:$AY$35,$Y$34:$AY$34)+1)/(1-INDEX($Y$36:$AY$143,9*LOOKUP((D37-C37)/(E37-C37),$X$19:$X$30,$W$19:$W$30)+1,LOOKUP(F37,$Y$35:$AY$35,$Y$34:$AY$34)+1):INDEX($Y$36:$AY$143,9*LOOKUP((D37-C37)/(E37-C37),$X$19:$X$30,$W$19:$W$30)+9,LOOKUP(F37,$Y$35:$AY$35,$Y$34:$AY$34)+1))))*(1-((INDEX($Y$35:$AY$35,1,LOOKUP(F37,$Y$35:$AY$35,$Y$34:$AY$34)+1)-F37)/(INDEX($Y$35:$AY$35,1,LOOKUP(F37,$Y$35:$AY$35,$Y$34:$AY$34)+1)-INDEX($Y$35:$AY$35,1,LOOKUP(F37,$Y$35:$AY$35,$Y$34:$AY$34))))))*(1-(INDEX($X$19:$X$30,LOOKUP((D37-C37)/(E37-C37),$X$19:$X$30,$W$19:$W$30)+1,1)-(D37-C37)/(E37-C37))/(INDEX($X$19:$X$30,LOOKUP((D37-C37)/(E37-C37),$X$19:$X$30,$W$19:$W$30)+1,1)-INDEX($X$19:$X$30,LOOKUP((D37-C37)/(E37-C37),$X$19:$X$30,$W$19:$W$30),1)))) )</f>
        <v>#DIV/0!</v>
      </c>
      <c r="N45" s="105" t="e">
        <v>#DIV/0!</v>
      </c>
      <c r="O45" s="105" t="e">
        <v>#DIV/0!</v>
      </c>
      <c r="P45" s="105" t="e">
        <v>#DIV/0!</v>
      </c>
      <c r="Q45" s="105" t="e">
        <v>#DIV/0!</v>
      </c>
      <c r="R45" s="105" t="e">
        <v>#DIV/0!</v>
      </c>
      <c r="S45" s="105" t="e">
        <v>#DIV/0!</v>
      </c>
      <c r="T45" s="105" t="e">
        <v>#DIV/0!</v>
      </c>
      <c r="U45" s="106" t="e">
        <v>#DIV/0!</v>
      </c>
      <c r="W45" s="118"/>
      <c r="X45" s="119">
        <v>1E-3</v>
      </c>
      <c r="Y45" s="118">
        <v>9.9529276220898574E-3</v>
      </c>
      <c r="Z45" s="118">
        <v>4.4785980625394448E-2</v>
      </c>
      <c r="AA45" s="120">
        <v>7.171330346644153E-2</v>
      </c>
      <c r="AB45" s="120">
        <v>9.4025338724872065E-2</v>
      </c>
      <c r="AC45" s="120">
        <v>0.12823472520976528</v>
      </c>
      <c r="AD45" s="83">
        <v>0.15284839990773699</v>
      </c>
      <c r="AE45" s="118">
        <v>0.17185378687954089</v>
      </c>
      <c r="AF45" s="120">
        <v>0.19166523823796208</v>
      </c>
      <c r="AG45" s="120">
        <v>0.21612155804819327</v>
      </c>
      <c r="AH45" s="120">
        <v>0.2369387650971542</v>
      </c>
      <c r="AI45" s="83">
        <v>0.25571436270042758</v>
      </c>
      <c r="AJ45" s="120">
        <v>0.27279550231216548</v>
      </c>
      <c r="AK45" s="120">
        <v>0.28766650847091729</v>
      </c>
      <c r="AL45" s="120">
        <v>0.30001669525622204</v>
      </c>
      <c r="AM45" s="120">
        <v>0.31021677433730699</v>
      </c>
      <c r="AN45" s="120">
        <v>0.31882046017652554</v>
      </c>
      <c r="AO45" s="118">
        <v>0.32524013466086615</v>
      </c>
      <c r="AP45" s="120">
        <v>0.3300237285833742</v>
      </c>
      <c r="AQ45" s="120">
        <v>0.33349433850726273</v>
      </c>
      <c r="AR45" s="120">
        <v>0.33629208081703238</v>
      </c>
      <c r="AS45" s="83">
        <v>0.33834830873426619</v>
      </c>
      <c r="AT45" s="120">
        <v>0.33993279499868467</v>
      </c>
      <c r="AU45" s="120">
        <v>0.34153289329775932</v>
      </c>
      <c r="AV45" s="120">
        <v>0.34287161400956251</v>
      </c>
      <c r="AW45" s="120">
        <v>0.34393186903604028</v>
      </c>
      <c r="AX45" s="83">
        <v>0.34489891355903757</v>
      </c>
      <c r="AY45" s="121">
        <v>0.34489891355903757</v>
      </c>
    </row>
    <row r="46" spans="1:51" x14ac:dyDescent="0.2">
      <c r="B46" s="211" t="s">
        <v>143</v>
      </c>
      <c r="C46" s="216">
        <f>IF('Loss Magnitude'!H5="",'Loss Magnitude'!H4,'Loss Magnitude'!H5)</f>
        <v>1</v>
      </c>
      <c r="D46" s="216">
        <f>IF('Loss Magnitude'!I5="",'Loss Magnitude'!I4,'Loss Magnitude'!I5)</f>
        <v>26</v>
      </c>
      <c r="E46" s="216">
        <f>IF('Loss Magnitude'!J5="",'Loss Magnitude'!J4,'Loss Magnitude'!J5)</f>
        <v>185</v>
      </c>
      <c r="F46" s="96">
        <f>Proposed_Calc!$L$12</f>
        <v>2</v>
      </c>
      <c r="G46" s="97" t="s">
        <v>58</v>
      </c>
      <c r="H46" s="98">
        <f t="shared" si="0"/>
        <v>0.30234536519383332</v>
      </c>
      <c r="I46" s="99">
        <f t="shared" si="1"/>
        <v>106.13151616017062</v>
      </c>
      <c r="J46" s="71">
        <f>J45</f>
        <v>1011</v>
      </c>
      <c r="M46" s="105" t="e">
        <f t="array" ref="M46:U46">TRANSPOSE( MMULT($Z$19:$AH$27,((LN(INDEX($Y$36:$AY$143,9*LOOKUP((D38-C38)/(E38-C38),$X$19:$X$30,$W$19:$W$30)-8,LOOKUP(F38,$Y$35:$AY$35,$Y$34:$AY$34)):INDEX($Y$36:$AY$143,9*LOOKUP((D38-C38)/(E38-C38),$X$19:$X$30,$W$19:$W$30),LOOKUP(F38,$Y$35:$AY$35,$Y$34:$AY$34))/(1-INDEX($Y$36:$AY$143,9*LOOKUP((D38-C38)/(E38-C38),$X$19:$X$30,$W$19:$W$30)-8,LOOKUP(F38,$Y$35:$AY$35,$Y$34:$AY$34)):INDEX($Y$36:$AY$143,9*LOOKUP((D38-C38)/(E38-C38),$X$19:$X$30,$W$19:$W$30),LOOKUP(F38,$Y$35:$AY$35,$Y$34:$AY$34)))))*((INDEX($Y$35:$AY$35,1,LOOKUP(F38,$Y$35:$AY$35,$Y$34:$AY$34)+1)-F38)/(INDEX($Y$35:$AY$35,1,LOOKUP(F38,$Y$35:$AY$35,$Y$34:$AY$34)+1)-INDEX($Y$35:$AY$35,1,LOOKUP(F38,$Y$35:$AY$35,$Y$34:$AY$34))))+(LN(INDEX($Y$36:$AY$143,9*LOOKUP((D38-C38)/(E38-C38),$X$19:$X$30,$W$19:$W$30)-8,LOOKUP(F38,$Y$35:$AY$35,$Y$34:$AY$34)+1):INDEX($Y$36:$AY$143,9*LOOKUP((D38-C38)/(E38-C38),$X$19:$X$30,$W$19:$W$30),LOOKUP(F38,$Y$35:$AY$35,$Y$34:$AY$34)+1)/(1-INDEX($Y$36:$AY$143,9*LOOKUP((D38-C38)/(E38-C38),$X$19:$X$30,$W$19:$W$30)-8,LOOKUP(F38,$Y$35:$AY$35,$Y$34:$AY$34)+1):INDEX($Y$36:$AY$143,9*LOOKUP((D38-C38)/(E38-C38),$X$19:$X$30,$W$19:$W$30),LOOKUP(F38,$Y$35:$AY$35,$Y$34:$AY$34)+1))))*(1-((INDEX($Y$35:$AY$35,1,LOOKUP(F38,$Y$35:$AY$35,$Y$34:$AY$34)+1)-F38)/(INDEX($Y$35:$AY$35,1,LOOKUP(F38,$Y$35:$AY$35,$Y$34:$AY$34)+1)-INDEX($Y$35:$AY$35,1,LOOKUP(F38,$Y$35:$AY$35,$Y$34:$AY$34))))))*((INDEX($X$19:$X$30,LOOKUP((D38-C38)/(E38-C38),$X$19:$X$30,$W$19:$W$30)+1,1)-(D38-C38)/(E38-C38))/(INDEX($X$19:$X$30,LOOKUP((D38-C38)/(E38-C38),$X$19:$X$30,$W$19:$W$30)+1,1)-INDEX($X$19:$X$30,LOOKUP((D38-C38)/(E38-C38),$X$19:$X$30,$W$19:$W$30),1)))+((LN(INDEX($Y$36:$AY$143,9*LOOKUP((D38-C38)/(E38-C38),$X$19:$X$30,$W$19:$W$30)+1,LOOKUP(F38,$Y$35:$AY$35,$Y$34:$AY$34)):INDEX($Y$36:$AY$143,9*LOOKUP((D38-C38)/(E38-C38),$X$19:$X$30,$W$19:$W$30)+9,LOOKUP(F38,$Y$35:$AY$35,$Y$34:$AY$34))/(1-INDEX($Y$36:$AY$143,9*LOOKUP((D38-C38)/(E38-C38),$X$19:$X$30,$W$19:$W$30)+1,LOOKUP(F38,$Y$35:$AY$35,$Y$34:$AY$34)):INDEX($Y$36:$AY$143,9*LOOKUP((D38-C38)/(E38-C38),$X$19:$X$30,$W$19:$W$30)+9,LOOKUP(F38,$Y$35:$AY$35,$Y$34:$AY$34)))))*((INDEX($Y$35:$AY$35,1,LOOKUP(F38,$Y$35:$AY$35,$Y$34:$AY$34)+1)-F38)/(INDEX($Y$35:$AY$35,1,LOOKUP(F38,$Y$35:$AY$35,$Y$34:$AY$34)+1)-INDEX($Y$35:$AY$35,1,LOOKUP(F38,$Y$35:$AY$35,$Y$34:$AY$34))))+(LN(INDEX($Y$36:$AY$143,9*LOOKUP((D38-C38)/(E38-C38),$X$19:$X$30,$W$19:$W$30)+1,LOOKUP(F38,$Y$35:$AY$35,$Y$34:$AY$34)+1):INDEX($Y$36:$AY$143,9*LOOKUP((D38-C38)/(E38-C38),$X$19:$X$30,$W$19:$W$30)+9,LOOKUP(F38,$Y$35:$AY$35,$Y$34:$AY$34)+1)/(1-INDEX($Y$36:$AY$143,9*LOOKUP((D38-C38)/(E38-C38),$X$19:$X$30,$W$19:$W$30)+1,LOOKUP(F38,$Y$35:$AY$35,$Y$34:$AY$34)+1):INDEX($Y$36:$AY$143,9*LOOKUP((D38-C38)/(E38-C38),$X$19:$X$30,$W$19:$W$30)+9,LOOKUP(F38,$Y$35:$AY$35,$Y$34:$AY$34)+1))))*(1-((INDEX($Y$35:$AY$35,1,LOOKUP(F38,$Y$35:$AY$35,$Y$34:$AY$34)+1)-F38)/(INDEX($Y$35:$AY$35,1,LOOKUP(F38,$Y$35:$AY$35,$Y$34:$AY$34)+1)-INDEX($Y$35:$AY$35,1,LOOKUP(F38,$Y$35:$AY$35,$Y$34:$AY$34))))))*(1-(INDEX($X$19:$X$30,LOOKUP((D38-C38)/(E38-C38),$X$19:$X$30,$W$19:$W$30)+1,1)-(D38-C38)/(E38-C38))/(INDEX($X$19:$X$30,LOOKUP((D38-C38)/(E38-C38),$X$19:$X$30,$W$19:$W$30)+1,1)-INDEX($X$19:$X$30,LOOKUP((D38-C38)/(E38-C38),$X$19:$X$30,$W$19:$W$30),1)))) )</f>
        <v>#DIV/0!</v>
      </c>
      <c r="N46" s="105" t="e">
        <v>#DIV/0!</v>
      </c>
      <c r="O46" s="105" t="e">
        <v>#DIV/0!</v>
      </c>
      <c r="P46" s="105" t="e">
        <v>#DIV/0!</v>
      </c>
      <c r="Q46" s="105" t="e">
        <v>#DIV/0!</v>
      </c>
      <c r="R46" s="105" t="e">
        <v>#DIV/0!</v>
      </c>
      <c r="S46" s="105" t="e">
        <v>#DIV/0!</v>
      </c>
      <c r="T46" s="105" t="e">
        <v>#DIV/0!</v>
      </c>
      <c r="U46" s="106" t="e">
        <v>#DIV/0!</v>
      </c>
      <c r="W46" s="122"/>
      <c r="X46" s="123">
        <v>0.01</v>
      </c>
      <c r="Y46" s="122">
        <v>3.1633492742061516E-2</v>
      </c>
      <c r="Z46" s="122">
        <v>7.9128106097294482E-2</v>
      </c>
      <c r="AA46" s="124">
        <v>0.11259212637857054</v>
      </c>
      <c r="AB46" s="124">
        <v>0.137786583276474</v>
      </c>
      <c r="AC46" s="124">
        <v>0.17279494494660871</v>
      </c>
      <c r="AD46" s="92">
        <v>0.19596502114792766</v>
      </c>
      <c r="AE46" s="122">
        <v>0.2122567270932072</v>
      </c>
      <c r="AF46" s="124">
        <v>0.22963704252364267</v>
      </c>
      <c r="AG46" s="124">
        <v>0.24939060476454367</v>
      </c>
      <c r="AH46" s="124">
        <v>0.26630176067540356</v>
      </c>
      <c r="AI46" s="92">
        <v>0.28109777315334333</v>
      </c>
      <c r="AJ46" s="124">
        <v>0.29459032278254155</v>
      </c>
      <c r="AK46" s="124">
        <v>0.30653460079025424</v>
      </c>
      <c r="AL46" s="124">
        <v>0.3159927147973256</v>
      </c>
      <c r="AM46" s="124">
        <v>0.32374811778655277</v>
      </c>
      <c r="AN46" s="124">
        <v>0.33029504882111338</v>
      </c>
      <c r="AO46" s="122">
        <v>0.33518535279585798</v>
      </c>
      <c r="AP46" s="124">
        <v>0.33898408090693488</v>
      </c>
      <c r="AQ46" s="124">
        <v>0.34163932151039461</v>
      </c>
      <c r="AR46" s="124">
        <v>0.34369077451056412</v>
      </c>
      <c r="AS46" s="92">
        <v>0.34527494422371635</v>
      </c>
      <c r="AT46" s="124">
        <v>0.34654478306206815</v>
      </c>
      <c r="AU46" s="124">
        <v>0.34766698628591092</v>
      </c>
      <c r="AV46" s="124">
        <v>0.34862432053392339</v>
      </c>
      <c r="AW46" s="124">
        <v>0.3494686262510095</v>
      </c>
      <c r="AX46" s="92">
        <v>0.3502310065823005</v>
      </c>
      <c r="AY46" s="125">
        <v>0.3502310065823005</v>
      </c>
    </row>
    <row r="47" spans="1:51" x14ac:dyDescent="0.2">
      <c r="B47" s="71">
        <v>27</v>
      </c>
      <c r="C47" s="94">
        <v>0</v>
      </c>
      <c r="D47" s="95">
        <v>10</v>
      </c>
      <c r="E47" s="95">
        <v>10</v>
      </c>
      <c r="F47" s="96"/>
      <c r="G47" s="97" t="s">
        <v>58</v>
      </c>
      <c r="H47" s="98">
        <f t="shared" si="0"/>
        <v>0.56949394199507963</v>
      </c>
      <c r="I47" s="99" t="e">
        <f t="shared" si="1"/>
        <v>#N/A</v>
      </c>
      <c r="J47" s="71">
        <f>Current_Calc!AF29</f>
        <v>2008</v>
      </c>
      <c r="M47" s="105" t="e">
        <f t="array" ref="M47:U47">TRANSPOSE( MMULT($Z$19:$AH$27,((LN(INDEX($Y$36:$AY$143,9*LOOKUP((D39-C39)/(E39-C39),$X$19:$X$30,$W$19:$W$30)-8,LOOKUP(F39,$Y$35:$AY$35,$Y$34:$AY$34)):INDEX($Y$36:$AY$143,9*LOOKUP((D39-C39)/(E39-C39),$X$19:$X$30,$W$19:$W$30),LOOKUP(F39,$Y$35:$AY$35,$Y$34:$AY$34))/(1-INDEX($Y$36:$AY$143,9*LOOKUP((D39-C39)/(E39-C39),$X$19:$X$30,$W$19:$W$30)-8,LOOKUP(F39,$Y$35:$AY$35,$Y$34:$AY$34)):INDEX($Y$36:$AY$143,9*LOOKUP((D39-C39)/(E39-C39),$X$19:$X$30,$W$19:$W$30),LOOKUP(F39,$Y$35:$AY$35,$Y$34:$AY$34)))))*((INDEX($Y$35:$AY$35,1,LOOKUP(F39,$Y$35:$AY$35,$Y$34:$AY$34)+1)-F39)/(INDEX($Y$35:$AY$35,1,LOOKUP(F39,$Y$35:$AY$35,$Y$34:$AY$34)+1)-INDEX($Y$35:$AY$35,1,LOOKUP(F39,$Y$35:$AY$35,$Y$34:$AY$34))))+(LN(INDEX($Y$36:$AY$143,9*LOOKUP((D39-C39)/(E39-C39),$X$19:$X$30,$W$19:$W$30)-8,LOOKUP(F39,$Y$35:$AY$35,$Y$34:$AY$34)+1):INDEX($Y$36:$AY$143,9*LOOKUP((D39-C39)/(E39-C39),$X$19:$X$30,$W$19:$W$30),LOOKUP(F39,$Y$35:$AY$35,$Y$34:$AY$34)+1)/(1-INDEX($Y$36:$AY$143,9*LOOKUP((D39-C39)/(E39-C39),$X$19:$X$30,$W$19:$W$30)-8,LOOKUP(F39,$Y$35:$AY$35,$Y$34:$AY$34)+1):INDEX($Y$36:$AY$143,9*LOOKUP((D39-C39)/(E39-C39),$X$19:$X$30,$W$19:$W$30),LOOKUP(F39,$Y$35:$AY$35,$Y$34:$AY$34)+1))))*(1-((INDEX($Y$35:$AY$35,1,LOOKUP(F39,$Y$35:$AY$35,$Y$34:$AY$34)+1)-F39)/(INDEX($Y$35:$AY$35,1,LOOKUP(F39,$Y$35:$AY$35,$Y$34:$AY$34)+1)-INDEX($Y$35:$AY$35,1,LOOKUP(F39,$Y$35:$AY$35,$Y$34:$AY$34))))))*((INDEX($X$19:$X$30,LOOKUP((D39-C39)/(E39-C39),$X$19:$X$30,$W$19:$W$30)+1,1)-(D39-C39)/(E39-C39))/(INDEX($X$19:$X$30,LOOKUP((D39-C39)/(E39-C39),$X$19:$X$30,$W$19:$W$30)+1,1)-INDEX($X$19:$X$30,LOOKUP((D39-C39)/(E39-C39),$X$19:$X$30,$W$19:$W$30),1)))+((LN(INDEX($Y$36:$AY$143,9*LOOKUP((D39-C39)/(E39-C39),$X$19:$X$30,$W$19:$W$30)+1,LOOKUP(F39,$Y$35:$AY$35,$Y$34:$AY$34)):INDEX($Y$36:$AY$143,9*LOOKUP((D39-C39)/(E39-C39),$X$19:$X$30,$W$19:$W$30)+9,LOOKUP(F39,$Y$35:$AY$35,$Y$34:$AY$34))/(1-INDEX($Y$36:$AY$143,9*LOOKUP((D39-C39)/(E39-C39),$X$19:$X$30,$W$19:$W$30)+1,LOOKUP(F39,$Y$35:$AY$35,$Y$34:$AY$34)):INDEX($Y$36:$AY$143,9*LOOKUP((D39-C39)/(E39-C39),$X$19:$X$30,$W$19:$W$30)+9,LOOKUP(F39,$Y$35:$AY$35,$Y$34:$AY$34)))))*((INDEX($Y$35:$AY$35,1,LOOKUP(F39,$Y$35:$AY$35,$Y$34:$AY$34)+1)-F39)/(INDEX($Y$35:$AY$35,1,LOOKUP(F39,$Y$35:$AY$35,$Y$34:$AY$34)+1)-INDEX($Y$35:$AY$35,1,LOOKUP(F39,$Y$35:$AY$35,$Y$34:$AY$34))))+(LN(INDEX($Y$36:$AY$143,9*LOOKUP((D39-C39)/(E39-C39),$X$19:$X$30,$W$19:$W$30)+1,LOOKUP(F39,$Y$35:$AY$35,$Y$34:$AY$34)+1):INDEX($Y$36:$AY$143,9*LOOKUP((D39-C39)/(E39-C39),$X$19:$X$30,$W$19:$W$30)+9,LOOKUP(F39,$Y$35:$AY$35,$Y$34:$AY$34)+1)/(1-INDEX($Y$36:$AY$143,9*LOOKUP((D39-C39)/(E39-C39),$X$19:$X$30,$W$19:$W$30)+1,LOOKUP(F39,$Y$35:$AY$35,$Y$34:$AY$34)+1):INDEX($Y$36:$AY$143,9*LOOKUP((D39-C39)/(E39-C39),$X$19:$X$30,$W$19:$W$30)+9,LOOKUP(F39,$Y$35:$AY$35,$Y$34:$AY$34)+1))))*(1-((INDEX($Y$35:$AY$35,1,LOOKUP(F39,$Y$35:$AY$35,$Y$34:$AY$34)+1)-F39)/(INDEX($Y$35:$AY$35,1,LOOKUP(F39,$Y$35:$AY$35,$Y$34:$AY$34)+1)-INDEX($Y$35:$AY$35,1,LOOKUP(F39,$Y$35:$AY$35,$Y$34:$AY$34))))))*(1-(INDEX($X$19:$X$30,LOOKUP((D39-C39)/(E39-C39),$X$19:$X$30,$W$19:$W$30)+1,1)-(D39-C39)/(E39-C39))/(INDEX($X$19:$X$30,LOOKUP((D39-C39)/(E39-C39),$X$19:$X$30,$W$19:$W$30)+1,1)-INDEX($X$19:$X$30,LOOKUP((D39-C39)/(E39-C39),$X$19:$X$30,$W$19:$W$30),1)))) )</f>
        <v>#DIV/0!</v>
      </c>
      <c r="N47" s="105" t="e">
        <v>#DIV/0!</v>
      </c>
      <c r="O47" s="105" t="e">
        <v>#DIV/0!</v>
      </c>
      <c r="P47" s="105" t="e">
        <v>#DIV/0!</v>
      </c>
      <c r="Q47" s="105" t="e">
        <v>#DIV/0!</v>
      </c>
      <c r="R47" s="105" t="e">
        <v>#DIV/0!</v>
      </c>
      <c r="S47" s="105" t="e">
        <v>#DIV/0!</v>
      </c>
      <c r="T47" s="105" t="e">
        <v>#DIV/0!</v>
      </c>
      <c r="U47" s="106" t="e">
        <v>#DIV/0!</v>
      </c>
      <c r="W47" s="122"/>
      <c r="X47" s="123">
        <v>9.9999999999999992E-2</v>
      </c>
      <c r="Y47" s="122">
        <v>9.9894570939642255E-2</v>
      </c>
      <c r="Z47" s="122">
        <v>0.16525878421047646</v>
      </c>
      <c r="AA47" s="124">
        <v>0.201778901948441</v>
      </c>
      <c r="AB47" s="124">
        <v>0.22417729260222216</v>
      </c>
      <c r="AC47" s="124">
        <v>0.25026440193929278</v>
      </c>
      <c r="AD47" s="92">
        <v>0.26586113069159101</v>
      </c>
      <c r="AE47" s="122">
        <v>0.27631856782993958</v>
      </c>
      <c r="AF47" s="124">
        <v>0.28748358084480763</v>
      </c>
      <c r="AG47" s="124">
        <v>0.29934782040605279</v>
      </c>
      <c r="AH47" s="124">
        <v>0.30936457856309441</v>
      </c>
      <c r="AI47" s="92">
        <v>0.31830254328200452</v>
      </c>
      <c r="AJ47" s="124">
        <v>0.32606156555171223</v>
      </c>
      <c r="AK47" s="124">
        <v>0.33295358948334197</v>
      </c>
      <c r="AL47" s="124">
        <v>0.33833876874434088</v>
      </c>
      <c r="AM47" s="124">
        <v>0.34279247327877221</v>
      </c>
      <c r="AN47" s="124">
        <v>0.3464169848459081</v>
      </c>
      <c r="AO47" s="122">
        <v>0.34920896404709623</v>
      </c>
      <c r="AP47" s="124">
        <v>0.35133653938733067</v>
      </c>
      <c r="AQ47" s="124">
        <v>0.35281536381381351</v>
      </c>
      <c r="AR47" s="124">
        <v>0.35394630524902698</v>
      </c>
      <c r="AS47" s="92">
        <v>0.35482797617633133</v>
      </c>
      <c r="AT47" s="124">
        <v>0.35555836880419706</v>
      </c>
      <c r="AU47" s="124">
        <v>0.35616223927414647</v>
      </c>
      <c r="AV47" s="124">
        <v>0.3566606745732524</v>
      </c>
      <c r="AW47" s="124">
        <v>0.35714961985879679</v>
      </c>
      <c r="AX47" s="92">
        <v>0.35755477650481782</v>
      </c>
      <c r="AY47" s="125">
        <v>0.35755477650481782</v>
      </c>
    </row>
    <row r="48" spans="1:51" x14ac:dyDescent="0.2">
      <c r="B48" s="71">
        <v>28</v>
      </c>
      <c r="C48" s="94">
        <v>0</v>
      </c>
      <c r="D48" s="95">
        <v>10</v>
      </c>
      <c r="E48" s="95">
        <v>10</v>
      </c>
      <c r="F48" s="96"/>
      <c r="G48" s="97" t="s">
        <v>58</v>
      </c>
      <c r="H48" s="98">
        <f t="shared" si="0"/>
        <v>0.56949394199507963</v>
      </c>
      <c r="I48" s="99" t="e">
        <f t="shared" si="1"/>
        <v>#N/A</v>
      </c>
      <c r="J48" s="71">
        <f>J47</f>
        <v>2008</v>
      </c>
      <c r="M48" s="105" t="e">
        <f t="array" ref="M48:U48">TRANSPOSE( MMULT($Z$19:$AH$27,((LN(INDEX($Y$36:$AY$143,9*LOOKUP((D40-C40)/(E40-C40),$X$19:$X$30,$W$19:$W$30)-8,LOOKUP(F40,$Y$35:$AY$35,$Y$34:$AY$34)):INDEX($Y$36:$AY$143,9*LOOKUP((D40-C40)/(E40-C40),$X$19:$X$30,$W$19:$W$30),LOOKUP(F40,$Y$35:$AY$35,$Y$34:$AY$34))/(1-INDEX($Y$36:$AY$143,9*LOOKUP((D40-C40)/(E40-C40),$X$19:$X$30,$W$19:$W$30)-8,LOOKUP(F40,$Y$35:$AY$35,$Y$34:$AY$34)):INDEX($Y$36:$AY$143,9*LOOKUP((D40-C40)/(E40-C40),$X$19:$X$30,$W$19:$W$30),LOOKUP(F40,$Y$35:$AY$35,$Y$34:$AY$34)))))*((INDEX($Y$35:$AY$35,1,LOOKUP(F40,$Y$35:$AY$35,$Y$34:$AY$34)+1)-F40)/(INDEX($Y$35:$AY$35,1,LOOKUP(F40,$Y$35:$AY$35,$Y$34:$AY$34)+1)-INDEX($Y$35:$AY$35,1,LOOKUP(F40,$Y$35:$AY$35,$Y$34:$AY$34))))+(LN(INDEX($Y$36:$AY$143,9*LOOKUP((D40-C40)/(E40-C40),$X$19:$X$30,$W$19:$W$30)-8,LOOKUP(F40,$Y$35:$AY$35,$Y$34:$AY$34)+1):INDEX($Y$36:$AY$143,9*LOOKUP((D40-C40)/(E40-C40),$X$19:$X$30,$W$19:$W$30),LOOKUP(F40,$Y$35:$AY$35,$Y$34:$AY$34)+1)/(1-INDEX($Y$36:$AY$143,9*LOOKUP((D40-C40)/(E40-C40),$X$19:$X$30,$W$19:$W$30)-8,LOOKUP(F40,$Y$35:$AY$35,$Y$34:$AY$34)+1):INDEX($Y$36:$AY$143,9*LOOKUP((D40-C40)/(E40-C40),$X$19:$X$30,$W$19:$W$30),LOOKUP(F40,$Y$35:$AY$35,$Y$34:$AY$34)+1))))*(1-((INDEX($Y$35:$AY$35,1,LOOKUP(F40,$Y$35:$AY$35,$Y$34:$AY$34)+1)-F40)/(INDEX($Y$35:$AY$35,1,LOOKUP(F40,$Y$35:$AY$35,$Y$34:$AY$34)+1)-INDEX($Y$35:$AY$35,1,LOOKUP(F40,$Y$35:$AY$35,$Y$34:$AY$34))))))*((INDEX($X$19:$X$30,LOOKUP((D40-C40)/(E40-C40),$X$19:$X$30,$W$19:$W$30)+1,1)-(D40-C40)/(E40-C40))/(INDEX($X$19:$X$30,LOOKUP((D40-C40)/(E40-C40),$X$19:$X$30,$W$19:$W$30)+1,1)-INDEX($X$19:$X$30,LOOKUP((D40-C40)/(E40-C40),$X$19:$X$30,$W$19:$W$30),1)))+((LN(INDEX($Y$36:$AY$143,9*LOOKUP((D40-C40)/(E40-C40),$X$19:$X$30,$W$19:$W$30)+1,LOOKUP(F40,$Y$35:$AY$35,$Y$34:$AY$34)):INDEX($Y$36:$AY$143,9*LOOKUP((D40-C40)/(E40-C40),$X$19:$X$30,$W$19:$W$30)+9,LOOKUP(F40,$Y$35:$AY$35,$Y$34:$AY$34))/(1-INDEX($Y$36:$AY$143,9*LOOKUP((D40-C40)/(E40-C40),$X$19:$X$30,$W$19:$W$30)+1,LOOKUP(F40,$Y$35:$AY$35,$Y$34:$AY$34)):INDEX($Y$36:$AY$143,9*LOOKUP((D40-C40)/(E40-C40),$X$19:$X$30,$W$19:$W$30)+9,LOOKUP(F40,$Y$35:$AY$35,$Y$34:$AY$34)))))*((INDEX($Y$35:$AY$35,1,LOOKUP(F40,$Y$35:$AY$35,$Y$34:$AY$34)+1)-F40)/(INDEX($Y$35:$AY$35,1,LOOKUP(F40,$Y$35:$AY$35,$Y$34:$AY$34)+1)-INDEX($Y$35:$AY$35,1,LOOKUP(F40,$Y$35:$AY$35,$Y$34:$AY$34))))+(LN(INDEX($Y$36:$AY$143,9*LOOKUP((D40-C40)/(E40-C40),$X$19:$X$30,$W$19:$W$30)+1,LOOKUP(F40,$Y$35:$AY$35,$Y$34:$AY$34)+1):INDEX($Y$36:$AY$143,9*LOOKUP((D40-C40)/(E40-C40),$X$19:$X$30,$W$19:$W$30)+9,LOOKUP(F40,$Y$35:$AY$35,$Y$34:$AY$34)+1)/(1-INDEX($Y$36:$AY$143,9*LOOKUP((D40-C40)/(E40-C40),$X$19:$X$30,$W$19:$W$30)+1,LOOKUP(F40,$Y$35:$AY$35,$Y$34:$AY$34)+1):INDEX($Y$36:$AY$143,9*LOOKUP((D40-C40)/(E40-C40),$X$19:$X$30,$W$19:$W$30)+9,LOOKUP(F40,$Y$35:$AY$35,$Y$34:$AY$34)+1))))*(1-((INDEX($Y$35:$AY$35,1,LOOKUP(F40,$Y$35:$AY$35,$Y$34:$AY$34)+1)-F40)/(INDEX($Y$35:$AY$35,1,LOOKUP(F40,$Y$35:$AY$35,$Y$34:$AY$34)+1)-INDEX($Y$35:$AY$35,1,LOOKUP(F40,$Y$35:$AY$35,$Y$34:$AY$34))))))*(1-(INDEX($X$19:$X$30,LOOKUP((D40-C40)/(E40-C40),$X$19:$X$30,$W$19:$W$30)+1,1)-(D40-C40)/(E40-C40))/(INDEX($X$19:$X$30,LOOKUP((D40-C40)/(E40-C40),$X$19:$X$30,$W$19:$W$30)+1,1)-INDEX($X$19:$X$30,LOOKUP((D40-C40)/(E40-C40),$X$19:$X$30,$W$19:$W$30),1)))) )</f>
        <v>#DIV/0!</v>
      </c>
      <c r="N48" s="105" t="e">
        <v>#DIV/0!</v>
      </c>
      <c r="O48" s="105" t="e">
        <v>#DIV/0!</v>
      </c>
      <c r="P48" s="105" t="e">
        <v>#DIV/0!</v>
      </c>
      <c r="Q48" s="105" t="e">
        <v>#DIV/0!</v>
      </c>
      <c r="R48" s="105" t="e">
        <v>#DIV/0!</v>
      </c>
      <c r="S48" s="105" t="e">
        <v>#DIV/0!</v>
      </c>
      <c r="T48" s="105" t="e">
        <v>#DIV/0!</v>
      </c>
      <c r="U48" s="106" t="e">
        <v>#DIV/0!</v>
      </c>
      <c r="W48" s="122"/>
      <c r="X48" s="123">
        <v>0.25000000000000006</v>
      </c>
      <c r="Y48" s="122">
        <v>0.17874372864101112</v>
      </c>
      <c r="Z48" s="122">
        <v>0.24546514049078885</v>
      </c>
      <c r="AA48" s="124">
        <v>0.27183798438469087</v>
      </c>
      <c r="AB48" s="124">
        <v>0.28607556385917782</v>
      </c>
      <c r="AC48" s="124">
        <v>0.30167634554343431</v>
      </c>
      <c r="AD48" s="92">
        <v>0.31097945078919881</v>
      </c>
      <c r="AE48" s="122">
        <v>0.31702820036121737</v>
      </c>
      <c r="AF48" s="124">
        <v>0.32338902344164838</v>
      </c>
      <c r="AG48" s="124">
        <v>0.32995171714443522</v>
      </c>
      <c r="AH48" s="124">
        <v>0.33563295256034736</v>
      </c>
      <c r="AI48" s="92">
        <v>0.3406416171665857</v>
      </c>
      <c r="AJ48" s="124">
        <v>0.34489540616576009</v>
      </c>
      <c r="AK48" s="124">
        <v>0.34860624647521676</v>
      </c>
      <c r="AL48" s="124">
        <v>0.35155889150470143</v>
      </c>
      <c r="AM48" s="124">
        <v>0.35400011059465203</v>
      </c>
      <c r="AN48" s="124">
        <v>0.35593165087103928</v>
      </c>
      <c r="AO48" s="122">
        <v>0.35742234507761927</v>
      </c>
      <c r="AP48" s="124">
        <v>0.35855315313399222</v>
      </c>
      <c r="AQ48" s="124">
        <v>0.35934055363662476</v>
      </c>
      <c r="AR48" s="124">
        <v>0.35994083556716555</v>
      </c>
      <c r="AS48" s="92">
        <v>0.36042145377316664</v>
      </c>
      <c r="AT48" s="124">
        <v>0.36079805528063164</v>
      </c>
      <c r="AU48" s="124">
        <v>0.36112392385129782</v>
      </c>
      <c r="AV48" s="124">
        <v>0.36140095329006228</v>
      </c>
      <c r="AW48" s="124">
        <v>0.36164965921425002</v>
      </c>
      <c r="AX48" s="92">
        <v>0.36187140357829672</v>
      </c>
      <c r="AY48" s="125">
        <v>0.36187140357829672</v>
      </c>
    </row>
    <row r="49" spans="2:51" x14ac:dyDescent="0.2">
      <c r="B49" s="71">
        <v>29</v>
      </c>
      <c r="C49" s="94">
        <v>0</v>
      </c>
      <c r="D49" s="95">
        <v>10</v>
      </c>
      <c r="E49" s="95">
        <v>10</v>
      </c>
      <c r="F49" s="96"/>
      <c r="G49" s="97" t="s">
        <v>58</v>
      </c>
      <c r="H49" s="98">
        <v>0.5</v>
      </c>
      <c r="I49" s="99" t="e">
        <f t="shared" si="1"/>
        <v>#N/A</v>
      </c>
      <c r="M49" s="105" t="e">
        <f t="array" ref="M49:U49">TRANSPOSE( MMULT($Z$19:$AH$27,((LN(INDEX($Y$36:$AY$143,9*LOOKUP((D41-C41)/(E41-C41),$X$19:$X$30,$W$19:$W$30)-8,LOOKUP(F41,$Y$35:$AY$35,$Y$34:$AY$34)):INDEX($Y$36:$AY$143,9*LOOKUP((D41-C41)/(E41-C41),$X$19:$X$30,$W$19:$W$30),LOOKUP(F41,$Y$35:$AY$35,$Y$34:$AY$34))/(1-INDEX($Y$36:$AY$143,9*LOOKUP((D41-C41)/(E41-C41),$X$19:$X$30,$W$19:$W$30)-8,LOOKUP(F41,$Y$35:$AY$35,$Y$34:$AY$34)):INDEX($Y$36:$AY$143,9*LOOKUP((D41-C41)/(E41-C41),$X$19:$X$30,$W$19:$W$30),LOOKUP(F41,$Y$35:$AY$35,$Y$34:$AY$34)))))*((INDEX($Y$35:$AY$35,1,LOOKUP(F41,$Y$35:$AY$35,$Y$34:$AY$34)+1)-F41)/(INDEX($Y$35:$AY$35,1,LOOKUP(F41,$Y$35:$AY$35,$Y$34:$AY$34)+1)-INDEX($Y$35:$AY$35,1,LOOKUP(F41,$Y$35:$AY$35,$Y$34:$AY$34))))+(LN(INDEX($Y$36:$AY$143,9*LOOKUP((D41-C41)/(E41-C41),$X$19:$X$30,$W$19:$W$30)-8,LOOKUP(F41,$Y$35:$AY$35,$Y$34:$AY$34)+1):INDEX($Y$36:$AY$143,9*LOOKUP((D41-C41)/(E41-C41),$X$19:$X$30,$W$19:$W$30),LOOKUP(F41,$Y$35:$AY$35,$Y$34:$AY$34)+1)/(1-INDEX($Y$36:$AY$143,9*LOOKUP((D41-C41)/(E41-C41),$X$19:$X$30,$W$19:$W$30)-8,LOOKUP(F41,$Y$35:$AY$35,$Y$34:$AY$34)+1):INDEX($Y$36:$AY$143,9*LOOKUP((D41-C41)/(E41-C41),$X$19:$X$30,$W$19:$W$30),LOOKUP(F41,$Y$35:$AY$35,$Y$34:$AY$34)+1))))*(1-((INDEX($Y$35:$AY$35,1,LOOKUP(F41,$Y$35:$AY$35,$Y$34:$AY$34)+1)-F41)/(INDEX($Y$35:$AY$35,1,LOOKUP(F41,$Y$35:$AY$35,$Y$34:$AY$34)+1)-INDEX($Y$35:$AY$35,1,LOOKUP(F41,$Y$35:$AY$35,$Y$34:$AY$34))))))*((INDEX($X$19:$X$30,LOOKUP((D41-C41)/(E41-C41),$X$19:$X$30,$W$19:$W$30)+1,1)-(D41-C41)/(E41-C41))/(INDEX($X$19:$X$30,LOOKUP((D41-C41)/(E41-C41),$X$19:$X$30,$W$19:$W$30)+1,1)-INDEX($X$19:$X$30,LOOKUP((D41-C41)/(E41-C41),$X$19:$X$30,$W$19:$W$30),1)))+((LN(INDEX($Y$36:$AY$143,9*LOOKUP((D41-C41)/(E41-C41),$X$19:$X$30,$W$19:$W$30)+1,LOOKUP(F41,$Y$35:$AY$35,$Y$34:$AY$34)):INDEX($Y$36:$AY$143,9*LOOKUP((D41-C41)/(E41-C41),$X$19:$X$30,$W$19:$W$30)+9,LOOKUP(F41,$Y$35:$AY$35,$Y$34:$AY$34))/(1-INDEX($Y$36:$AY$143,9*LOOKUP((D41-C41)/(E41-C41),$X$19:$X$30,$W$19:$W$30)+1,LOOKUP(F41,$Y$35:$AY$35,$Y$34:$AY$34)):INDEX($Y$36:$AY$143,9*LOOKUP((D41-C41)/(E41-C41),$X$19:$X$30,$W$19:$W$30)+9,LOOKUP(F41,$Y$35:$AY$35,$Y$34:$AY$34)))))*((INDEX($Y$35:$AY$35,1,LOOKUP(F41,$Y$35:$AY$35,$Y$34:$AY$34)+1)-F41)/(INDEX($Y$35:$AY$35,1,LOOKUP(F41,$Y$35:$AY$35,$Y$34:$AY$34)+1)-INDEX($Y$35:$AY$35,1,LOOKUP(F41,$Y$35:$AY$35,$Y$34:$AY$34))))+(LN(INDEX($Y$36:$AY$143,9*LOOKUP((D41-C41)/(E41-C41),$X$19:$X$30,$W$19:$W$30)+1,LOOKUP(F41,$Y$35:$AY$35,$Y$34:$AY$34)+1):INDEX($Y$36:$AY$143,9*LOOKUP((D41-C41)/(E41-C41),$X$19:$X$30,$W$19:$W$30)+9,LOOKUP(F41,$Y$35:$AY$35,$Y$34:$AY$34)+1)/(1-INDEX($Y$36:$AY$143,9*LOOKUP((D41-C41)/(E41-C41),$X$19:$X$30,$W$19:$W$30)+1,LOOKUP(F41,$Y$35:$AY$35,$Y$34:$AY$34)+1):INDEX($Y$36:$AY$143,9*LOOKUP((D41-C41)/(E41-C41),$X$19:$X$30,$W$19:$W$30)+9,LOOKUP(F41,$Y$35:$AY$35,$Y$34:$AY$34)+1))))*(1-((INDEX($Y$35:$AY$35,1,LOOKUP(F41,$Y$35:$AY$35,$Y$34:$AY$34)+1)-F41)/(INDEX($Y$35:$AY$35,1,LOOKUP(F41,$Y$35:$AY$35,$Y$34:$AY$34)+1)-INDEX($Y$35:$AY$35,1,LOOKUP(F41,$Y$35:$AY$35,$Y$34:$AY$34))))))*(1-(INDEX($X$19:$X$30,LOOKUP((D41-C41)/(E41-C41),$X$19:$X$30,$W$19:$W$30)+1,1)-(D41-C41)/(E41-C41))/(INDEX($X$19:$X$30,LOOKUP((D41-C41)/(E41-C41),$X$19:$X$30,$W$19:$W$30)+1,1)-INDEX($X$19:$X$30,LOOKUP((D41-C41)/(E41-C41),$X$19:$X$30,$W$19:$W$30),1)))) )</f>
        <v>#DIV/0!</v>
      </c>
      <c r="N49" s="105" t="e">
        <v>#DIV/0!</v>
      </c>
      <c r="O49" s="105" t="e">
        <v>#DIV/0!</v>
      </c>
      <c r="P49" s="105" t="e">
        <v>#DIV/0!</v>
      </c>
      <c r="Q49" s="105" t="e">
        <v>#DIV/0!</v>
      </c>
      <c r="R49" s="105" t="e">
        <v>#DIV/0!</v>
      </c>
      <c r="S49" s="105" t="e">
        <v>#DIV/0!</v>
      </c>
      <c r="T49" s="105" t="e">
        <v>#DIV/0!</v>
      </c>
      <c r="U49" s="106" t="e">
        <v>#DIV/0!</v>
      </c>
      <c r="W49" s="122">
        <f>X20</f>
        <v>0.1</v>
      </c>
      <c r="X49" s="123">
        <v>0.50000000000000022</v>
      </c>
      <c r="Y49" s="122">
        <v>0.32973947042945634</v>
      </c>
      <c r="Z49" s="122">
        <v>0.35560402870148511</v>
      </c>
      <c r="AA49" s="124">
        <v>0.35959842121541435</v>
      </c>
      <c r="AB49" s="124">
        <v>0.36123248135583125</v>
      </c>
      <c r="AC49" s="124">
        <v>0.3630869950404369</v>
      </c>
      <c r="AD49" s="92">
        <v>0.36394628143346081</v>
      </c>
      <c r="AE49" s="122">
        <v>0.3644725913169265</v>
      </c>
      <c r="AF49" s="124">
        <v>0.36503427030958541</v>
      </c>
      <c r="AG49" s="124">
        <v>0.36544837420913234</v>
      </c>
      <c r="AH49" s="124">
        <v>0.36572569544578465</v>
      </c>
      <c r="AI49" s="92">
        <v>0.36600280861420148</v>
      </c>
      <c r="AJ49" s="124">
        <v>0.36621217576912202</v>
      </c>
      <c r="AK49" s="124">
        <v>0.36636592483964031</v>
      </c>
      <c r="AL49" s="124">
        <v>0.36645758192515721</v>
      </c>
      <c r="AM49" s="124">
        <v>0.36652022150155328</v>
      </c>
      <c r="AN49" s="124">
        <v>0.3665724049714254</v>
      </c>
      <c r="AO49" s="122">
        <v>0.36661369294547541</v>
      </c>
      <c r="AP49" s="124">
        <v>0.36661975511081096</v>
      </c>
      <c r="AQ49" s="124">
        <v>0.36662890927953046</v>
      </c>
      <c r="AR49" s="124">
        <v>0.36664504439811701</v>
      </c>
      <c r="AS49" s="92">
        <v>0.36663234462231314</v>
      </c>
      <c r="AT49" s="124">
        <v>0.36664667147406638</v>
      </c>
      <c r="AU49" s="124">
        <v>0.36663978640684508</v>
      </c>
      <c r="AV49" s="124">
        <v>0.36665095071560172</v>
      </c>
      <c r="AW49" s="124">
        <v>0.36665131951751379</v>
      </c>
      <c r="AX49" s="92">
        <v>0.36665281292483187</v>
      </c>
      <c r="AY49" s="125">
        <v>0.36665281292483187</v>
      </c>
    </row>
    <row r="50" spans="2:51" x14ac:dyDescent="0.2">
      <c r="B50" s="71">
        <v>30</v>
      </c>
      <c r="C50" s="94">
        <v>0</v>
      </c>
      <c r="D50" s="95">
        <v>10</v>
      </c>
      <c r="E50" s="95">
        <v>10</v>
      </c>
      <c r="F50" s="96"/>
      <c r="G50" s="97" t="s">
        <v>58</v>
      </c>
      <c r="H50" s="98">
        <v>0.5</v>
      </c>
      <c r="I50" s="99" t="e">
        <f t="shared" si="1"/>
        <v>#N/A</v>
      </c>
      <c r="M50" s="105" t="e">
        <f t="array" ref="M50:U50">TRANSPOSE( MMULT($Z$19:$AH$27,((LN(INDEX($Y$36:$AY$143,9*LOOKUP((D42-C42)/(E42-C42),$X$19:$X$30,$W$19:$W$30)-8,LOOKUP(F42,$Y$35:$AY$35,$Y$34:$AY$34)):INDEX($Y$36:$AY$143,9*LOOKUP((D42-C42)/(E42-C42),$X$19:$X$30,$W$19:$W$30),LOOKUP(F42,$Y$35:$AY$35,$Y$34:$AY$34))/(1-INDEX($Y$36:$AY$143,9*LOOKUP((D42-C42)/(E42-C42),$X$19:$X$30,$W$19:$W$30)-8,LOOKUP(F42,$Y$35:$AY$35,$Y$34:$AY$34)):INDEX($Y$36:$AY$143,9*LOOKUP((D42-C42)/(E42-C42),$X$19:$X$30,$W$19:$W$30),LOOKUP(F42,$Y$35:$AY$35,$Y$34:$AY$34)))))*((INDEX($Y$35:$AY$35,1,LOOKUP(F42,$Y$35:$AY$35,$Y$34:$AY$34)+1)-F42)/(INDEX($Y$35:$AY$35,1,LOOKUP(F42,$Y$35:$AY$35,$Y$34:$AY$34)+1)-INDEX($Y$35:$AY$35,1,LOOKUP(F42,$Y$35:$AY$35,$Y$34:$AY$34))))+(LN(INDEX($Y$36:$AY$143,9*LOOKUP((D42-C42)/(E42-C42),$X$19:$X$30,$W$19:$W$30)-8,LOOKUP(F42,$Y$35:$AY$35,$Y$34:$AY$34)+1):INDEX($Y$36:$AY$143,9*LOOKUP((D42-C42)/(E42-C42),$X$19:$X$30,$W$19:$W$30),LOOKUP(F42,$Y$35:$AY$35,$Y$34:$AY$34)+1)/(1-INDEX($Y$36:$AY$143,9*LOOKUP((D42-C42)/(E42-C42),$X$19:$X$30,$W$19:$W$30)-8,LOOKUP(F42,$Y$35:$AY$35,$Y$34:$AY$34)+1):INDEX($Y$36:$AY$143,9*LOOKUP((D42-C42)/(E42-C42),$X$19:$X$30,$W$19:$W$30),LOOKUP(F42,$Y$35:$AY$35,$Y$34:$AY$34)+1))))*(1-((INDEX($Y$35:$AY$35,1,LOOKUP(F42,$Y$35:$AY$35,$Y$34:$AY$34)+1)-F42)/(INDEX($Y$35:$AY$35,1,LOOKUP(F42,$Y$35:$AY$35,$Y$34:$AY$34)+1)-INDEX($Y$35:$AY$35,1,LOOKUP(F42,$Y$35:$AY$35,$Y$34:$AY$34))))))*((INDEX($X$19:$X$30,LOOKUP((D42-C42)/(E42-C42),$X$19:$X$30,$W$19:$W$30)+1,1)-(D42-C42)/(E42-C42))/(INDEX($X$19:$X$30,LOOKUP((D42-C42)/(E42-C42),$X$19:$X$30,$W$19:$W$30)+1,1)-INDEX($X$19:$X$30,LOOKUP((D42-C42)/(E42-C42),$X$19:$X$30,$W$19:$W$30),1)))+((LN(INDEX($Y$36:$AY$143,9*LOOKUP((D42-C42)/(E42-C42),$X$19:$X$30,$W$19:$W$30)+1,LOOKUP(F42,$Y$35:$AY$35,$Y$34:$AY$34)):INDEX($Y$36:$AY$143,9*LOOKUP((D42-C42)/(E42-C42),$X$19:$X$30,$W$19:$W$30)+9,LOOKUP(F42,$Y$35:$AY$35,$Y$34:$AY$34))/(1-INDEX($Y$36:$AY$143,9*LOOKUP((D42-C42)/(E42-C42),$X$19:$X$30,$W$19:$W$30)+1,LOOKUP(F42,$Y$35:$AY$35,$Y$34:$AY$34)):INDEX($Y$36:$AY$143,9*LOOKUP((D42-C42)/(E42-C42),$X$19:$X$30,$W$19:$W$30)+9,LOOKUP(F42,$Y$35:$AY$35,$Y$34:$AY$34)))))*((INDEX($Y$35:$AY$35,1,LOOKUP(F42,$Y$35:$AY$35,$Y$34:$AY$34)+1)-F42)/(INDEX($Y$35:$AY$35,1,LOOKUP(F42,$Y$35:$AY$35,$Y$34:$AY$34)+1)-INDEX($Y$35:$AY$35,1,LOOKUP(F42,$Y$35:$AY$35,$Y$34:$AY$34))))+(LN(INDEX($Y$36:$AY$143,9*LOOKUP((D42-C42)/(E42-C42),$X$19:$X$30,$W$19:$W$30)+1,LOOKUP(F42,$Y$35:$AY$35,$Y$34:$AY$34)+1):INDEX($Y$36:$AY$143,9*LOOKUP((D42-C42)/(E42-C42),$X$19:$X$30,$W$19:$W$30)+9,LOOKUP(F42,$Y$35:$AY$35,$Y$34:$AY$34)+1)/(1-INDEX($Y$36:$AY$143,9*LOOKUP((D42-C42)/(E42-C42),$X$19:$X$30,$W$19:$W$30)+1,LOOKUP(F42,$Y$35:$AY$35,$Y$34:$AY$34)+1):INDEX($Y$36:$AY$143,9*LOOKUP((D42-C42)/(E42-C42),$X$19:$X$30,$W$19:$W$30)+9,LOOKUP(F42,$Y$35:$AY$35,$Y$34:$AY$34)+1))))*(1-((INDEX($Y$35:$AY$35,1,LOOKUP(F42,$Y$35:$AY$35,$Y$34:$AY$34)+1)-F42)/(INDEX($Y$35:$AY$35,1,LOOKUP(F42,$Y$35:$AY$35,$Y$34:$AY$34)+1)-INDEX($Y$35:$AY$35,1,LOOKUP(F42,$Y$35:$AY$35,$Y$34:$AY$34))))))*(1-(INDEX($X$19:$X$30,LOOKUP((D42-C42)/(E42-C42),$X$19:$X$30,$W$19:$W$30)+1,1)-(D42-C42)/(E42-C42))/(INDEX($X$19:$X$30,LOOKUP((D42-C42)/(E42-C42),$X$19:$X$30,$W$19:$W$30)+1,1)-INDEX($X$19:$X$30,LOOKUP((D42-C42)/(E42-C42),$X$19:$X$30,$W$19:$W$30),1)))) )</f>
        <v>#N/A</v>
      </c>
      <c r="N50" s="105" t="e">
        <v>#N/A</v>
      </c>
      <c r="O50" s="105" t="e">
        <v>#N/A</v>
      </c>
      <c r="P50" s="105" t="e">
        <v>#N/A</v>
      </c>
      <c r="Q50" s="105" t="e">
        <v>#N/A</v>
      </c>
      <c r="R50" s="105" t="e">
        <v>#N/A</v>
      </c>
      <c r="S50" s="105" t="e">
        <v>#N/A</v>
      </c>
      <c r="T50" s="105" t="e">
        <v>#N/A</v>
      </c>
      <c r="U50" s="106" t="e">
        <v>#N/A</v>
      </c>
      <c r="W50" s="122"/>
      <c r="X50" s="123">
        <v>0.75000000000000044</v>
      </c>
      <c r="Y50" s="122">
        <v>0.52642427470173747</v>
      </c>
      <c r="Z50" s="122">
        <v>0.47422696613556853</v>
      </c>
      <c r="AA50" s="124">
        <v>0.45337915523921979</v>
      </c>
      <c r="AB50" s="124">
        <v>0.44142592437374506</v>
      </c>
      <c r="AC50" s="124">
        <v>0.42768779842166721</v>
      </c>
      <c r="AD50" s="92">
        <v>0.41957902881646209</v>
      </c>
      <c r="AE50" s="122">
        <v>0.41386768975388272</v>
      </c>
      <c r="AF50" s="124">
        <v>0.40814073989200927</v>
      </c>
      <c r="AG50" s="124">
        <v>0.40197291475059005</v>
      </c>
      <c r="AH50" s="124">
        <v>0.39659708885780764</v>
      </c>
      <c r="AI50" s="92">
        <v>0.39206516364661059</v>
      </c>
      <c r="AJ50" s="124">
        <v>0.38786556252889454</v>
      </c>
      <c r="AK50" s="124">
        <v>0.38435084729055419</v>
      </c>
      <c r="AL50" s="124">
        <v>0.38155151404611998</v>
      </c>
      <c r="AM50" s="124">
        <v>0.37925921059420098</v>
      </c>
      <c r="AN50" s="124">
        <v>0.37734212431475778</v>
      </c>
      <c r="AO50" s="122">
        <v>0.37587175512870635</v>
      </c>
      <c r="AP50" s="124">
        <v>0.3747612924131834</v>
      </c>
      <c r="AQ50" s="124">
        <v>0.37395352125812226</v>
      </c>
      <c r="AR50" s="124">
        <v>0.37335650142048538</v>
      </c>
      <c r="AS50" s="92">
        <v>0.37288751508675516</v>
      </c>
      <c r="AT50" s="124">
        <v>0.37250624420255291</v>
      </c>
      <c r="AU50" s="124">
        <v>0.37219475718659001</v>
      </c>
      <c r="AV50" s="124">
        <v>0.37192531785543931</v>
      </c>
      <c r="AW50" s="124">
        <v>0.3716801273259755</v>
      </c>
      <c r="AX50" s="92">
        <v>0.37145753780606355</v>
      </c>
      <c r="AY50" s="125">
        <v>0.37145753780606355</v>
      </c>
    </row>
    <row r="51" spans="2:51" x14ac:dyDescent="0.2">
      <c r="M51" s="105" t="e">
        <f t="array" ref="M51:U51">TRANSPOSE( MMULT($Z$19:$AH$27,((LN(INDEX($Y$36:$AY$143,9*LOOKUP((D43-C43)/(E43-C43),$X$19:$X$30,$W$19:$W$30)-8,LOOKUP(F43,$Y$35:$AY$35,$Y$34:$AY$34)):INDEX($Y$36:$AY$143,9*LOOKUP((D43-C43)/(E43-C43),$X$19:$X$30,$W$19:$W$30),LOOKUP(F43,$Y$35:$AY$35,$Y$34:$AY$34))/(1-INDEX($Y$36:$AY$143,9*LOOKUP((D43-C43)/(E43-C43),$X$19:$X$30,$W$19:$W$30)-8,LOOKUP(F43,$Y$35:$AY$35,$Y$34:$AY$34)):INDEX($Y$36:$AY$143,9*LOOKUP((D43-C43)/(E43-C43),$X$19:$X$30,$W$19:$W$30),LOOKUP(F43,$Y$35:$AY$35,$Y$34:$AY$34)))))*((INDEX($Y$35:$AY$35,1,LOOKUP(F43,$Y$35:$AY$35,$Y$34:$AY$34)+1)-F43)/(INDEX($Y$35:$AY$35,1,LOOKUP(F43,$Y$35:$AY$35,$Y$34:$AY$34)+1)-INDEX($Y$35:$AY$35,1,LOOKUP(F43,$Y$35:$AY$35,$Y$34:$AY$34))))+(LN(INDEX($Y$36:$AY$143,9*LOOKUP((D43-C43)/(E43-C43),$X$19:$X$30,$W$19:$W$30)-8,LOOKUP(F43,$Y$35:$AY$35,$Y$34:$AY$34)+1):INDEX($Y$36:$AY$143,9*LOOKUP((D43-C43)/(E43-C43),$X$19:$X$30,$W$19:$W$30),LOOKUP(F43,$Y$35:$AY$35,$Y$34:$AY$34)+1)/(1-INDEX($Y$36:$AY$143,9*LOOKUP((D43-C43)/(E43-C43),$X$19:$X$30,$W$19:$W$30)-8,LOOKUP(F43,$Y$35:$AY$35,$Y$34:$AY$34)+1):INDEX($Y$36:$AY$143,9*LOOKUP((D43-C43)/(E43-C43),$X$19:$X$30,$W$19:$W$30),LOOKUP(F43,$Y$35:$AY$35,$Y$34:$AY$34)+1))))*(1-((INDEX($Y$35:$AY$35,1,LOOKUP(F43,$Y$35:$AY$35,$Y$34:$AY$34)+1)-F43)/(INDEX($Y$35:$AY$35,1,LOOKUP(F43,$Y$35:$AY$35,$Y$34:$AY$34)+1)-INDEX($Y$35:$AY$35,1,LOOKUP(F43,$Y$35:$AY$35,$Y$34:$AY$34))))))*((INDEX($X$19:$X$30,LOOKUP((D43-C43)/(E43-C43),$X$19:$X$30,$W$19:$W$30)+1,1)-(D43-C43)/(E43-C43))/(INDEX($X$19:$X$30,LOOKUP((D43-C43)/(E43-C43),$X$19:$X$30,$W$19:$W$30)+1,1)-INDEX($X$19:$X$30,LOOKUP((D43-C43)/(E43-C43),$X$19:$X$30,$W$19:$W$30),1)))+((LN(INDEX($Y$36:$AY$143,9*LOOKUP((D43-C43)/(E43-C43),$X$19:$X$30,$W$19:$W$30)+1,LOOKUP(F43,$Y$35:$AY$35,$Y$34:$AY$34)):INDEX($Y$36:$AY$143,9*LOOKUP((D43-C43)/(E43-C43),$X$19:$X$30,$W$19:$W$30)+9,LOOKUP(F43,$Y$35:$AY$35,$Y$34:$AY$34))/(1-INDEX($Y$36:$AY$143,9*LOOKUP((D43-C43)/(E43-C43),$X$19:$X$30,$W$19:$W$30)+1,LOOKUP(F43,$Y$35:$AY$35,$Y$34:$AY$34)):INDEX($Y$36:$AY$143,9*LOOKUP((D43-C43)/(E43-C43),$X$19:$X$30,$W$19:$W$30)+9,LOOKUP(F43,$Y$35:$AY$35,$Y$34:$AY$34)))))*((INDEX($Y$35:$AY$35,1,LOOKUP(F43,$Y$35:$AY$35,$Y$34:$AY$34)+1)-F43)/(INDEX($Y$35:$AY$35,1,LOOKUP(F43,$Y$35:$AY$35,$Y$34:$AY$34)+1)-INDEX($Y$35:$AY$35,1,LOOKUP(F43,$Y$35:$AY$35,$Y$34:$AY$34))))+(LN(INDEX($Y$36:$AY$143,9*LOOKUP((D43-C43)/(E43-C43),$X$19:$X$30,$W$19:$W$30)+1,LOOKUP(F43,$Y$35:$AY$35,$Y$34:$AY$34)+1):INDEX($Y$36:$AY$143,9*LOOKUP((D43-C43)/(E43-C43),$X$19:$X$30,$W$19:$W$30)+9,LOOKUP(F43,$Y$35:$AY$35,$Y$34:$AY$34)+1)/(1-INDEX($Y$36:$AY$143,9*LOOKUP((D43-C43)/(E43-C43),$X$19:$X$30,$W$19:$W$30)+1,LOOKUP(F43,$Y$35:$AY$35,$Y$34:$AY$34)+1):INDEX($Y$36:$AY$143,9*LOOKUP((D43-C43)/(E43-C43),$X$19:$X$30,$W$19:$W$30)+9,LOOKUP(F43,$Y$35:$AY$35,$Y$34:$AY$34)+1))))*(1-((INDEX($Y$35:$AY$35,1,LOOKUP(F43,$Y$35:$AY$35,$Y$34:$AY$34)+1)-F43)/(INDEX($Y$35:$AY$35,1,LOOKUP(F43,$Y$35:$AY$35,$Y$34:$AY$34)+1)-INDEX($Y$35:$AY$35,1,LOOKUP(F43,$Y$35:$AY$35,$Y$34:$AY$34))))))*(1-(INDEX($X$19:$X$30,LOOKUP((D43-C43)/(E43-C43),$X$19:$X$30,$W$19:$W$30)+1,1)-(D43-C43)/(E43-C43))/(INDEX($X$19:$X$30,LOOKUP((D43-C43)/(E43-C43),$X$19:$X$30,$W$19:$W$30)+1,1)-INDEX($X$19:$X$30,LOOKUP((D43-C43)/(E43-C43),$X$19:$X$30,$W$19:$W$30),1)))) )</f>
        <v>#DIV/0!</v>
      </c>
      <c r="N51" s="105" t="e">
        <v>#DIV/0!</v>
      </c>
      <c r="O51" s="105" t="e">
        <v>#DIV/0!</v>
      </c>
      <c r="P51" s="105" t="e">
        <v>#DIV/0!</v>
      </c>
      <c r="Q51" s="105" t="e">
        <v>#DIV/0!</v>
      </c>
      <c r="R51" s="105" t="e">
        <v>#DIV/0!</v>
      </c>
      <c r="S51" s="105" t="e">
        <v>#DIV/0!</v>
      </c>
      <c r="T51" s="105" t="e">
        <v>#DIV/0!</v>
      </c>
      <c r="U51" s="106" t="e">
        <v>#DIV/0!</v>
      </c>
      <c r="W51" s="122"/>
      <c r="X51" s="123">
        <v>0.90000000000000058</v>
      </c>
      <c r="Y51" s="122">
        <v>0.69996947279798416</v>
      </c>
      <c r="Z51" s="122">
        <v>0.5825108284957865</v>
      </c>
      <c r="AA51" s="124">
        <v>0.54058056165099433</v>
      </c>
      <c r="AB51" s="124">
        <v>0.51607761179349321</v>
      </c>
      <c r="AC51" s="124">
        <v>0.48729603760214452</v>
      </c>
      <c r="AD51" s="92">
        <v>0.47091888778817947</v>
      </c>
      <c r="AE51" s="122">
        <v>0.459503004605334</v>
      </c>
      <c r="AF51" s="124">
        <v>0.44784568429531901</v>
      </c>
      <c r="AG51" s="124">
        <v>0.43547869154473867</v>
      </c>
      <c r="AH51" s="124">
        <v>0.42498205731950495</v>
      </c>
      <c r="AI51" s="92">
        <v>0.41577991864379427</v>
      </c>
      <c r="AJ51" s="124">
        <v>0.40765972804589112</v>
      </c>
      <c r="AK51" s="124">
        <v>0.40077586993448677</v>
      </c>
      <c r="AL51" s="124">
        <v>0.39527478939515798</v>
      </c>
      <c r="AM51" s="124">
        <v>0.39078673484794207</v>
      </c>
      <c r="AN51" s="124">
        <v>0.38711166584759832</v>
      </c>
      <c r="AO51" s="122">
        <v>0.38425685993402248</v>
      </c>
      <c r="AP51" s="124">
        <v>0.38211927487171621</v>
      </c>
      <c r="AQ51" s="124">
        <v>0.38058727723780222</v>
      </c>
      <c r="AR51" s="124">
        <v>0.37945373837819157</v>
      </c>
      <c r="AS51" s="92">
        <v>0.37854446627281413</v>
      </c>
      <c r="AT51" s="124">
        <v>0.37782252827083285</v>
      </c>
      <c r="AU51" s="124">
        <v>0.37720378911895613</v>
      </c>
      <c r="AV51" s="124">
        <v>0.37669419392530623</v>
      </c>
      <c r="AW51" s="124">
        <v>0.37621942307253292</v>
      </c>
      <c r="AX51" s="92">
        <v>0.37579948414104553</v>
      </c>
      <c r="AY51" s="125">
        <v>0.37579948414104553</v>
      </c>
    </row>
    <row r="52" spans="2:51" x14ac:dyDescent="0.2">
      <c r="M52" s="105" t="e">
        <f t="array" ref="M52:U52">TRANSPOSE( MMULT($Z$19:$AH$27,((LN(INDEX($Y$36:$AY$143,9*LOOKUP((D44-C44)/(E44-C44),$X$19:$X$30,$W$19:$W$30)-8,LOOKUP(F44,$Y$35:$AY$35,$Y$34:$AY$34)):INDEX($Y$36:$AY$143,9*LOOKUP((D44-C44)/(E44-C44),$X$19:$X$30,$W$19:$W$30),LOOKUP(F44,$Y$35:$AY$35,$Y$34:$AY$34))/(1-INDEX($Y$36:$AY$143,9*LOOKUP((D44-C44)/(E44-C44),$X$19:$X$30,$W$19:$W$30)-8,LOOKUP(F44,$Y$35:$AY$35,$Y$34:$AY$34)):INDEX($Y$36:$AY$143,9*LOOKUP((D44-C44)/(E44-C44),$X$19:$X$30,$W$19:$W$30),LOOKUP(F44,$Y$35:$AY$35,$Y$34:$AY$34)))))*((INDEX($Y$35:$AY$35,1,LOOKUP(F44,$Y$35:$AY$35,$Y$34:$AY$34)+1)-F44)/(INDEX($Y$35:$AY$35,1,LOOKUP(F44,$Y$35:$AY$35,$Y$34:$AY$34)+1)-INDEX($Y$35:$AY$35,1,LOOKUP(F44,$Y$35:$AY$35,$Y$34:$AY$34))))+(LN(INDEX($Y$36:$AY$143,9*LOOKUP((D44-C44)/(E44-C44),$X$19:$X$30,$W$19:$W$30)-8,LOOKUP(F44,$Y$35:$AY$35,$Y$34:$AY$34)+1):INDEX($Y$36:$AY$143,9*LOOKUP((D44-C44)/(E44-C44),$X$19:$X$30,$W$19:$W$30),LOOKUP(F44,$Y$35:$AY$35,$Y$34:$AY$34)+1)/(1-INDEX($Y$36:$AY$143,9*LOOKUP((D44-C44)/(E44-C44),$X$19:$X$30,$W$19:$W$30)-8,LOOKUP(F44,$Y$35:$AY$35,$Y$34:$AY$34)+1):INDEX($Y$36:$AY$143,9*LOOKUP((D44-C44)/(E44-C44),$X$19:$X$30,$W$19:$W$30),LOOKUP(F44,$Y$35:$AY$35,$Y$34:$AY$34)+1))))*(1-((INDEX($Y$35:$AY$35,1,LOOKUP(F44,$Y$35:$AY$35,$Y$34:$AY$34)+1)-F44)/(INDEX($Y$35:$AY$35,1,LOOKUP(F44,$Y$35:$AY$35,$Y$34:$AY$34)+1)-INDEX($Y$35:$AY$35,1,LOOKUP(F44,$Y$35:$AY$35,$Y$34:$AY$34))))))*((INDEX($X$19:$X$30,LOOKUP((D44-C44)/(E44-C44),$X$19:$X$30,$W$19:$W$30)+1,1)-(D44-C44)/(E44-C44))/(INDEX($X$19:$X$30,LOOKUP((D44-C44)/(E44-C44),$X$19:$X$30,$W$19:$W$30)+1,1)-INDEX($X$19:$X$30,LOOKUP((D44-C44)/(E44-C44),$X$19:$X$30,$W$19:$W$30),1)))+((LN(INDEX($Y$36:$AY$143,9*LOOKUP((D44-C44)/(E44-C44),$X$19:$X$30,$W$19:$W$30)+1,LOOKUP(F44,$Y$35:$AY$35,$Y$34:$AY$34)):INDEX($Y$36:$AY$143,9*LOOKUP((D44-C44)/(E44-C44),$X$19:$X$30,$W$19:$W$30)+9,LOOKUP(F44,$Y$35:$AY$35,$Y$34:$AY$34))/(1-INDEX($Y$36:$AY$143,9*LOOKUP((D44-C44)/(E44-C44),$X$19:$X$30,$W$19:$W$30)+1,LOOKUP(F44,$Y$35:$AY$35,$Y$34:$AY$34)):INDEX($Y$36:$AY$143,9*LOOKUP((D44-C44)/(E44-C44),$X$19:$X$30,$W$19:$W$30)+9,LOOKUP(F44,$Y$35:$AY$35,$Y$34:$AY$34)))))*((INDEX($Y$35:$AY$35,1,LOOKUP(F44,$Y$35:$AY$35,$Y$34:$AY$34)+1)-F44)/(INDEX($Y$35:$AY$35,1,LOOKUP(F44,$Y$35:$AY$35,$Y$34:$AY$34)+1)-INDEX($Y$35:$AY$35,1,LOOKUP(F44,$Y$35:$AY$35,$Y$34:$AY$34))))+(LN(INDEX($Y$36:$AY$143,9*LOOKUP((D44-C44)/(E44-C44),$X$19:$X$30,$W$19:$W$30)+1,LOOKUP(F44,$Y$35:$AY$35,$Y$34:$AY$34)+1):INDEX($Y$36:$AY$143,9*LOOKUP((D44-C44)/(E44-C44),$X$19:$X$30,$W$19:$W$30)+9,LOOKUP(F44,$Y$35:$AY$35,$Y$34:$AY$34)+1)/(1-INDEX($Y$36:$AY$143,9*LOOKUP((D44-C44)/(E44-C44),$X$19:$X$30,$W$19:$W$30)+1,LOOKUP(F44,$Y$35:$AY$35,$Y$34:$AY$34)+1):INDEX($Y$36:$AY$143,9*LOOKUP((D44-C44)/(E44-C44),$X$19:$X$30,$W$19:$W$30)+9,LOOKUP(F44,$Y$35:$AY$35,$Y$34:$AY$34)+1))))*(1-((INDEX($Y$35:$AY$35,1,LOOKUP(F44,$Y$35:$AY$35,$Y$34:$AY$34)+1)-F44)/(INDEX($Y$35:$AY$35,1,LOOKUP(F44,$Y$35:$AY$35,$Y$34:$AY$34)+1)-INDEX($Y$35:$AY$35,1,LOOKUP(F44,$Y$35:$AY$35,$Y$34:$AY$34))))))*(1-(INDEX($X$19:$X$30,LOOKUP((D44-C44)/(E44-C44),$X$19:$X$30,$W$19:$W$30)+1,1)-(D44-C44)/(E44-C44))/(INDEX($X$19:$X$30,LOOKUP((D44-C44)/(E44-C44),$X$19:$X$30,$W$19:$W$30)+1,1)-INDEX($X$19:$X$30,LOOKUP((D44-C44)/(E44-C44),$X$19:$X$30,$W$19:$W$30),1)))) )</f>
        <v>#N/A</v>
      </c>
      <c r="N52" s="105" t="e">
        <v>#N/A</v>
      </c>
      <c r="O52" s="105" t="e">
        <v>#N/A</v>
      </c>
      <c r="P52" s="105" t="e">
        <v>#N/A</v>
      </c>
      <c r="Q52" s="105" t="e">
        <v>#N/A</v>
      </c>
      <c r="R52" s="105" t="e">
        <v>#N/A</v>
      </c>
      <c r="S52" s="105" t="e">
        <v>#N/A</v>
      </c>
      <c r="T52" s="105" t="e">
        <v>#N/A</v>
      </c>
      <c r="U52" s="106" t="e">
        <v>#N/A</v>
      </c>
      <c r="W52" s="122"/>
      <c r="X52" s="123">
        <v>0.99000000000000066</v>
      </c>
      <c r="Y52" s="122">
        <v>0.90541091558269315</v>
      </c>
      <c r="Z52" s="122">
        <v>0.76548854477159345</v>
      </c>
      <c r="AA52" s="124">
        <v>0.68980264846457129</v>
      </c>
      <c r="AB52" s="124">
        <v>0.64375759004460276</v>
      </c>
      <c r="AC52" s="124">
        <v>0.59173477901891314</v>
      </c>
      <c r="AD52" s="92">
        <v>0.56032608581195764</v>
      </c>
      <c r="AE52" s="122">
        <v>0.53968373687514648</v>
      </c>
      <c r="AF52" s="124">
        <v>0.51747798592012439</v>
      </c>
      <c r="AG52" s="124">
        <v>0.49434237662165487</v>
      </c>
      <c r="AH52" s="124">
        <v>0.47452327058147853</v>
      </c>
      <c r="AI52" s="92">
        <v>0.45717404023621128</v>
      </c>
      <c r="AJ52" s="124">
        <v>0.44218691518591796</v>
      </c>
      <c r="AK52" s="124">
        <v>0.42957324869107438</v>
      </c>
      <c r="AL52" s="124">
        <v>0.41939902973420262</v>
      </c>
      <c r="AM52" s="124">
        <v>0.41081015556724482</v>
      </c>
      <c r="AN52" s="124">
        <v>0.40410069289852352</v>
      </c>
      <c r="AO52" s="122">
        <v>0.39883343295486384</v>
      </c>
      <c r="AP52" s="124">
        <v>0.39485411558777045</v>
      </c>
      <c r="AQ52" s="124">
        <v>0.39203206991030698</v>
      </c>
      <c r="AR52" s="124">
        <v>0.39001798322714332</v>
      </c>
      <c r="AS52" s="92">
        <v>0.38833929266660849</v>
      </c>
      <c r="AT52" s="124">
        <v>0.38699797514415951</v>
      </c>
      <c r="AU52" s="124">
        <v>0.38588356145295044</v>
      </c>
      <c r="AV52" s="124">
        <v>0.38491359485167459</v>
      </c>
      <c r="AW52" s="124">
        <v>0.38405818892409804</v>
      </c>
      <c r="AX52" s="92">
        <v>0.38331092141367168</v>
      </c>
      <c r="AY52" s="125">
        <v>0.38331092141367168</v>
      </c>
    </row>
    <row r="53" spans="2:51" x14ac:dyDescent="0.2">
      <c r="M53" s="105">
        <f t="array" ref="M53:U53">TRANSPOSE( MMULT($Z$19:$AH$27,((LN(INDEX($Y$36:$AY$143,9*LOOKUP((D45-C45)/(E45-C45),$X$19:$X$30,$W$19:$W$30)-8,LOOKUP(F45,$Y$35:$AY$35,$Y$34:$AY$34)):INDEX($Y$36:$AY$143,9*LOOKUP((D45-C45)/(E45-C45),$X$19:$X$30,$W$19:$W$30),LOOKUP(F45,$Y$35:$AY$35,$Y$34:$AY$34))/(1-INDEX($Y$36:$AY$143,9*LOOKUP((D45-C45)/(E45-C45),$X$19:$X$30,$W$19:$W$30)-8,LOOKUP(F45,$Y$35:$AY$35,$Y$34:$AY$34)):INDEX($Y$36:$AY$143,9*LOOKUP((D45-C45)/(E45-C45),$X$19:$X$30,$W$19:$W$30),LOOKUP(F45,$Y$35:$AY$35,$Y$34:$AY$34)))))*((INDEX($Y$35:$AY$35,1,LOOKUP(F45,$Y$35:$AY$35,$Y$34:$AY$34)+1)-F45)/(INDEX($Y$35:$AY$35,1,LOOKUP(F45,$Y$35:$AY$35,$Y$34:$AY$34)+1)-INDEX($Y$35:$AY$35,1,LOOKUP(F45,$Y$35:$AY$35,$Y$34:$AY$34))))+(LN(INDEX($Y$36:$AY$143,9*LOOKUP((D45-C45)/(E45-C45),$X$19:$X$30,$W$19:$W$30)-8,LOOKUP(F45,$Y$35:$AY$35,$Y$34:$AY$34)+1):INDEX($Y$36:$AY$143,9*LOOKUP((D45-C45)/(E45-C45),$X$19:$X$30,$W$19:$W$30),LOOKUP(F45,$Y$35:$AY$35,$Y$34:$AY$34)+1)/(1-INDEX($Y$36:$AY$143,9*LOOKUP((D45-C45)/(E45-C45),$X$19:$X$30,$W$19:$W$30)-8,LOOKUP(F45,$Y$35:$AY$35,$Y$34:$AY$34)+1):INDEX($Y$36:$AY$143,9*LOOKUP((D45-C45)/(E45-C45),$X$19:$X$30,$W$19:$W$30),LOOKUP(F45,$Y$35:$AY$35,$Y$34:$AY$34)+1))))*(1-((INDEX($Y$35:$AY$35,1,LOOKUP(F45,$Y$35:$AY$35,$Y$34:$AY$34)+1)-F45)/(INDEX($Y$35:$AY$35,1,LOOKUP(F45,$Y$35:$AY$35,$Y$34:$AY$34)+1)-INDEX($Y$35:$AY$35,1,LOOKUP(F45,$Y$35:$AY$35,$Y$34:$AY$34))))))*((INDEX($X$19:$X$30,LOOKUP((D45-C45)/(E45-C45),$X$19:$X$30,$W$19:$W$30)+1,1)-(D45-C45)/(E45-C45))/(INDEX($X$19:$X$30,LOOKUP((D45-C45)/(E45-C45),$X$19:$X$30,$W$19:$W$30)+1,1)-INDEX($X$19:$X$30,LOOKUP((D45-C45)/(E45-C45),$X$19:$X$30,$W$19:$W$30),1)))+((LN(INDEX($Y$36:$AY$143,9*LOOKUP((D45-C45)/(E45-C45),$X$19:$X$30,$W$19:$W$30)+1,LOOKUP(F45,$Y$35:$AY$35,$Y$34:$AY$34)):INDEX($Y$36:$AY$143,9*LOOKUP((D45-C45)/(E45-C45),$X$19:$X$30,$W$19:$W$30)+9,LOOKUP(F45,$Y$35:$AY$35,$Y$34:$AY$34))/(1-INDEX($Y$36:$AY$143,9*LOOKUP((D45-C45)/(E45-C45),$X$19:$X$30,$W$19:$W$30)+1,LOOKUP(F45,$Y$35:$AY$35,$Y$34:$AY$34)):INDEX($Y$36:$AY$143,9*LOOKUP((D45-C45)/(E45-C45),$X$19:$X$30,$W$19:$W$30)+9,LOOKUP(F45,$Y$35:$AY$35,$Y$34:$AY$34)))))*((INDEX($Y$35:$AY$35,1,LOOKUP(F45,$Y$35:$AY$35,$Y$34:$AY$34)+1)-F45)/(INDEX($Y$35:$AY$35,1,LOOKUP(F45,$Y$35:$AY$35,$Y$34:$AY$34)+1)-INDEX($Y$35:$AY$35,1,LOOKUP(F45,$Y$35:$AY$35,$Y$34:$AY$34))))+(LN(INDEX($Y$36:$AY$143,9*LOOKUP((D45-C45)/(E45-C45),$X$19:$X$30,$W$19:$W$30)+1,LOOKUP(F45,$Y$35:$AY$35,$Y$34:$AY$34)+1):INDEX($Y$36:$AY$143,9*LOOKUP((D45-C45)/(E45-C45),$X$19:$X$30,$W$19:$W$30)+9,LOOKUP(F45,$Y$35:$AY$35,$Y$34:$AY$34)+1)/(1-INDEX($Y$36:$AY$143,9*LOOKUP((D45-C45)/(E45-C45),$X$19:$X$30,$W$19:$W$30)+1,LOOKUP(F45,$Y$35:$AY$35,$Y$34:$AY$34)+1):INDEX($Y$36:$AY$143,9*LOOKUP((D45-C45)/(E45-C45),$X$19:$X$30,$W$19:$W$30)+9,LOOKUP(F45,$Y$35:$AY$35,$Y$34:$AY$34)+1))))*(1-((INDEX($Y$35:$AY$35,1,LOOKUP(F45,$Y$35:$AY$35,$Y$34:$AY$34)+1)-F45)/(INDEX($Y$35:$AY$35,1,LOOKUP(F45,$Y$35:$AY$35,$Y$34:$AY$34)+1)-INDEX($Y$35:$AY$35,1,LOOKUP(F45,$Y$35:$AY$35,$Y$34:$AY$34))))))*(1-(INDEX($X$19:$X$30,LOOKUP((D45-C45)/(E45-C45),$X$19:$X$30,$W$19:$W$30)+1,1)-(D45-C45)/(E45-C45))/(INDEX($X$19:$X$30,LOOKUP((D45-C45)/(E45-C45),$X$19:$X$30,$W$19:$W$30)+1,1)-INDEX($X$19:$X$30,LOOKUP((D45-C45)/(E45-C45),$X$19:$X$30,$W$19:$W$30),1)))) )</f>
        <v>-0.54089906764438567</v>
      </c>
      <c r="N53" s="105">
        <v>1.1735868067402233E-2</v>
      </c>
      <c r="O53" s="105">
        <v>-1.8554976146574198E-2</v>
      </c>
      <c r="P53" s="105">
        <v>1.8018992815956274</v>
      </c>
      <c r="Q53" s="105">
        <v>-0.14504595466790704</v>
      </c>
      <c r="R53" s="105">
        <v>1.0164665247050344</v>
      </c>
      <c r="S53" s="105">
        <v>-2.4867309230744752</v>
      </c>
      <c r="T53" s="105">
        <v>0.23415855523417761</v>
      </c>
      <c r="U53" s="106">
        <v>-1.1184084603887641</v>
      </c>
      <c r="W53" s="126"/>
      <c r="X53" s="127">
        <v>0.999</v>
      </c>
      <c r="Y53" s="126">
        <v>0.96955050209620863</v>
      </c>
      <c r="Z53" s="126">
        <v>0.86827022661148934</v>
      </c>
      <c r="AA53" s="128">
        <v>0.78914125953127567</v>
      </c>
      <c r="AB53" s="128">
        <v>0.73341035476870509</v>
      </c>
      <c r="AC53" s="128">
        <v>0.66775977175585843</v>
      </c>
      <c r="AD53" s="100">
        <v>0.62730317946509317</v>
      </c>
      <c r="AE53" s="126">
        <v>0.59870495314085204</v>
      </c>
      <c r="AF53" s="128">
        <v>0.56880049030821678</v>
      </c>
      <c r="AG53" s="128">
        <v>0.53814047001842236</v>
      </c>
      <c r="AH53" s="128">
        <v>0.51116057538978754</v>
      </c>
      <c r="AI53" s="100">
        <v>0.4883869673902051</v>
      </c>
      <c r="AJ53" s="128">
        <v>0.4675193997907694</v>
      </c>
      <c r="AK53" s="128">
        <v>0.4505824907774138</v>
      </c>
      <c r="AL53" s="128">
        <v>0.43732517743335608</v>
      </c>
      <c r="AM53" s="128">
        <v>0.42561814540729281</v>
      </c>
      <c r="AN53" s="128">
        <v>0.41628220969444429</v>
      </c>
      <c r="AO53" s="126">
        <v>0.40948719011451479</v>
      </c>
      <c r="AP53" s="128">
        <v>0.4042492671855934</v>
      </c>
      <c r="AQ53" s="128">
        <v>0.40044866150611846</v>
      </c>
      <c r="AR53" s="128">
        <v>0.39759753938528619</v>
      </c>
      <c r="AS53" s="100">
        <v>0.39555578848388001</v>
      </c>
      <c r="AT53" s="128">
        <v>0.39367620476850507</v>
      </c>
      <c r="AU53" s="128">
        <v>0.39228481663639791</v>
      </c>
      <c r="AV53" s="128">
        <v>0.39097125126448218</v>
      </c>
      <c r="AW53" s="128">
        <v>0.38988035627959955</v>
      </c>
      <c r="AX53" s="100">
        <v>0.38886568050774373</v>
      </c>
      <c r="AY53" s="129">
        <v>0.38886568050774373</v>
      </c>
    </row>
    <row r="54" spans="2:51" x14ac:dyDescent="0.2">
      <c r="M54" s="105">
        <f t="array" ref="M54:U54">TRANSPOSE( MMULT($Z$19:$AH$27,((LN(INDEX($Y$36:$AY$143,9*LOOKUP((D46-C46)/(E46-C46),$X$19:$X$30,$W$19:$W$30)-8,LOOKUP(F46,$Y$35:$AY$35,$Y$34:$AY$34)):INDEX($Y$36:$AY$143,9*LOOKUP((D46-C46)/(E46-C46),$X$19:$X$30,$W$19:$W$30),LOOKUP(F46,$Y$35:$AY$35,$Y$34:$AY$34))/(1-INDEX($Y$36:$AY$143,9*LOOKUP((D46-C46)/(E46-C46),$X$19:$X$30,$W$19:$W$30)-8,LOOKUP(F46,$Y$35:$AY$35,$Y$34:$AY$34)):INDEX($Y$36:$AY$143,9*LOOKUP((D46-C46)/(E46-C46),$X$19:$X$30,$W$19:$W$30),LOOKUP(F46,$Y$35:$AY$35,$Y$34:$AY$34)))))*((INDEX($Y$35:$AY$35,1,LOOKUP(F46,$Y$35:$AY$35,$Y$34:$AY$34)+1)-F46)/(INDEX($Y$35:$AY$35,1,LOOKUP(F46,$Y$35:$AY$35,$Y$34:$AY$34)+1)-INDEX($Y$35:$AY$35,1,LOOKUP(F46,$Y$35:$AY$35,$Y$34:$AY$34))))+(LN(INDEX($Y$36:$AY$143,9*LOOKUP((D46-C46)/(E46-C46),$X$19:$X$30,$W$19:$W$30)-8,LOOKUP(F46,$Y$35:$AY$35,$Y$34:$AY$34)+1):INDEX($Y$36:$AY$143,9*LOOKUP((D46-C46)/(E46-C46),$X$19:$X$30,$W$19:$W$30),LOOKUP(F46,$Y$35:$AY$35,$Y$34:$AY$34)+1)/(1-INDEX($Y$36:$AY$143,9*LOOKUP((D46-C46)/(E46-C46),$X$19:$X$30,$W$19:$W$30)-8,LOOKUP(F46,$Y$35:$AY$35,$Y$34:$AY$34)+1):INDEX($Y$36:$AY$143,9*LOOKUP((D46-C46)/(E46-C46),$X$19:$X$30,$W$19:$W$30),LOOKUP(F46,$Y$35:$AY$35,$Y$34:$AY$34)+1))))*(1-((INDEX($Y$35:$AY$35,1,LOOKUP(F46,$Y$35:$AY$35,$Y$34:$AY$34)+1)-F46)/(INDEX($Y$35:$AY$35,1,LOOKUP(F46,$Y$35:$AY$35,$Y$34:$AY$34)+1)-INDEX($Y$35:$AY$35,1,LOOKUP(F46,$Y$35:$AY$35,$Y$34:$AY$34))))))*((INDEX($X$19:$X$30,LOOKUP((D46-C46)/(E46-C46),$X$19:$X$30,$W$19:$W$30)+1,1)-(D46-C46)/(E46-C46))/(INDEX($X$19:$X$30,LOOKUP((D46-C46)/(E46-C46),$X$19:$X$30,$W$19:$W$30)+1,1)-INDEX($X$19:$X$30,LOOKUP((D46-C46)/(E46-C46),$X$19:$X$30,$W$19:$W$30),1)))+((LN(INDEX($Y$36:$AY$143,9*LOOKUP((D46-C46)/(E46-C46),$X$19:$X$30,$W$19:$W$30)+1,LOOKUP(F46,$Y$35:$AY$35,$Y$34:$AY$34)):INDEX($Y$36:$AY$143,9*LOOKUP((D46-C46)/(E46-C46),$X$19:$X$30,$W$19:$W$30)+9,LOOKUP(F46,$Y$35:$AY$35,$Y$34:$AY$34))/(1-INDEX($Y$36:$AY$143,9*LOOKUP((D46-C46)/(E46-C46),$X$19:$X$30,$W$19:$W$30)+1,LOOKUP(F46,$Y$35:$AY$35,$Y$34:$AY$34)):INDEX($Y$36:$AY$143,9*LOOKUP((D46-C46)/(E46-C46),$X$19:$X$30,$W$19:$W$30)+9,LOOKUP(F46,$Y$35:$AY$35,$Y$34:$AY$34)))))*((INDEX($Y$35:$AY$35,1,LOOKUP(F46,$Y$35:$AY$35,$Y$34:$AY$34)+1)-F46)/(INDEX($Y$35:$AY$35,1,LOOKUP(F46,$Y$35:$AY$35,$Y$34:$AY$34)+1)-INDEX($Y$35:$AY$35,1,LOOKUP(F46,$Y$35:$AY$35,$Y$34:$AY$34))))+(LN(INDEX($Y$36:$AY$143,9*LOOKUP((D46-C46)/(E46-C46),$X$19:$X$30,$W$19:$W$30)+1,LOOKUP(F46,$Y$35:$AY$35,$Y$34:$AY$34)+1):INDEX($Y$36:$AY$143,9*LOOKUP((D46-C46)/(E46-C46),$X$19:$X$30,$W$19:$W$30)+9,LOOKUP(F46,$Y$35:$AY$35,$Y$34:$AY$34)+1)/(1-INDEX($Y$36:$AY$143,9*LOOKUP((D46-C46)/(E46-C46),$X$19:$X$30,$W$19:$W$30)+1,LOOKUP(F46,$Y$35:$AY$35,$Y$34:$AY$34)+1):INDEX($Y$36:$AY$143,9*LOOKUP((D46-C46)/(E46-C46),$X$19:$X$30,$W$19:$W$30)+9,LOOKUP(F46,$Y$35:$AY$35,$Y$34:$AY$34)+1))))*(1-((INDEX($Y$35:$AY$35,1,LOOKUP(F46,$Y$35:$AY$35,$Y$34:$AY$34)+1)-F46)/(INDEX($Y$35:$AY$35,1,LOOKUP(F46,$Y$35:$AY$35,$Y$34:$AY$34)+1)-INDEX($Y$35:$AY$35,1,LOOKUP(F46,$Y$35:$AY$35,$Y$34:$AY$34))))))*(1-(INDEX($X$19:$X$30,LOOKUP((D46-C46)/(E46-C46),$X$19:$X$30,$W$19:$W$30)+1,1)-(D46-C46)/(E46-C46))/(INDEX($X$19:$X$30,LOOKUP((D46-C46)/(E46-C46),$X$19:$X$30,$W$19:$W$30)+1,1)-INDEX($X$19:$X$30,LOOKUP((D46-C46)/(E46-C46),$X$19:$X$30,$W$19:$W$30),1)))) )</f>
        <v>-0.54089906764438567</v>
      </c>
      <c r="N54" s="105">
        <v>1.1735868067402233E-2</v>
      </c>
      <c r="O54" s="105">
        <v>-1.8554976146574198E-2</v>
      </c>
      <c r="P54" s="105">
        <v>1.8018992815956274</v>
      </c>
      <c r="Q54" s="105">
        <v>-0.14504595466790704</v>
      </c>
      <c r="R54" s="105">
        <v>1.0164665247050344</v>
      </c>
      <c r="S54" s="105">
        <v>-2.4867309230744752</v>
      </c>
      <c r="T54" s="105">
        <v>0.23415855523417761</v>
      </c>
      <c r="U54" s="106">
        <v>-1.1184084603887641</v>
      </c>
      <c r="W54" s="118"/>
      <c r="X54" s="119">
        <v>1E-3</v>
      </c>
      <c r="Y54" s="118">
        <v>1.4075565228477277E-2</v>
      </c>
      <c r="Z54" s="118">
        <v>6.3336941204611502E-2</v>
      </c>
      <c r="AA54" s="120">
        <v>9.9888991128719254E-2</v>
      </c>
      <c r="AB54" s="120">
        <v>0.12722594914597199</v>
      </c>
      <c r="AC54" s="120">
        <v>0.16520109616354675</v>
      </c>
      <c r="AD54" s="83">
        <v>0.19057348163916168</v>
      </c>
      <c r="AE54" s="118">
        <v>0.20974265828019473</v>
      </c>
      <c r="AF54" s="120">
        <v>0.22972208852270762</v>
      </c>
      <c r="AG54" s="120">
        <v>0.25400566203570535</v>
      </c>
      <c r="AH54" s="120">
        <v>0.27442359657772036</v>
      </c>
      <c r="AI54" s="83">
        <v>0.29272334880727796</v>
      </c>
      <c r="AJ54" s="120">
        <v>0.30952292618465554</v>
      </c>
      <c r="AK54" s="120">
        <v>0.32385012925358525</v>
      </c>
      <c r="AL54" s="120">
        <v>0.33580534761372804</v>
      </c>
      <c r="AM54" s="120">
        <v>0.34559104969104243</v>
      </c>
      <c r="AN54" s="120">
        <v>0.35397863907960903</v>
      </c>
      <c r="AO54" s="118">
        <v>0.36012062921430976</v>
      </c>
      <c r="AP54" s="120">
        <v>0.36477255547810233</v>
      </c>
      <c r="AQ54" s="120">
        <v>0.36813980621134723</v>
      </c>
      <c r="AR54" s="120">
        <v>0.37080824465309059</v>
      </c>
      <c r="AS54" s="83">
        <v>0.37273382835465035</v>
      </c>
      <c r="AT54" s="120">
        <v>0.37431226142063201</v>
      </c>
      <c r="AU54" s="120">
        <v>0.37581476100521299</v>
      </c>
      <c r="AV54" s="120">
        <v>0.377138416065051</v>
      </c>
      <c r="AW54" s="120">
        <v>0.37812909808555717</v>
      </c>
      <c r="AX54" s="83">
        <v>0.37909319446581796</v>
      </c>
      <c r="AY54" s="121">
        <v>0.37909319446581796</v>
      </c>
    </row>
    <row r="55" spans="2:51" x14ac:dyDescent="0.2">
      <c r="M55" s="105" t="e">
        <f t="array" ref="M55:U55">TRANSPOSE( MMULT($Z$19:$AH$27,((LN(INDEX($Y$36:$AY$143,9*LOOKUP((D47-C47)/(E47-C47),$X$19:$X$30,$W$19:$W$30)-8,LOOKUP(F47,$Y$35:$AY$35,$Y$34:$AY$34)):INDEX($Y$36:$AY$143,9*LOOKUP((D47-C47)/(E47-C47),$X$19:$X$30,$W$19:$W$30),LOOKUP(F47,$Y$35:$AY$35,$Y$34:$AY$34))/(1-INDEX($Y$36:$AY$143,9*LOOKUP((D47-C47)/(E47-C47),$X$19:$X$30,$W$19:$W$30)-8,LOOKUP(F47,$Y$35:$AY$35,$Y$34:$AY$34)):INDEX($Y$36:$AY$143,9*LOOKUP((D47-C47)/(E47-C47),$X$19:$X$30,$W$19:$W$30),LOOKUP(F47,$Y$35:$AY$35,$Y$34:$AY$34)))))*((INDEX($Y$35:$AY$35,1,LOOKUP(F47,$Y$35:$AY$35,$Y$34:$AY$34)+1)-F47)/(INDEX($Y$35:$AY$35,1,LOOKUP(F47,$Y$35:$AY$35,$Y$34:$AY$34)+1)-INDEX($Y$35:$AY$35,1,LOOKUP(F47,$Y$35:$AY$35,$Y$34:$AY$34))))+(LN(INDEX($Y$36:$AY$143,9*LOOKUP((D47-C47)/(E47-C47),$X$19:$X$30,$W$19:$W$30)-8,LOOKUP(F47,$Y$35:$AY$35,$Y$34:$AY$34)+1):INDEX($Y$36:$AY$143,9*LOOKUP((D47-C47)/(E47-C47),$X$19:$X$30,$W$19:$W$30),LOOKUP(F47,$Y$35:$AY$35,$Y$34:$AY$34)+1)/(1-INDEX($Y$36:$AY$143,9*LOOKUP((D47-C47)/(E47-C47),$X$19:$X$30,$W$19:$W$30)-8,LOOKUP(F47,$Y$35:$AY$35,$Y$34:$AY$34)+1):INDEX($Y$36:$AY$143,9*LOOKUP((D47-C47)/(E47-C47),$X$19:$X$30,$W$19:$W$30),LOOKUP(F47,$Y$35:$AY$35,$Y$34:$AY$34)+1))))*(1-((INDEX($Y$35:$AY$35,1,LOOKUP(F47,$Y$35:$AY$35,$Y$34:$AY$34)+1)-F47)/(INDEX($Y$35:$AY$35,1,LOOKUP(F47,$Y$35:$AY$35,$Y$34:$AY$34)+1)-INDEX($Y$35:$AY$35,1,LOOKUP(F47,$Y$35:$AY$35,$Y$34:$AY$34))))))*((INDEX($X$19:$X$30,LOOKUP((D47-C47)/(E47-C47),$X$19:$X$30,$W$19:$W$30)+1,1)-(D47-C47)/(E47-C47))/(INDEX($X$19:$X$30,LOOKUP((D47-C47)/(E47-C47),$X$19:$X$30,$W$19:$W$30)+1,1)-INDEX($X$19:$X$30,LOOKUP((D47-C47)/(E47-C47),$X$19:$X$30,$W$19:$W$30),1)))+((LN(INDEX($Y$36:$AY$143,9*LOOKUP((D47-C47)/(E47-C47),$X$19:$X$30,$W$19:$W$30)+1,LOOKUP(F47,$Y$35:$AY$35,$Y$34:$AY$34)):INDEX($Y$36:$AY$143,9*LOOKUP((D47-C47)/(E47-C47),$X$19:$X$30,$W$19:$W$30)+9,LOOKUP(F47,$Y$35:$AY$35,$Y$34:$AY$34))/(1-INDEX($Y$36:$AY$143,9*LOOKUP((D47-C47)/(E47-C47),$X$19:$X$30,$W$19:$W$30)+1,LOOKUP(F47,$Y$35:$AY$35,$Y$34:$AY$34)):INDEX($Y$36:$AY$143,9*LOOKUP((D47-C47)/(E47-C47),$X$19:$X$30,$W$19:$W$30)+9,LOOKUP(F47,$Y$35:$AY$35,$Y$34:$AY$34)))))*((INDEX($Y$35:$AY$35,1,LOOKUP(F47,$Y$35:$AY$35,$Y$34:$AY$34)+1)-F47)/(INDEX($Y$35:$AY$35,1,LOOKUP(F47,$Y$35:$AY$35,$Y$34:$AY$34)+1)-INDEX($Y$35:$AY$35,1,LOOKUP(F47,$Y$35:$AY$35,$Y$34:$AY$34))))+(LN(INDEX($Y$36:$AY$143,9*LOOKUP((D47-C47)/(E47-C47),$X$19:$X$30,$W$19:$W$30)+1,LOOKUP(F47,$Y$35:$AY$35,$Y$34:$AY$34)+1):INDEX($Y$36:$AY$143,9*LOOKUP((D47-C47)/(E47-C47),$X$19:$X$30,$W$19:$W$30)+9,LOOKUP(F47,$Y$35:$AY$35,$Y$34:$AY$34)+1)/(1-INDEX($Y$36:$AY$143,9*LOOKUP((D47-C47)/(E47-C47),$X$19:$X$30,$W$19:$W$30)+1,LOOKUP(F47,$Y$35:$AY$35,$Y$34:$AY$34)+1):INDEX($Y$36:$AY$143,9*LOOKUP((D47-C47)/(E47-C47),$X$19:$X$30,$W$19:$W$30)+9,LOOKUP(F47,$Y$35:$AY$35,$Y$34:$AY$34)+1))))*(1-((INDEX($Y$35:$AY$35,1,LOOKUP(F47,$Y$35:$AY$35,$Y$34:$AY$34)+1)-F47)/(INDEX($Y$35:$AY$35,1,LOOKUP(F47,$Y$35:$AY$35,$Y$34:$AY$34)+1)-INDEX($Y$35:$AY$35,1,LOOKUP(F47,$Y$35:$AY$35,$Y$34:$AY$34))))))*(1-(INDEX($X$19:$X$30,LOOKUP((D47-C47)/(E47-C47),$X$19:$X$30,$W$19:$W$30)+1,1)-(D47-C47)/(E47-C47))/(INDEX($X$19:$X$30,LOOKUP((D47-C47)/(E47-C47),$X$19:$X$30,$W$19:$W$30)+1,1)-INDEX($X$19:$X$30,LOOKUP((D47-C47)/(E47-C47),$X$19:$X$30,$W$19:$W$30),1)))) )</f>
        <v>#N/A</v>
      </c>
      <c r="N55" s="105" t="e">
        <v>#N/A</v>
      </c>
      <c r="O55" s="105" t="e">
        <v>#N/A</v>
      </c>
      <c r="P55" s="105" t="e">
        <v>#N/A</v>
      </c>
      <c r="Q55" s="105" t="e">
        <v>#N/A</v>
      </c>
      <c r="R55" s="105" t="e">
        <v>#N/A</v>
      </c>
      <c r="S55" s="105" t="e">
        <v>#N/A</v>
      </c>
      <c r="T55" s="105" t="e">
        <v>#N/A</v>
      </c>
      <c r="U55" s="106" t="e">
        <v>#N/A</v>
      </c>
      <c r="W55" s="122"/>
      <c r="X55" s="123">
        <v>0.01</v>
      </c>
      <c r="Y55" s="122">
        <v>4.4736514461054269E-2</v>
      </c>
      <c r="Z55" s="122">
        <v>0.11074505748006606</v>
      </c>
      <c r="AA55" s="124">
        <v>0.14956978226681239</v>
      </c>
      <c r="AB55" s="124">
        <v>0.17594623037246979</v>
      </c>
      <c r="AC55" s="124">
        <v>0.21135803971410183</v>
      </c>
      <c r="AD55" s="92">
        <v>0.23436984017853316</v>
      </c>
      <c r="AE55" s="122">
        <v>0.25026617372478172</v>
      </c>
      <c r="AF55" s="124">
        <v>0.2673510569454729</v>
      </c>
      <c r="AG55" s="124">
        <v>0.28669542016437111</v>
      </c>
      <c r="AH55" s="124">
        <v>0.30313357738484181</v>
      </c>
      <c r="AI55" s="92">
        <v>0.31745996556048567</v>
      </c>
      <c r="AJ55" s="124">
        <v>0.33060005988017088</v>
      </c>
      <c r="AK55" s="124">
        <v>0.34203399763163694</v>
      </c>
      <c r="AL55" s="124">
        <v>0.35120704609440345</v>
      </c>
      <c r="AM55" s="124">
        <v>0.35871366450955594</v>
      </c>
      <c r="AN55" s="124">
        <v>0.36500652299596292</v>
      </c>
      <c r="AO55" s="122">
        <v>0.36971459524894285</v>
      </c>
      <c r="AP55" s="124">
        <v>0.37337879364275345</v>
      </c>
      <c r="AQ55" s="124">
        <v>0.37593648085100134</v>
      </c>
      <c r="AR55" s="124">
        <v>0.37790808872246034</v>
      </c>
      <c r="AS55" s="92">
        <v>0.37943925427047304</v>
      </c>
      <c r="AT55" s="124">
        <v>0.3806619365220395</v>
      </c>
      <c r="AU55" s="124">
        <v>0.38172341899089818</v>
      </c>
      <c r="AV55" s="124">
        <v>0.38263910872878681</v>
      </c>
      <c r="AW55" s="124">
        <v>0.38346539733129881</v>
      </c>
      <c r="AX55" s="92">
        <v>0.38419075351453835</v>
      </c>
      <c r="AY55" s="125">
        <v>0.38419075351453835</v>
      </c>
    </row>
    <row r="56" spans="2:51" x14ac:dyDescent="0.2">
      <c r="M56" s="105" t="e">
        <f t="array" ref="M56:U56">TRANSPOSE( MMULT($Z$19:$AH$27,((LN(INDEX($Y$36:$AY$143,9*LOOKUP((D48-C48)/(E48-C48),$X$19:$X$30,$W$19:$W$30)-8,LOOKUP(F48,$Y$35:$AY$35,$Y$34:$AY$34)):INDEX($Y$36:$AY$143,9*LOOKUP((D48-C48)/(E48-C48),$X$19:$X$30,$W$19:$W$30),LOOKUP(F48,$Y$35:$AY$35,$Y$34:$AY$34))/(1-INDEX($Y$36:$AY$143,9*LOOKUP((D48-C48)/(E48-C48),$X$19:$X$30,$W$19:$W$30)-8,LOOKUP(F48,$Y$35:$AY$35,$Y$34:$AY$34)):INDEX($Y$36:$AY$143,9*LOOKUP((D48-C48)/(E48-C48),$X$19:$X$30,$W$19:$W$30),LOOKUP(F48,$Y$35:$AY$35,$Y$34:$AY$34)))))*((INDEX($Y$35:$AY$35,1,LOOKUP(F48,$Y$35:$AY$35,$Y$34:$AY$34)+1)-F48)/(INDEX($Y$35:$AY$35,1,LOOKUP(F48,$Y$35:$AY$35,$Y$34:$AY$34)+1)-INDEX($Y$35:$AY$35,1,LOOKUP(F48,$Y$35:$AY$35,$Y$34:$AY$34))))+(LN(INDEX($Y$36:$AY$143,9*LOOKUP((D48-C48)/(E48-C48),$X$19:$X$30,$W$19:$W$30)-8,LOOKUP(F48,$Y$35:$AY$35,$Y$34:$AY$34)+1):INDEX($Y$36:$AY$143,9*LOOKUP((D48-C48)/(E48-C48),$X$19:$X$30,$W$19:$W$30),LOOKUP(F48,$Y$35:$AY$35,$Y$34:$AY$34)+1)/(1-INDEX($Y$36:$AY$143,9*LOOKUP((D48-C48)/(E48-C48),$X$19:$X$30,$W$19:$W$30)-8,LOOKUP(F48,$Y$35:$AY$35,$Y$34:$AY$34)+1):INDEX($Y$36:$AY$143,9*LOOKUP((D48-C48)/(E48-C48),$X$19:$X$30,$W$19:$W$30),LOOKUP(F48,$Y$35:$AY$35,$Y$34:$AY$34)+1))))*(1-((INDEX($Y$35:$AY$35,1,LOOKUP(F48,$Y$35:$AY$35,$Y$34:$AY$34)+1)-F48)/(INDEX($Y$35:$AY$35,1,LOOKUP(F48,$Y$35:$AY$35,$Y$34:$AY$34)+1)-INDEX($Y$35:$AY$35,1,LOOKUP(F48,$Y$35:$AY$35,$Y$34:$AY$34))))))*((INDEX($X$19:$X$30,LOOKUP((D48-C48)/(E48-C48),$X$19:$X$30,$W$19:$W$30)+1,1)-(D48-C48)/(E48-C48))/(INDEX($X$19:$X$30,LOOKUP((D48-C48)/(E48-C48),$X$19:$X$30,$W$19:$W$30)+1,1)-INDEX($X$19:$X$30,LOOKUP((D48-C48)/(E48-C48),$X$19:$X$30,$W$19:$W$30),1)))+((LN(INDEX($Y$36:$AY$143,9*LOOKUP((D48-C48)/(E48-C48),$X$19:$X$30,$W$19:$W$30)+1,LOOKUP(F48,$Y$35:$AY$35,$Y$34:$AY$34)):INDEX($Y$36:$AY$143,9*LOOKUP((D48-C48)/(E48-C48),$X$19:$X$30,$W$19:$W$30)+9,LOOKUP(F48,$Y$35:$AY$35,$Y$34:$AY$34))/(1-INDEX($Y$36:$AY$143,9*LOOKUP((D48-C48)/(E48-C48),$X$19:$X$30,$W$19:$W$30)+1,LOOKUP(F48,$Y$35:$AY$35,$Y$34:$AY$34)):INDEX($Y$36:$AY$143,9*LOOKUP((D48-C48)/(E48-C48),$X$19:$X$30,$W$19:$W$30)+9,LOOKUP(F48,$Y$35:$AY$35,$Y$34:$AY$34)))))*((INDEX($Y$35:$AY$35,1,LOOKUP(F48,$Y$35:$AY$35,$Y$34:$AY$34)+1)-F48)/(INDEX($Y$35:$AY$35,1,LOOKUP(F48,$Y$35:$AY$35,$Y$34:$AY$34)+1)-INDEX($Y$35:$AY$35,1,LOOKUP(F48,$Y$35:$AY$35,$Y$34:$AY$34))))+(LN(INDEX($Y$36:$AY$143,9*LOOKUP((D48-C48)/(E48-C48),$X$19:$X$30,$W$19:$W$30)+1,LOOKUP(F48,$Y$35:$AY$35,$Y$34:$AY$34)+1):INDEX($Y$36:$AY$143,9*LOOKUP((D48-C48)/(E48-C48),$X$19:$X$30,$W$19:$W$30)+9,LOOKUP(F48,$Y$35:$AY$35,$Y$34:$AY$34)+1)/(1-INDEX($Y$36:$AY$143,9*LOOKUP((D48-C48)/(E48-C48),$X$19:$X$30,$W$19:$W$30)+1,LOOKUP(F48,$Y$35:$AY$35,$Y$34:$AY$34)+1):INDEX($Y$36:$AY$143,9*LOOKUP((D48-C48)/(E48-C48),$X$19:$X$30,$W$19:$W$30)+9,LOOKUP(F48,$Y$35:$AY$35,$Y$34:$AY$34)+1))))*(1-((INDEX($Y$35:$AY$35,1,LOOKUP(F48,$Y$35:$AY$35,$Y$34:$AY$34)+1)-F48)/(INDEX($Y$35:$AY$35,1,LOOKUP(F48,$Y$35:$AY$35,$Y$34:$AY$34)+1)-INDEX($Y$35:$AY$35,1,LOOKUP(F48,$Y$35:$AY$35,$Y$34:$AY$34))))))*(1-(INDEX($X$19:$X$30,LOOKUP((D48-C48)/(E48-C48),$X$19:$X$30,$W$19:$W$30)+1,1)-(D48-C48)/(E48-C48))/(INDEX($X$19:$X$30,LOOKUP((D48-C48)/(E48-C48),$X$19:$X$30,$W$19:$W$30)+1,1)-INDEX($X$19:$X$30,LOOKUP((D48-C48)/(E48-C48),$X$19:$X$30,$W$19:$W$30),1)))) )</f>
        <v>#N/A</v>
      </c>
      <c r="N56" s="105" t="e">
        <v>#N/A</v>
      </c>
      <c r="O56" s="105" t="e">
        <v>#N/A</v>
      </c>
      <c r="P56" s="105" t="e">
        <v>#N/A</v>
      </c>
      <c r="Q56" s="105" t="e">
        <v>#N/A</v>
      </c>
      <c r="R56" s="105" t="e">
        <v>#N/A</v>
      </c>
      <c r="S56" s="105" t="e">
        <v>#N/A</v>
      </c>
      <c r="T56" s="105" t="e">
        <v>#N/A</v>
      </c>
      <c r="U56" s="106" t="e">
        <v>#N/A</v>
      </c>
      <c r="W56" s="122"/>
      <c r="X56" s="123">
        <v>9.9999999999999992E-2</v>
      </c>
      <c r="Y56" s="122">
        <v>0.14127225703028334</v>
      </c>
      <c r="Z56" s="122">
        <v>0.20680349578490492</v>
      </c>
      <c r="AA56" s="124">
        <v>0.2414468989630609</v>
      </c>
      <c r="AB56" s="124">
        <v>0.26295726598944419</v>
      </c>
      <c r="AC56" s="124">
        <v>0.28799119940718654</v>
      </c>
      <c r="AD56" s="92">
        <v>0.30298836137144064</v>
      </c>
      <c r="AE56" s="122">
        <v>0.31309087986714934</v>
      </c>
      <c r="AF56" s="124">
        <v>0.32384748408307418</v>
      </c>
      <c r="AG56" s="124">
        <v>0.33525172231464179</v>
      </c>
      <c r="AH56" s="124">
        <v>0.3448597835128161</v>
      </c>
      <c r="AI56" s="92">
        <v>0.35347611197354339</v>
      </c>
      <c r="AJ56" s="124">
        <v>0.36096876074450074</v>
      </c>
      <c r="AK56" s="124">
        <v>0.36756746988880501</v>
      </c>
      <c r="AL56" s="124">
        <v>0.37276712672941875</v>
      </c>
      <c r="AM56" s="124">
        <v>0.37704841814902451</v>
      </c>
      <c r="AN56" s="124">
        <v>0.38053417157434771</v>
      </c>
      <c r="AO56" s="122">
        <v>0.38322708654850168</v>
      </c>
      <c r="AP56" s="124">
        <v>0.38526843416053042</v>
      </c>
      <c r="AQ56" s="124">
        <v>0.38668873450033886</v>
      </c>
      <c r="AR56" s="124">
        <v>0.38777659270339598</v>
      </c>
      <c r="AS56" s="92">
        <v>0.38862264165693061</v>
      </c>
      <c r="AT56" s="124">
        <v>0.38932481074176239</v>
      </c>
      <c r="AU56" s="124">
        <v>0.38990996662024413</v>
      </c>
      <c r="AV56" s="124">
        <v>0.39039146884429876</v>
      </c>
      <c r="AW56" s="124">
        <v>0.39085130754343039</v>
      </c>
      <c r="AX56" s="92">
        <v>0.39124455373281591</v>
      </c>
      <c r="AY56" s="125">
        <v>0.39124455373281591</v>
      </c>
    </row>
    <row r="57" spans="2:51" x14ac:dyDescent="0.2">
      <c r="M57" s="105" t="e">
        <f t="array" ref="M57:U57">TRANSPOSE( MMULT($Z$19:$AH$27,((LN(INDEX($Y$36:$AY$143,9*LOOKUP((D49-C49)/(E49-C49),$X$19:$X$30,$W$19:$W$30)-8,LOOKUP(F49,$Y$35:$AY$35,$Y$34:$AY$34)):INDEX($Y$36:$AY$143,9*LOOKUP((D49-C49)/(E49-C49),$X$19:$X$30,$W$19:$W$30),LOOKUP(F49,$Y$35:$AY$35,$Y$34:$AY$34))/(1-INDEX($Y$36:$AY$143,9*LOOKUP((D49-C49)/(E49-C49),$X$19:$X$30,$W$19:$W$30)-8,LOOKUP(F49,$Y$35:$AY$35,$Y$34:$AY$34)):INDEX($Y$36:$AY$143,9*LOOKUP((D49-C49)/(E49-C49),$X$19:$X$30,$W$19:$W$30),LOOKUP(F49,$Y$35:$AY$35,$Y$34:$AY$34)))))*((INDEX($Y$35:$AY$35,1,LOOKUP(F49,$Y$35:$AY$35,$Y$34:$AY$34)+1)-F49)/(INDEX($Y$35:$AY$35,1,LOOKUP(F49,$Y$35:$AY$35,$Y$34:$AY$34)+1)-INDEX($Y$35:$AY$35,1,LOOKUP(F49,$Y$35:$AY$35,$Y$34:$AY$34))))+(LN(INDEX($Y$36:$AY$143,9*LOOKUP((D49-C49)/(E49-C49),$X$19:$X$30,$W$19:$W$30)-8,LOOKUP(F49,$Y$35:$AY$35,$Y$34:$AY$34)+1):INDEX($Y$36:$AY$143,9*LOOKUP((D49-C49)/(E49-C49),$X$19:$X$30,$W$19:$W$30),LOOKUP(F49,$Y$35:$AY$35,$Y$34:$AY$34)+1)/(1-INDEX($Y$36:$AY$143,9*LOOKUP((D49-C49)/(E49-C49),$X$19:$X$30,$W$19:$W$30)-8,LOOKUP(F49,$Y$35:$AY$35,$Y$34:$AY$34)+1):INDEX($Y$36:$AY$143,9*LOOKUP((D49-C49)/(E49-C49),$X$19:$X$30,$W$19:$W$30),LOOKUP(F49,$Y$35:$AY$35,$Y$34:$AY$34)+1))))*(1-((INDEX($Y$35:$AY$35,1,LOOKUP(F49,$Y$35:$AY$35,$Y$34:$AY$34)+1)-F49)/(INDEX($Y$35:$AY$35,1,LOOKUP(F49,$Y$35:$AY$35,$Y$34:$AY$34)+1)-INDEX($Y$35:$AY$35,1,LOOKUP(F49,$Y$35:$AY$35,$Y$34:$AY$34))))))*((INDEX($X$19:$X$30,LOOKUP((D49-C49)/(E49-C49),$X$19:$X$30,$W$19:$W$30)+1,1)-(D49-C49)/(E49-C49))/(INDEX($X$19:$X$30,LOOKUP((D49-C49)/(E49-C49),$X$19:$X$30,$W$19:$W$30)+1,1)-INDEX($X$19:$X$30,LOOKUP((D49-C49)/(E49-C49),$X$19:$X$30,$W$19:$W$30),1)))+((LN(INDEX($Y$36:$AY$143,9*LOOKUP((D49-C49)/(E49-C49),$X$19:$X$30,$W$19:$W$30)+1,LOOKUP(F49,$Y$35:$AY$35,$Y$34:$AY$34)):INDEX($Y$36:$AY$143,9*LOOKUP((D49-C49)/(E49-C49),$X$19:$X$30,$W$19:$W$30)+9,LOOKUP(F49,$Y$35:$AY$35,$Y$34:$AY$34))/(1-INDEX($Y$36:$AY$143,9*LOOKUP((D49-C49)/(E49-C49),$X$19:$X$30,$W$19:$W$30)+1,LOOKUP(F49,$Y$35:$AY$35,$Y$34:$AY$34)):INDEX($Y$36:$AY$143,9*LOOKUP((D49-C49)/(E49-C49),$X$19:$X$30,$W$19:$W$30)+9,LOOKUP(F49,$Y$35:$AY$35,$Y$34:$AY$34)))))*((INDEX($Y$35:$AY$35,1,LOOKUP(F49,$Y$35:$AY$35,$Y$34:$AY$34)+1)-F49)/(INDEX($Y$35:$AY$35,1,LOOKUP(F49,$Y$35:$AY$35,$Y$34:$AY$34)+1)-INDEX($Y$35:$AY$35,1,LOOKUP(F49,$Y$35:$AY$35,$Y$34:$AY$34))))+(LN(INDEX($Y$36:$AY$143,9*LOOKUP((D49-C49)/(E49-C49),$X$19:$X$30,$W$19:$W$30)+1,LOOKUP(F49,$Y$35:$AY$35,$Y$34:$AY$34)+1):INDEX($Y$36:$AY$143,9*LOOKUP((D49-C49)/(E49-C49),$X$19:$X$30,$W$19:$W$30)+9,LOOKUP(F49,$Y$35:$AY$35,$Y$34:$AY$34)+1)/(1-INDEX($Y$36:$AY$143,9*LOOKUP((D49-C49)/(E49-C49),$X$19:$X$30,$W$19:$W$30)+1,LOOKUP(F49,$Y$35:$AY$35,$Y$34:$AY$34)+1):INDEX($Y$36:$AY$143,9*LOOKUP((D49-C49)/(E49-C49),$X$19:$X$30,$W$19:$W$30)+9,LOOKUP(F49,$Y$35:$AY$35,$Y$34:$AY$34)+1))))*(1-((INDEX($Y$35:$AY$35,1,LOOKUP(F49,$Y$35:$AY$35,$Y$34:$AY$34)+1)-F49)/(INDEX($Y$35:$AY$35,1,LOOKUP(F49,$Y$35:$AY$35,$Y$34:$AY$34)+1)-INDEX($Y$35:$AY$35,1,LOOKUP(F49,$Y$35:$AY$35,$Y$34:$AY$34))))))*(1-(INDEX($X$19:$X$30,LOOKUP((D49-C49)/(E49-C49),$X$19:$X$30,$W$19:$W$30)+1,1)-(D49-C49)/(E49-C49))/(INDEX($X$19:$X$30,LOOKUP((D49-C49)/(E49-C49),$X$19:$X$30,$W$19:$W$30)+1,1)-INDEX($X$19:$X$30,LOOKUP((D49-C49)/(E49-C49),$X$19:$X$30,$W$19:$W$30),1)))) )</f>
        <v>#N/A</v>
      </c>
      <c r="N57" s="105" t="e">
        <v>#N/A</v>
      </c>
      <c r="O57" s="105" t="e">
        <v>#N/A</v>
      </c>
      <c r="P57" s="105" t="e">
        <v>#N/A</v>
      </c>
      <c r="Q57" s="105" t="e">
        <v>#N/A</v>
      </c>
      <c r="R57" s="105" t="e">
        <v>#N/A</v>
      </c>
      <c r="S57" s="105" t="e">
        <v>#N/A</v>
      </c>
      <c r="T57" s="105" t="e">
        <v>#N/A</v>
      </c>
      <c r="U57" s="106" t="e">
        <v>#N/A</v>
      </c>
      <c r="W57" s="122"/>
      <c r="X57" s="123">
        <v>0.25000000000000006</v>
      </c>
      <c r="Y57" s="122">
        <v>0.22571216190677276</v>
      </c>
      <c r="Z57" s="122">
        <v>0.28520442528262252</v>
      </c>
      <c r="AA57" s="124">
        <v>0.30968738782219235</v>
      </c>
      <c r="AB57" s="124">
        <v>0.32304980414186091</v>
      </c>
      <c r="AC57" s="124">
        <v>0.33784764699386555</v>
      </c>
      <c r="AD57" s="92">
        <v>0.34671142407949135</v>
      </c>
      <c r="AE57" s="122">
        <v>0.35249327736099889</v>
      </c>
      <c r="AF57" s="124">
        <v>0.35855245030669081</v>
      </c>
      <c r="AG57" s="124">
        <v>0.36484731142712834</v>
      </c>
      <c r="AH57" s="124">
        <v>0.37024975955759809</v>
      </c>
      <c r="AI57" s="92">
        <v>0.37503950740679765</v>
      </c>
      <c r="AJ57" s="124">
        <v>0.37911318416104939</v>
      </c>
      <c r="AK57" s="124">
        <v>0.38267369974706</v>
      </c>
      <c r="AL57" s="124">
        <v>0.38550999415924625</v>
      </c>
      <c r="AM57" s="124">
        <v>0.3878435801723138</v>
      </c>
      <c r="AN57" s="124">
        <v>0.38969235977896288</v>
      </c>
      <c r="AO57" s="122">
        <v>0.39112543852032744</v>
      </c>
      <c r="AP57" s="124">
        <v>0.39220548650451992</v>
      </c>
      <c r="AQ57" s="124">
        <v>0.39296818986673077</v>
      </c>
      <c r="AR57" s="124">
        <v>0.39354103888076936</v>
      </c>
      <c r="AS57" s="92">
        <v>0.39399863295883547</v>
      </c>
      <c r="AT57" s="124">
        <v>0.39436653146198025</v>
      </c>
      <c r="AU57" s="124">
        <v>0.39467755950557903</v>
      </c>
      <c r="AV57" s="124">
        <v>0.39494608944566295</v>
      </c>
      <c r="AW57" s="124">
        <v>0.39518125983783153</v>
      </c>
      <c r="AX57" s="92">
        <v>0.39539548435146926</v>
      </c>
      <c r="AY57" s="125">
        <v>0.39539548435146926</v>
      </c>
    </row>
    <row r="58" spans="2:51" x14ac:dyDescent="0.2">
      <c r="M58" s="105" t="e">
        <f t="array" ref="M58:U58">TRANSPOSE( MMULT($Z$19:$AH$27,((LN(INDEX($Y$36:$AY$143,9*LOOKUP((D50-C50)/(E50-C50),$X$19:$X$30,$W$19:$W$30)-8,LOOKUP(F50,$Y$35:$AY$35,$Y$34:$AY$34)):INDEX($Y$36:$AY$143,9*LOOKUP((D50-C50)/(E50-C50),$X$19:$X$30,$W$19:$W$30),LOOKUP(F50,$Y$35:$AY$35,$Y$34:$AY$34))/(1-INDEX($Y$36:$AY$143,9*LOOKUP((D50-C50)/(E50-C50),$X$19:$X$30,$W$19:$W$30)-8,LOOKUP(F50,$Y$35:$AY$35,$Y$34:$AY$34)):INDEX($Y$36:$AY$143,9*LOOKUP((D50-C50)/(E50-C50),$X$19:$X$30,$W$19:$W$30),LOOKUP(F50,$Y$35:$AY$35,$Y$34:$AY$34)))))*((INDEX($Y$35:$AY$35,1,LOOKUP(F50,$Y$35:$AY$35,$Y$34:$AY$34)+1)-F50)/(INDEX($Y$35:$AY$35,1,LOOKUP(F50,$Y$35:$AY$35,$Y$34:$AY$34)+1)-INDEX($Y$35:$AY$35,1,LOOKUP(F50,$Y$35:$AY$35,$Y$34:$AY$34))))+(LN(INDEX($Y$36:$AY$143,9*LOOKUP((D50-C50)/(E50-C50),$X$19:$X$30,$W$19:$W$30)-8,LOOKUP(F50,$Y$35:$AY$35,$Y$34:$AY$34)+1):INDEX($Y$36:$AY$143,9*LOOKUP((D50-C50)/(E50-C50),$X$19:$X$30,$W$19:$W$30),LOOKUP(F50,$Y$35:$AY$35,$Y$34:$AY$34)+1)/(1-INDEX($Y$36:$AY$143,9*LOOKUP((D50-C50)/(E50-C50),$X$19:$X$30,$W$19:$W$30)-8,LOOKUP(F50,$Y$35:$AY$35,$Y$34:$AY$34)+1):INDEX($Y$36:$AY$143,9*LOOKUP((D50-C50)/(E50-C50),$X$19:$X$30,$W$19:$W$30),LOOKUP(F50,$Y$35:$AY$35,$Y$34:$AY$34)+1))))*(1-((INDEX($Y$35:$AY$35,1,LOOKUP(F50,$Y$35:$AY$35,$Y$34:$AY$34)+1)-F50)/(INDEX($Y$35:$AY$35,1,LOOKUP(F50,$Y$35:$AY$35,$Y$34:$AY$34)+1)-INDEX($Y$35:$AY$35,1,LOOKUP(F50,$Y$35:$AY$35,$Y$34:$AY$34))))))*((INDEX($X$19:$X$30,LOOKUP((D50-C50)/(E50-C50),$X$19:$X$30,$W$19:$W$30)+1,1)-(D50-C50)/(E50-C50))/(INDEX($X$19:$X$30,LOOKUP((D50-C50)/(E50-C50),$X$19:$X$30,$W$19:$W$30)+1,1)-INDEX($X$19:$X$30,LOOKUP((D50-C50)/(E50-C50),$X$19:$X$30,$W$19:$W$30),1)))+((LN(INDEX($Y$36:$AY$143,9*LOOKUP((D50-C50)/(E50-C50),$X$19:$X$30,$W$19:$W$30)+1,LOOKUP(F50,$Y$35:$AY$35,$Y$34:$AY$34)):INDEX($Y$36:$AY$143,9*LOOKUP((D50-C50)/(E50-C50),$X$19:$X$30,$W$19:$W$30)+9,LOOKUP(F50,$Y$35:$AY$35,$Y$34:$AY$34))/(1-INDEX($Y$36:$AY$143,9*LOOKUP((D50-C50)/(E50-C50),$X$19:$X$30,$W$19:$W$30)+1,LOOKUP(F50,$Y$35:$AY$35,$Y$34:$AY$34)):INDEX($Y$36:$AY$143,9*LOOKUP((D50-C50)/(E50-C50),$X$19:$X$30,$W$19:$W$30)+9,LOOKUP(F50,$Y$35:$AY$35,$Y$34:$AY$34)))))*((INDEX($Y$35:$AY$35,1,LOOKUP(F50,$Y$35:$AY$35,$Y$34:$AY$34)+1)-F50)/(INDEX($Y$35:$AY$35,1,LOOKUP(F50,$Y$35:$AY$35,$Y$34:$AY$34)+1)-INDEX($Y$35:$AY$35,1,LOOKUP(F50,$Y$35:$AY$35,$Y$34:$AY$34))))+(LN(INDEX($Y$36:$AY$143,9*LOOKUP((D50-C50)/(E50-C50),$X$19:$X$30,$W$19:$W$30)+1,LOOKUP(F50,$Y$35:$AY$35,$Y$34:$AY$34)+1):INDEX($Y$36:$AY$143,9*LOOKUP((D50-C50)/(E50-C50),$X$19:$X$30,$W$19:$W$30)+9,LOOKUP(F50,$Y$35:$AY$35,$Y$34:$AY$34)+1)/(1-INDEX($Y$36:$AY$143,9*LOOKUP((D50-C50)/(E50-C50),$X$19:$X$30,$W$19:$W$30)+1,LOOKUP(F50,$Y$35:$AY$35,$Y$34:$AY$34)+1):INDEX($Y$36:$AY$143,9*LOOKUP((D50-C50)/(E50-C50),$X$19:$X$30,$W$19:$W$30)+9,LOOKUP(F50,$Y$35:$AY$35,$Y$34:$AY$34)+1))))*(1-((INDEX($Y$35:$AY$35,1,LOOKUP(F50,$Y$35:$AY$35,$Y$34:$AY$34)+1)-F50)/(INDEX($Y$35:$AY$35,1,LOOKUP(F50,$Y$35:$AY$35,$Y$34:$AY$34)+1)-INDEX($Y$35:$AY$35,1,LOOKUP(F50,$Y$35:$AY$35,$Y$34:$AY$34))))))*(1-(INDEX($X$19:$X$30,LOOKUP((D50-C50)/(E50-C50),$X$19:$X$30,$W$19:$W$30)+1,1)-(D50-C50)/(E50-C50))/(INDEX($X$19:$X$30,LOOKUP((D50-C50)/(E50-C50),$X$19:$X$30,$W$19:$W$30)+1,1)-INDEX($X$19:$X$30,LOOKUP((D50-C50)/(E50-C50),$X$19:$X$30,$W$19:$W$30),1)))) )</f>
        <v>#N/A</v>
      </c>
      <c r="N58" s="105" t="e">
        <v>#N/A</v>
      </c>
      <c r="O58" s="105" t="e">
        <v>#N/A</v>
      </c>
      <c r="P58" s="105" t="e">
        <v>#N/A</v>
      </c>
      <c r="Q58" s="105" t="e">
        <v>#N/A</v>
      </c>
      <c r="R58" s="105" t="e">
        <v>#N/A</v>
      </c>
      <c r="S58" s="105" t="e">
        <v>#N/A</v>
      </c>
      <c r="T58" s="105" t="e">
        <v>#N/A</v>
      </c>
      <c r="U58" s="106" t="e">
        <v>#N/A</v>
      </c>
      <c r="W58" s="122">
        <f>X21</f>
        <v>0.2</v>
      </c>
      <c r="X58" s="123">
        <v>0.50000000000000022</v>
      </c>
      <c r="Y58" s="122">
        <v>0.36807231250530947</v>
      </c>
      <c r="Z58" s="122">
        <v>0.39053235920932061</v>
      </c>
      <c r="AA58" s="124">
        <v>0.39402928095918283</v>
      </c>
      <c r="AB58" s="124">
        <v>0.39540747027565909</v>
      </c>
      <c r="AC58" s="124">
        <v>0.39697152070678554</v>
      </c>
      <c r="AD58" s="92">
        <v>0.39771713104931555</v>
      </c>
      <c r="AE58" s="122">
        <v>0.39813465352668026</v>
      </c>
      <c r="AF58" s="124">
        <v>0.39862320771338972</v>
      </c>
      <c r="AG58" s="124">
        <v>0.39896359932644315</v>
      </c>
      <c r="AH58" s="124">
        <v>0.39919626561206545</v>
      </c>
      <c r="AI58" s="92">
        <v>0.39944985271701655</v>
      </c>
      <c r="AJ58" s="124">
        <v>0.39961438409753075</v>
      </c>
      <c r="AK58" s="124">
        <v>0.39975758229567881</v>
      </c>
      <c r="AL58" s="124">
        <v>0.39982613710045478</v>
      </c>
      <c r="AM58" s="124">
        <v>0.39987187419747855</v>
      </c>
      <c r="AN58" s="124">
        <v>0.39992055668270071</v>
      </c>
      <c r="AO58" s="122">
        <v>0.39996190317409663</v>
      </c>
      <c r="AP58" s="124">
        <v>0.39996327995290659</v>
      </c>
      <c r="AQ58" s="124">
        <v>0.39996855782692481</v>
      </c>
      <c r="AR58" s="124">
        <v>0.39998238972298467</v>
      </c>
      <c r="AS58" s="92">
        <v>0.39997450618487274</v>
      </c>
      <c r="AT58" s="124">
        <v>0.39998683724825412</v>
      </c>
      <c r="AU58" s="124">
        <v>0.39997621866525435</v>
      </c>
      <c r="AV58" s="124">
        <v>0.39998971590078614</v>
      </c>
      <c r="AW58" s="124">
        <v>0.39998855534438593</v>
      </c>
      <c r="AX58" s="92">
        <v>0.39999060378376849</v>
      </c>
      <c r="AY58" s="125">
        <v>0.39999060378376849</v>
      </c>
    </row>
    <row r="59" spans="2:51" x14ac:dyDescent="0.2">
      <c r="N59" s="130"/>
      <c r="O59" s="131"/>
      <c r="P59" s="131"/>
      <c r="Q59" s="131"/>
      <c r="R59" s="131"/>
      <c r="S59" s="131"/>
      <c r="T59" s="131"/>
      <c r="U59" s="132"/>
      <c r="W59" s="122"/>
      <c r="X59" s="123">
        <v>0.75000000000000044</v>
      </c>
      <c r="Y59" s="122">
        <v>0.55350852431501463</v>
      </c>
      <c r="Z59" s="122">
        <v>0.50353283426316009</v>
      </c>
      <c r="AA59" s="124">
        <v>0.48361431646418179</v>
      </c>
      <c r="AB59" s="124">
        <v>0.47202023751261968</v>
      </c>
      <c r="AC59" s="124">
        <v>0.45876964768776696</v>
      </c>
      <c r="AD59" s="92">
        <v>0.45098089968367455</v>
      </c>
      <c r="AE59" s="122">
        <v>0.44544678299176299</v>
      </c>
      <c r="AF59" s="124">
        <v>0.43990500010477107</v>
      </c>
      <c r="AG59" s="124">
        <v>0.43398118853190332</v>
      </c>
      <c r="AH59" s="124">
        <v>0.42880363389154919</v>
      </c>
      <c r="AI59" s="92">
        <v>0.42443655164857402</v>
      </c>
      <c r="AJ59" s="124">
        <v>0.4204052221470389</v>
      </c>
      <c r="AK59" s="124">
        <v>0.41700635893589427</v>
      </c>
      <c r="AL59" s="124">
        <v>0.41431190730902628</v>
      </c>
      <c r="AM59" s="124">
        <v>0.41211081039902658</v>
      </c>
      <c r="AN59" s="124">
        <v>0.41027009752195243</v>
      </c>
      <c r="AO59" s="122">
        <v>0.4088495461269443</v>
      </c>
      <c r="AP59" s="124">
        <v>0.40778198465912296</v>
      </c>
      <c r="AQ59" s="124">
        <v>0.40700747270676557</v>
      </c>
      <c r="AR59" s="124">
        <v>0.40642895362071174</v>
      </c>
      <c r="AS59" s="92">
        <v>0.40597852511159993</v>
      </c>
      <c r="AT59" s="124">
        <v>0.40561232453083607</v>
      </c>
      <c r="AU59" s="124">
        <v>0.40531181276603639</v>
      </c>
      <c r="AV59" s="124">
        <v>0.40505264483159992</v>
      </c>
      <c r="AW59" s="124">
        <v>0.40481494329556034</v>
      </c>
      <c r="AX59" s="92">
        <v>0.40460544114626062</v>
      </c>
      <c r="AY59" s="125">
        <v>0.40460544114626062</v>
      </c>
    </row>
    <row r="60" spans="2:51" x14ac:dyDescent="0.2">
      <c r="N60" s="130"/>
      <c r="O60" s="131"/>
      <c r="P60" s="131"/>
      <c r="Q60" s="131"/>
      <c r="R60" s="131"/>
      <c r="S60" s="131"/>
      <c r="T60" s="131"/>
      <c r="U60" s="132"/>
      <c r="W60" s="122"/>
      <c r="X60" s="123">
        <v>0.90000000000000058</v>
      </c>
      <c r="Y60" s="122">
        <v>0.71712850620330626</v>
      </c>
      <c r="Z60" s="122">
        <v>0.60638743434322284</v>
      </c>
      <c r="AA60" s="124">
        <v>0.56637090148310787</v>
      </c>
      <c r="AB60" s="124">
        <v>0.54307881234235189</v>
      </c>
      <c r="AC60" s="124">
        <v>0.51559493134543655</v>
      </c>
      <c r="AD60" s="92">
        <v>0.49993308288184746</v>
      </c>
      <c r="AE60" s="122">
        <v>0.48898727615656606</v>
      </c>
      <c r="AF60" s="124">
        <v>0.47784905026394248</v>
      </c>
      <c r="AG60" s="124">
        <v>0.46604105143250596</v>
      </c>
      <c r="AH60" s="124">
        <v>0.45594103768428823</v>
      </c>
      <c r="AI60" s="92">
        <v>0.44712142287363349</v>
      </c>
      <c r="AJ60" s="124">
        <v>0.43936143136415323</v>
      </c>
      <c r="AK60" s="124">
        <v>0.43275775000787986</v>
      </c>
      <c r="AL60" s="124">
        <v>0.4274644520507373</v>
      </c>
      <c r="AM60" s="124">
        <v>0.42317753617194603</v>
      </c>
      <c r="AN60" s="124">
        <v>0.4196364680511257</v>
      </c>
      <c r="AO60" s="122">
        <v>0.41689688337855269</v>
      </c>
      <c r="AP60" s="124">
        <v>0.41484490850092215</v>
      </c>
      <c r="AQ60" s="124">
        <v>0.41337017478314797</v>
      </c>
      <c r="AR60" s="124">
        <v>0.41228722336945739</v>
      </c>
      <c r="AS60" s="92">
        <v>0.41140922443488587</v>
      </c>
      <c r="AT60" s="124">
        <v>0.41071762662649736</v>
      </c>
      <c r="AU60" s="124">
        <v>0.4101189151527625</v>
      </c>
      <c r="AV60" s="124">
        <v>0.4096328690768038</v>
      </c>
      <c r="AW60" s="124">
        <v>0.40918126990232945</v>
      </c>
      <c r="AX60" s="92">
        <v>0.40877371444845062</v>
      </c>
      <c r="AY60" s="125">
        <v>0.40877371444845062</v>
      </c>
    </row>
    <row r="61" spans="2:51" x14ac:dyDescent="0.2">
      <c r="N61" s="130"/>
      <c r="O61" s="131"/>
      <c r="P61" s="131"/>
      <c r="Q61" s="131"/>
      <c r="R61" s="131"/>
      <c r="S61" s="131"/>
      <c r="T61" s="131"/>
      <c r="U61" s="132"/>
      <c r="W61" s="122"/>
      <c r="X61" s="123">
        <v>0.99000000000000066</v>
      </c>
      <c r="Y61" s="122">
        <v>0.910820555976394</v>
      </c>
      <c r="Z61" s="122">
        <v>0.77890047965609099</v>
      </c>
      <c r="AA61" s="124">
        <v>0.70754313229758792</v>
      </c>
      <c r="AB61" s="124">
        <v>0.66405659132661954</v>
      </c>
      <c r="AC61" s="124">
        <v>0.6147104498379341</v>
      </c>
      <c r="AD61" s="92">
        <v>0.58483898626987807</v>
      </c>
      <c r="AE61" s="122">
        <v>0.56510206382700423</v>
      </c>
      <c r="AF61" s="124">
        <v>0.54411572789093554</v>
      </c>
      <c r="AG61" s="124">
        <v>0.52219620248800236</v>
      </c>
      <c r="AH61" s="124">
        <v>0.50319455889608178</v>
      </c>
      <c r="AI61" s="92">
        <v>0.48667254269155991</v>
      </c>
      <c r="AJ61" s="124">
        <v>0.47235236742681458</v>
      </c>
      <c r="AK61" s="124">
        <v>0.46029989864654502</v>
      </c>
      <c r="AL61" s="124">
        <v>0.45054652265107747</v>
      </c>
      <c r="AM61" s="124">
        <v>0.44235410798841301</v>
      </c>
      <c r="AN61" s="124">
        <v>0.43591128388190159</v>
      </c>
      <c r="AO61" s="122">
        <v>0.43086151993529337</v>
      </c>
      <c r="AP61" s="124">
        <v>0.42706417481896508</v>
      </c>
      <c r="AQ61" s="124">
        <v>0.42435038441086081</v>
      </c>
      <c r="AR61" s="124">
        <v>0.42241124415831666</v>
      </c>
      <c r="AS61" s="92">
        <v>0.4207878715067408</v>
      </c>
      <c r="AT61" s="124">
        <v>0.41950844357475242</v>
      </c>
      <c r="AU61" s="124">
        <v>0.41845663038890657</v>
      </c>
      <c r="AV61" s="124">
        <v>0.41752362883182226</v>
      </c>
      <c r="AW61" s="124">
        <v>0.4167028331597683</v>
      </c>
      <c r="AX61" s="92">
        <v>0.41598268657045567</v>
      </c>
      <c r="AY61" s="125">
        <v>0.41598268657045567</v>
      </c>
    </row>
    <row r="62" spans="2:51" x14ac:dyDescent="0.2">
      <c r="N62" s="130"/>
      <c r="O62" s="131"/>
      <c r="P62" s="131"/>
      <c r="Q62" s="131"/>
      <c r="R62" s="131"/>
      <c r="S62" s="131"/>
      <c r="T62" s="131"/>
      <c r="U62" s="132"/>
      <c r="W62" s="126"/>
      <c r="X62" s="127">
        <v>0.999</v>
      </c>
      <c r="Y62" s="126">
        <v>0.9712919380646714</v>
      </c>
      <c r="Z62" s="126">
        <v>0.87580397860375581</v>
      </c>
      <c r="AA62" s="128">
        <v>0.80120047298948094</v>
      </c>
      <c r="AB62" s="128">
        <v>0.74865687208378062</v>
      </c>
      <c r="AC62" s="128">
        <v>0.68676025432657062</v>
      </c>
      <c r="AD62" s="100">
        <v>0.64821039133483926</v>
      </c>
      <c r="AE62" s="126">
        <v>0.62138557632738067</v>
      </c>
      <c r="AF62" s="128">
        <v>0.59305628905809815</v>
      </c>
      <c r="AG62" s="128">
        <v>0.56374497419034497</v>
      </c>
      <c r="AH62" s="128">
        <v>0.53813488814779276</v>
      </c>
      <c r="AI62" s="100">
        <v>0.51631958800731181</v>
      </c>
      <c r="AJ62" s="128">
        <v>0.49648938592975844</v>
      </c>
      <c r="AK62" s="128">
        <v>0.48033191685694271</v>
      </c>
      <c r="AL62" s="128">
        <v>0.46760243263896661</v>
      </c>
      <c r="AM62" s="128">
        <v>0.4564467368021437</v>
      </c>
      <c r="AN62" s="128">
        <v>0.44752717009384541</v>
      </c>
      <c r="AO62" s="126">
        <v>0.44106015581541264</v>
      </c>
      <c r="AP62" s="128">
        <v>0.43603195721045451</v>
      </c>
      <c r="AQ62" s="128">
        <v>0.43240744998441982</v>
      </c>
      <c r="AR62" s="128">
        <v>0.4296799378728251</v>
      </c>
      <c r="AS62" s="100">
        <v>0.42771060657230064</v>
      </c>
      <c r="AT62" s="128">
        <v>0.42593764934130757</v>
      </c>
      <c r="AU62" s="128">
        <v>0.42456994068560144</v>
      </c>
      <c r="AV62" s="128">
        <v>0.42330332870340143</v>
      </c>
      <c r="AW62" s="128">
        <v>0.42227961360043659</v>
      </c>
      <c r="AX62" s="100">
        <v>0.42132937215528482</v>
      </c>
      <c r="AY62" s="129">
        <v>0.42132937215528482</v>
      </c>
    </row>
    <row r="63" spans="2:51" x14ac:dyDescent="0.2">
      <c r="N63" s="130"/>
      <c r="O63" s="79"/>
      <c r="P63" s="81"/>
      <c r="Q63" s="80"/>
      <c r="R63" s="133"/>
      <c r="S63" s="134"/>
      <c r="T63" s="80"/>
      <c r="U63" s="135"/>
      <c r="W63" s="118"/>
      <c r="X63" s="119">
        <v>1E-3</v>
      </c>
      <c r="Y63" s="118">
        <v>1.7238976325515323E-2</v>
      </c>
      <c r="Z63" s="118">
        <v>7.7571593909978545E-2</v>
      </c>
      <c r="AA63" s="120">
        <v>0.12226320781905615</v>
      </c>
      <c r="AB63" s="120">
        <v>0.15456494766402376</v>
      </c>
      <c r="AC63" s="120">
        <v>0.19682200469389391</v>
      </c>
      <c r="AD63" s="83">
        <v>0.22390321369128668</v>
      </c>
      <c r="AE63" s="118">
        <v>0.24392235060621242</v>
      </c>
      <c r="AF63" s="120">
        <v>0.26481048771333771</v>
      </c>
      <c r="AG63" s="120">
        <v>0.28915651566984218</v>
      </c>
      <c r="AH63" s="120">
        <v>0.310020749819306</v>
      </c>
      <c r="AI63" s="83">
        <v>0.32823230568897083</v>
      </c>
      <c r="AJ63" s="120">
        <v>0.34484518053805213</v>
      </c>
      <c r="AK63" s="120">
        <v>0.35882864065359571</v>
      </c>
      <c r="AL63" s="120">
        <v>0.37073277568933655</v>
      </c>
      <c r="AM63" s="120">
        <v>0.3802621089279733</v>
      </c>
      <c r="AN63" s="120">
        <v>0.38848129339403448</v>
      </c>
      <c r="AO63" s="118">
        <v>0.39450200072621522</v>
      </c>
      <c r="AP63" s="120">
        <v>0.39901819969512931</v>
      </c>
      <c r="AQ63" s="120">
        <v>0.40236163229076666</v>
      </c>
      <c r="AR63" s="120">
        <v>0.40494846097768039</v>
      </c>
      <c r="AS63" s="83">
        <v>0.40679920866925223</v>
      </c>
      <c r="AT63" s="120">
        <v>0.40839222935695951</v>
      </c>
      <c r="AU63" s="120">
        <v>0.40980381140540084</v>
      </c>
      <c r="AV63" s="120">
        <v>0.41111314122846493</v>
      </c>
      <c r="AW63" s="120">
        <v>0.41207837435873163</v>
      </c>
      <c r="AX63" s="83">
        <v>0.41300475069070386</v>
      </c>
      <c r="AY63" s="121">
        <v>0.41300475069070386</v>
      </c>
    </row>
    <row r="64" spans="2:51" x14ac:dyDescent="0.2">
      <c r="N64" s="130"/>
      <c r="O64" s="111"/>
      <c r="P64" s="136"/>
      <c r="Q64" s="112"/>
      <c r="R64" s="133"/>
      <c r="S64" s="111"/>
      <c r="T64" s="112"/>
      <c r="U64" s="135"/>
      <c r="W64" s="122"/>
      <c r="X64" s="123">
        <v>0.01</v>
      </c>
      <c r="Y64" s="122">
        <v>5.4790816650111873E-2</v>
      </c>
      <c r="Z64" s="122">
        <v>0.13562875509861141</v>
      </c>
      <c r="AA64" s="124">
        <v>0.18068456186977477</v>
      </c>
      <c r="AB64" s="124">
        <v>0.20959074343935682</v>
      </c>
      <c r="AC64" s="124">
        <v>0.24654580222183886</v>
      </c>
      <c r="AD64" s="92">
        <v>0.27000530877766499</v>
      </c>
      <c r="AE64" s="122">
        <v>0.28601795208010894</v>
      </c>
      <c r="AF64" s="124">
        <v>0.30309790927637043</v>
      </c>
      <c r="AG64" s="124">
        <v>0.32222765906016249</v>
      </c>
      <c r="AH64" s="124">
        <v>0.33864787158367649</v>
      </c>
      <c r="AI64" s="92">
        <v>0.35278398690451346</v>
      </c>
      <c r="AJ64" s="124">
        <v>0.36567297020525297</v>
      </c>
      <c r="AK64" s="124">
        <v>0.37679680739721255</v>
      </c>
      <c r="AL64" s="124">
        <v>0.3858116888492909</v>
      </c>
      <c r="AM64" s="124">
        <v>0.39316254771365478</v>
      </c>
      <c r="AN64" s="124">
        <v>0.39931186805219732</v>
      </c>
      <c r="AO64" s="122">
        <v>0.40388940768010712</v>
      </c>
      <c r="AP64" s="124">
        <v>0.40745887462416547</v>
      </c>
      <c r="AQ64" s="124">
        <v>0.40995760844804013</v>
      </c>
      <c r="AR64" s="124">
        <v>0.4118505122962966</v>
      </c>
      <c r="AS64" s="92">
        <v>0.41335210070673972</v>
      </c>
      <c r="AT64" s="124">
        <v>0.41454574748210954</v>
      </c>
      <c r="AU64" s="124">
        <v>0.41558912755441524</v>
      </c>
      <c r="AV64" s="124">
        <v>0.41646670956013665</v>
      </c>
      <c r="AW64" s="124">
        <v>0.4172747830586267</v>
      </c>
      <c r="AX64" s="92">
        <v>0.41796521092283029</v>
      </c>
      <c r="AY64" s="125">
        <v>0.41796521092283029</v>
      </c>
    </row>
    <row r="65" spans="14:51" x14ac:dyDescent="0.2">
      <c r="N65" s="130"/>
      <c r="O65" s="137"/>
      <c r="P65" s="138"/>
      <c r="Q65" s="83"/>
      <c r="R65" s="133"/>
      <c r="S65" s="139"/>
      <c r="T65" s="140"/>
      <c r="U65" s="141"/>
      <c r="W65" s="122"/>
      <c r="X65" s="123">
        <v>9.9999999999999992E-2</v>
      </c>
      <c r="Y65" s="122">
        <v>0.17302247226775386</v>
      </c>
      <c r="Z65" s="122">
        <v>0.24524293150887946</v>
      </c>
      <c r="AA65" s="124">
        <v>0.27918272850450404</v>
      </c>
      <c r="AB65" s="124">
        <v>0.29998708868300095</v>
      </c>
      <c r="AC65" s="124">
        <v>0.32439442173161809</v>
      </c>
      <c r="AD65" s="92">
        <v>0.33902414592875785</v>
      </c>
      <c r="AE65" s="122">
        <v>0.34883119486089265</v>
      </c>
      <c r="AF65" s="124">
        <v>0.35929802674076394</v>
      </c>
      <c r="AG65" s="124">
        <v>0.37036817312040959</v>
      </c>
      <c r="AH65" s="124">
        <v>0.3797446171653126</v>
      </c>
      <c r="AI65" s="92">
        <v>0.38812236759827601</v>
      </c>
      <c r="AJ65" s="124">
        <v>0.39540566564325075</v>
      </c>
      <c r="AK65" s="124">
        <v>0.40182412333098066</v>
      </c>
      <c r="AL65" s="124">
        <v>0.40688101963624518</v>
      </c>
      <c r="AM65" s="124">
        <v>0.41107146081063733</v>
      </c>
      <c r="AN65" s="124">
        <v>0.41444966526339394</v>
      </c>
      <c r="AO65" s="122">
        <v>0.41706262259280502</v>
      </c>
      <c r="AP65" s="124">
        <v>0.41903816375144637</v>
      </c>
      <c r="AQ65" s="124">
        <v>0.42042324789323909</v>
      </c>
      <c r="AR65" s="124">
        <v>0.42147929250461402</v>
      </c>
      <c r="AS65" s="92">
        <v>0.42229605118706948</v>
      </c>
      <c r="AT65" s="124">
        <v>0.4229796257477208</v>
      </c>
      <c r="AU65" s="124">
        <v>0.42353790430718014</v>
      </c>
      <c r="AV65" s="124">
        <v>0.42401390349509682</v>
      </c>
      <c r="AW65" s="124">
        <v>0.4244572413837947</v>
      </c>
      <c r="AX65" s="92">
        <v>0.42484125334399209</v>
      </c>
      <c r="AY65" s="125">
        <v>0.42484125334399209</v>
      </c>
    </row>
    <row r="66" spans="14:51" x14ac:dyDescent="0.2">
      <c r="N66" s="130"/>
      <c r="O66" s="142"/>
      <c r="P66" s="124"/>
      <c r="Q66" s="92"/>
      <c r="R66" s="133"/>
      <c r="S66" s="142"/>
      <c r="T66" s="86"/>
      <c r="U66" s="141"/>
      <c r="W66" s="122"/>
      <c r="X66" s="123">
        <v>0.25000000000000006</v>
      </c>
      <c r="Y66" s="122">
        <v>0.27418858276257552</v>
      </c>
      <c r="Z66" s="122">
        <v>0.32468832618444837</v>
      </c>
      <c r="AA66" s="124">
        <v>0.34703615477290001</v>
      </c>
      <c r="AB66" s="124">
        <v>0.35960105148990062</v>
      </c>
      <c r="AC66" s="124">
        <v>0.37362137699276604</v>
      </c>
      <c r="AD66" s="92">
        <v>0.38204048815778152</v>
      </c>
      <c r="AE66" s="122">
        <v>0.38753534855848243</v>
      </c>
      <c r="AF66" s="124">
        <v>0.39335807368507736</v>
      </c>
      <c r="AG66" s="124">
        <v>0.3994125222429622</v>
      </c>
      <c r="AH66" s="124">
        <v>0.40461076391139528</v>
      </c>
      <c r="AI66" s="92">
        <v>0.4091911729143925</v>
      </c>
      <c r="AJ66" s="124">
        <v>0.41316158679878962</v>
      </c>
      <c r="AK66" s="124">
        <v>0.41656435654700036</v>
      </c>
      <c r="AL66" s="124">
        <v>0.41931558486158432</v>
      </c>
      <c r="AM66" s="124">
        <v>0.42156095826113288</v>
      </c>
      <c r="AN66" s="124">
        <v>0.42335671281385956</v>
      </c>
      <c r="AO66" s="122">
        <v>0.42473872167969612</v>
      </c>
      <c r="AP66" s="124">
        <v>0.4257862320328043</v>
      </c>
      <c r="AQ66" s="124">
        <v>0.42652025984908642</v>
      </c>
      <c r="AR66" s="124">
        <v>0.42707512395700592</v>
      </c>
      <c r="AS66" s="92">
        <v>0.42752204237781444</v>
      </c>
      <c r="AT66" s="124">
        <v>0.42787813342592307</v>
      </c>
      <c r="AU66" s="124">
        <v>0.4281748261320702</v>
      </c>
      <c r="AV66" s="124">
        <v>0.42843764870969192</v>
      </c>
      <c r="AW66" s="124">
        <v>0.42866498027757927</v>
      </c>
      <c r="AX66" s="92">
        <v>0.42887634932659524</v>
      </c>
      <c r="AY66" s="125">
        <v>0.42887634932659524</v>
      </c>
    </row>
    <row r="67" spans="14:51" x14ac:dyDescent="0.2">
      <c r="N67" s="130"/>
      <c r="O67" s="142"/>
      <c r="P67" s="124"/>
      <c r="Q67" s="92"/>
      <c r="R67" s="133"/>
      <c r="S67" s="142"/>
      <c r="T67" s="86"/>
      <c r="U67" s="141"/>
      <c r="W67" s="122">
        <f>X22</f>
        <v>0.3</v>
      </c>
      <c r="X67" s="123">
        <v>0.50000000000000022</v>
      </c>
      <c r="Y67" s="122">
        <v>0.40888577504462903</v>
      </c>
      <c r="Z67" s="122">
        <v>0.42626937246879548</v>
      </c>
      <c r="AA67" s="124">
        <v>0.42894205889248382</v>
      </c>
      <c r="AB67" s="124">
        <v>0.42999763388513612</v>
      </c>
      <c r="AC67" s="124">
        <v>0.43113405806489313</v>
      </c>
      <c r="AD67" s="92">
        <v>0.43164469940222688</v>
      </c>
      <c r="AE67" s="122">
        <v>0.43199196833238096</v>
      </c>
      <c r="AF67" s="124">
        <v>0.43231000609198933</v>
      </c>
      <c r="AG67" s="124">
        <v>0.43257057171033053</v>
      </c>
      <c r="AH67" s="124">
        <v>0.43271476121745606</v>
      </c>
      <c r="AI67" s="92">
        <v>0.43291379748298497</v>
      </c>
      <c r="AJ67" s="124">
        <v>0.4330474456467367</v>
      </c>
      <c r="AK67" s="124">
        <v>0.43316862409634271</v>
      </c>
      <c r="AL67" s="124">
        <v>0.43319968016621274</v>
      </c>
      <c r="AM67" s="124">
        <v>0.43324156747309139</v>
      </c>
      <c r="AN67" s="124">
        <v>0.43327586406740554</v>
      </c>
      <c r="AO67" s="122">
        <v>0.43331554036060921</v>
      </c>
      <c r="AP67" s="124">
        <v>0.43331061638857871</v>
      </c>
      <c r="AQ67" s="124">
        <v>0.43331179085486327</v>
      </c>
      <c r="AR67" s="124">
        <v>0.43332332311303118</v>
      </c>
      <c r="AS67" s="92">
        <v>0.43331296234194072</v>
      </c>
      <c r="AT67" s="124">
        <v>0.43332823187182379</v>
      </c>
      <c r="AU67" s="124">
        <v>0.43331487875852193</v>
      </c>
      <c r="AV67" s="124">
        <v>0.43332765437783466</v>
      </c>
      <c r="AW67" s="124">
        <v>0.43332567225973834</v>
      </c>
      <c r="AX67" s="92">
        <v>0.43332744233141646</v>
      </c>
      <c r="AY67" s="125">
        <v>0.43332744233141646</v>
      </c>
    </row>
    <row r="68" spans="14:51" x14ac:dyDescent="0.2">
      <c r="N68" s="130"/>
      <c r="O68" s="142"/>
      <c r="P68" s="124"/>
      <c r="Q68" s="92"/>
      <c r="R68" s="133"/>
      <c r="S68" s="142"/>
      <c r="T68" s="86"/>
      <c r="U68" s="141"/>
      <c r="W68" s="122"/>
      <c r="X68" s="123">
        <v>0.75000000000000044</v>
      </c>
      <c r="Y68" s="122">
        <v>0.58234546796791931</v>
      </c>
      <c r="Z68" s="122">
        <v>0.5342165045713001</v>
      </c>
      <c r="AA68" s="124">
        <v>0.51499615837624013</v>
      </c>
      <c r="AB68" s="124">
        <v>0.50355277378157193</v>
      </c>
      <c r="AC68" s="124">
        <v>0.4906225978200161</v>
      </c>
      <c r="AD68" s="92">
        <v>0.48292513466288439</v>
      </c>
      <c r="AE68" s="122">
        <v>0.47760323570385443</v>
      </c>
      <c r="AF68" s="124">
        <v>0.47216972128816637</v>
      </c>
      <c r="AG68" s="124">
        <v>0.4664066701557078</v>
      </c>
      <c r="AH68" s="124">
        <v>0.46136298318001323</v>
      </c>
      <c r="AI68" s="92">
        <v>0.45707885049147878</v>
      </c>
      <c r="AJ68" s="124">
        <v>0.45317930815206908</v>
      </c>
      <c r="AK68" s="124">
        <v>0.44985434620723508</v>
      </c>
      <c r="AL68" s="124">
        <v>0.44723616478082162</v>
      </c>
      <c r="AM68" s="124">
        <v>0.44508115061729953</v>
      </c>
      <c r="AN68" s="124">
        <v>0.44331088801677954</v>
      </c>
      <c r="AO68" s="122">
        <v>0.44193263439824648</v>
      </c>
      <c r="AP68" s="124">
        <v>0.44088571050234443</v>
      </c>
      <c r="AQ68" s="124">
        <v>0.44013315575108508</v>
      </c>
      <c r="AR68" s="124">
        <v>0.43956992993341604</v>
      </c>
      <c r="AS68" s="92">
        <v>0.4391376182871784</v>
      </c>
      <c r="AT68" s="124">
        <v>0.43878195910332951</v>
      </c>
      <c r="AU68" s="124">
        <v>0.43848237555498337</v>
      </c>
      <c r="AV68" s="124">
        <v>0.43823300972018803</v>
      </c>
      <c r="AW68" s="124">
        <v>0.43800421230221509</v>
      </c>
      <c r="AX68" s="92">
        <v>0.43780562405046092</v>
      </c>
      <c r="AY68" s="125">
        <v>0.43780562405046092</v>
      </c>
    </row>
    <row r="69" spans="14:51" x14ac:dyDescent="0.2">
      <c r="N69" s="130"/>
      <c r="O69" s="142"/>
      <c r="P69" s="124"/>
      <c r="Q69" s="92"/>
      <c r="R69" s="133"/>
      <c r="S69" s="142"/>
      <c r="T69" s="86"/>
      <c r="U69" s="141"/>
      <c r="W69" s="122"/>
      <c r="X69" s="123">
        <v>0.90000000000000058</v>
      </c>
      <c r="Y69" s="122">
        <v>0.73539794643195555</v>
      </c>
      <c r="Z69" s="122">
        <v>0.63179945961027673</v>
      </c>
      <c r="AA69" s="124">
        <v>0.59348793856599746</v>
      </c>
      <c r="AB69" s="124">
        <v>0.57120209400570443</v>
      </c>
      <c r="AC69" s="124">
        <v>0.54492463053579088</v>
      </c>
      <c r="AD69" s="92">
        <v>0.52976841456385448</v>
      </c>
      <c r="AE69" s="122">
        <v>0.51929853264265835</v>
      </c>
      <c r="AF69" s="124">
        <v>0.50858619806563854</v>
      </c>
      <c r="AG69" s="124">
        <v>0.49723611199067036</v>
      </c>
      <c r="AH69" s="124">
        <v>0.48746403661526055</v>
      </c>
      <c r="AI69" s="92">
        <v>0.47893469233974501</v>
      </c>
      <c r="AJ69" s="124">
        <v>0.47145253693302347</v>
      </c>
      <c r="AK69" s="124">
        <v>0.46506664206475623</v>
      </c>
      <c r="AL69" s="124">
        <v>0.4599442784453473</v>
      </c>
      <c r="AM69" s="124">
        <v>0.45578395731712595</v>
      </c>
      <c r="AN69" s="124">
        <v>0.45237218604918256</v>
      </c>
      <c r="AO69" s="122">
        <v>0.44971360000716426</v>
      </c>
      <c r="AP69" s="124">
        <v>0.4477192344058763</v>
      </c>
      <c r="AQ69" s="124">
        <v>0.44629041811197867</v>
      </c>
      <c r="AR69" s="124">
        <v>0.44524420372277862</v>
      </c>
      <c r="AS69" s="92">
        <v>0.44439655762262731</v>
      </c>
      <c r="AT69" s="124">
        <v>0.44372300477587734</v>
      </c>
      <c r="AU69" s="124">
        <v>0.4431376721833602</v>
      </c>
      <c r="AV69" s="124">
        <v>0.44267509308031999</v>
      </c>
      <c r="AW69" s="124">
        <v>0.44223444076993296</v>
      </c>
      <c r="AX69" s="92">
        <v>0.44184507594500494</v>
      </c>
      <c r="AY69" s="125">
        <v>0.44184507594500494</v>
      </c>
    </row>
    <row r="70" spans="14:51" x14ac:dyDescent="0.2">
      <c r="N70" s="130"/>
      <c r="O70" s="142"/>
      <c r="P70" s="124"/>
      <c r="Q70" s="92"/>
      <c r="R70" s="133"/>
      <c r="S70" s="142"/>
      <c r="T70" s="86"/>
      <c r="U70" s="141"/>
      <c r="W70" s="122"/>
      <c r="X70" s="123">
        <v>0.99000000000000066</v>
      </c>
      <c r="Y70" s="122">
        <v>0.91658026863017039</v>
      </c>
      <c r="Z70" s="122">
        <v>0.79318033662325949</v>
      </c>
      <c r="AA70" s="124">
        <v>0.72643165016212519</v>
      </c>
      <c r="AB70" s="124">
        <v>0.68547211263485752</v>
      </c>
      <c r="AC70" s="124">
        <v>0.638763795897069</v>
      </c>
      <c r="AD70" s="92">
        <v>0.61062042633314295</v>
      </c>
      <c r="AE70" s="122">
        <v>0.59177316471656927</v>
      </c>
      <c r="AF70" s="124">
        <v>0.57173717720871009</v>
      </c>
      <c r="AG70" s="124">
        <v>0.550908327164773</v>
      </c>
      <c r="AH70" s="124">
        <v>0.53269699896618727</v>
      </c>
      <c r="AI70" s="92">
        <v>0.51691711486134162</v>
      </c>
      <c r="AJ70" s="124">
        <v>0.50313047319811544</v>
      </c>
      <c r="AK70" s="124">
        <v>0.49157080839826267</v>
      </c>
      <c r="AL70" s="124">
        <v>0.48215677740055873</v>
      </c>
      <c r="AM70" s="124">
        <v>0.47427353986740373</v>
      </c>
      <c r="AN70" s="124">
        <v>0.4680719137374762</v>
      </c>
      <c r="AO70" s="122">
        <v>0.46320660071756209</v>
      </c>
      <c r="AP70" s="124">
        <v>0.45952963012191722</v>
      </c>
      <c r="AQ70" s="124">
        <v>0.45689279347568085</v>
      </c>
      <c r="AR70" s="124">
        <v>0.45503358274182559</v>
      </c>
      <c r="AS70" s="92">
        <v>0.45347487043174717</v>
      </c>
      <c r="AT70" s="124">
        <v>0.45221917262738587</v>
      </c>
      <c r="AU70" s="124">
        <v>0.45123453857516704</v>
      </c>
      <c r="AV70" s="124">
        <v>0.4503039166486183</v>
      </c>
      <c r="AW70" s="124">
        <v>0.44952221264115177</v>
      </c>
      <c r="AX70" s="92">
        <v>0.44882477206211713</v>
      </c>
      <c r="AY70" s="125">
        <v>0.44882477206211713</v>
      </c>
    </row>
    <row r="71" spans="14:51" x14ac:dyDescent="0.2">
      <c r="N71" s="130"/>
      <c r="O71" s="142"/>
      <c r="P71" s="124"/>
      <c r="Q71" s="92"/>
      <c r="R71" s="133"/>
      <c r="S71" s="142"/>
      <c r="T71" s="86"/>
      <c r="U71" s="141"/>
      <c r="W71" s="126"/>
      <c r="X71" s="127">
        <v>0.999</v>
      </c>
      <c r="Y71" s="126">
        <v>0.97314606699992856</v>
      </c>
      <c r="Z71" s="126">
        <v>0.8838252597837023</v>
      </c>
      <c r="AA71" s="128">
        <v>0.81404007031848136</v>
      </c>
      <c r="AB71" s="128">
        <v>0.76489003220435248</v>
      </c>
      <c r="AC71" s="128">
        <v>0.70679824614700537</v>
      </c>
      <c r="AD71" s="100">
        <v>0.67052473416979907</v>
      </c>
      <c r="AE71" s="126">
        <v>0.64490713169106118</v>
      </c>
      <c r="AF71" s="128">
        <v>0.61832589961586804</v>
      </c>
      <c r="AG71" s="128">
        <v>0.59024104122566134</v>
      </c>
      <c r="AH71" s="128">
        <v>0.56595771922821558</v>
      </c>
      <c r="AI71" s="100">
        <v>0.54519290342717919</v>
      </c>
      <c r="AJ71" s="128">
        <v>0.52623837646217075</v>
      </c>
      <c r="AK71" s="128">
        <v>0.51078993542274287</v>
      </c>
      <c r="AL71" s="128">
        <v>0.49854854858157771</v>
      </c>
      <c r="AM71" s="128">
        <v>0.48782858436139398</v>
      </c>
      <c r="AN71" s="128">
        <v>0.479259311281446</v>
      </c>
      <c r="AO71" s="126">
        <v>0.47305709239958504</v>
      </c>
      <c r="AP71" s="128">
        <v>0.46813812447021319</v>
      </c>
      <c r="AQ71" s="128">
        <v>0.46471983119241389</v>
      </c>
      <c r="AR71" s="128">
        <v>0.46206157936841946</v>
      </c>
      <c r="AS71" s="100">
        <v>0.46018910054929796</v>
      </c>
      <c r="AT71" s="128">
        <v>0.45843148767567521</v>
      </c>
      <c r="AU71" s="128">
        <v>0.45713120902913118</v>
      </c>
      <c r="AV71" s="128">
        <v>0.45590492325181714</v>
      </c>
      <c r="AW71" s="128">
        <v>0.45485947747183736</v>
      </c>
      <c r="AX71" s="100">
        <v>0.45399108983169628</v>
      </c>
      <c r="AY71" s="129">
        <v>0.45399108983169628</v>
      </c>
    </row>
    <row r="72" spans="14:51" x14ac:dyDescent="0.2">
      <c r="N72" s="130"/>
      <c r="O72" s="142"/>
      <c r="P72" s="124"/>
      <c r="Q72" s="92"/>
      <c r="R72" s="133"/>
      <c r="S72" s="142"/>
      <c r="T72" s="86"/>
      <c r="U72" s="141"/>
      <c r="W72" s="118"/>
      <c r="X72" s="119">
        <v>1E-3</v>
      </c>
      <c r="Y72" s="118">
        <v>1.9905855244179715E-2</v>
      </c>
      <c r="Z72" s="118">
        <v>8.9571961250788895E-2</v>
      </c>
      <c r="AA72" s="120">
        <v>0.14117739189263845</v>
      </c>
      <c r="AB72" s="120">
        <v>0.17806368870794093</v>
      </c>
      <c r="AC72" s="120">
        <v>0.22492357398228938</v>
      </c>
      <c r="AD72" s="83">
        <v>0.25450409877015318</v>
      </c>
      <c r="AE72" s="118">
        <v>0.27528862378777225</v>
      </c>
      <c r="AF72" s="120">
        <v>0.29724335525689571</v>
      </c>
      <c r="AG72" s="120">
        <v>0.32230345908227337</v>
      </c>
      <c r="AH72" s="120">
        <v>0.34332897496371417</v>
      </c>
      <c r="AI72" s="83">
        <v>0.36215705330353748</v>
      </c>
      <c r="AJ72" s="120">
        <v>0.37871765381857536</v>
      </c>
      <c r="AK72" s="120">
        <v>0.39272703065604658</v>
      </c>
      <c r="AL72" s="120">
        <v>0.40478464918152074</v>
      </c>
      <c r="AM72" s="120">
        <v>0.4142202952189562</v>
      </c>
      <c r="AN72" s="120">
        <v>0.42237819235527135</v>
      </c>
      <c r="AO72" s="118">
        <v>0.42835642100723015</v>
      </c>
      <c r="AP72" s="120">
        <v>0.43291599363568528</v>
      </c>
      <c r="AQ72" s="120">
        <v>0.43618493524401791</v>
      </c>
      <c r="AR72" s="120">
        <v>0.43869004565098424</v>
      </c>
      <c r="AS72" s="83">
        <v>0.44058079876252043</v>
      </c>
      <c r="AT72" s="120">
        <v>0.44220165106024306</v>
      </c>
      <c r="AU72" s="120">
        <v>0.44358462705805612</v>
      </c>
      <c r="AV72" s="120">
        <v>0.44483335462687984</v>
      </c>
      <c r="AW72" s="120">
        <v>0.44574916423010102</v>
      </c>
      <c r="AX72" s="83">
        <v>0.44667708931237926</v>
      </c>
      <c r="AY72" s="121">
        <v>0.44667708931237926</v>
      </c>
    </row>
    <row r="73" spans="14:51" x14ac:dyDescent="0.2">
      <c r="N73" s="130"/>
      <c r="O73" s="142"/>
      <c r="P73" s="124"/>
      <c r="Q73" s="92"/>
      <c r="R73" s="133"/>
      <c r="S73" s="142"/>
      <c r="T73" s="86"/>
      <c r="U73" s="141"/>
      <c r="W73" s="122"/>
      <c r="X73" s="123">
        <v>0.01</v>
      </c>
      <c r="Y73" s="122">
        <v>6.3266985484123031E-2</v>
      </c>
      <c r="Z73" s="122">
        <v>0.15661059653207426</v>
      </c>
      <c r="AA73" s="124">
        <v>0.2078389920368037</v>
      </c>
      <c r="AB73" s="124">
        <v>0.23943208083708939</v>
      </c>
      <c r="AC73" s="124">
        <v>0.27843799315526963</v>
      </c>
      <c r="AD73" s="92">
        <v>0.30283152737551478</v>
      </c>
      <c r="AE73" s="122">
        <v>0.31947248128903399</v>
      </c>
      <c r="AF73" s="124">
        <v>0.33670866162207796</v>
      </c>
      <c r="AG73" s="124">
        <v>0.3562647249059861</v>
      </c>
      <c r="AH73" s="124">
        <v>0.37277786439963201</v>
      </c>
      <c r="AI73" s="92">
        <v>0.38696770049002882</v>
      </c>
      <c r="AJ73" s="124">
        <v>0.39978590408775544</v>
      </c>
      <c r="AK73" s="124">
        <v>0.41083415198725287</v>
      </c>
      <c r="AL73" s="124">
        <v>0.41977143580627274</v>
      </c>
      <c r="AM73" s="124">
        <v>0.42713581656521898</v>
      </c>
      <c r="AN73" s="124">
        <v>0.4331631816999062</v>
      </c>
      <c r="AO73" s="122">
        <v>0.43771098755548188</v>
      </c>
      <c r="AP73" s="124">
        <v>0.44120253594727521</v>
      </c>
      <c r="AQ73" s="124">
        <v>0.44367335694082882</v>
      </c>
      <c r="AR73" s="124">
        <v>0.44555060367663424</v>
      </c>
      <c r="AS73" s="92">
        <v>0.44702007695770035</v>
      </c>
      <c r="AT73" s="124">
        <v>0.44820041193874949</v>
      </c>
      <c r="AU73" s="124">
        <v>0.44922076577280434</v>
      </c>
      <c r="AV73" s="124">
        <v>0.45007245198347073</v>
      </c>
      <c r="AW73" s="124">
        <v>0.4508749627376773</v>
      </c>
      <c r="AX73" s="92">
        <v>0.45156700274364708</v>
      </c>
      <c r="AY73" s="125">
        <v>0.45156700274364708</v>
      </c>
    </row>
    <row r="74" spans="14:51" x14ac:dyDescent="0.2">
      <c r="N74" s="130"/>
      <c r="O74" s="142"/>
      <c r="P74" s="124"/>
      <c r="Q74" s="92"/>
      <c r="R74" s="133"/>
      <c r="S74" s="142"/>
      <c r="T74" s="86"/>
      <c r="U74" s="141"/>
      <c r="W74" s="122"/>
      <c r="X74" s="123">
        <v>9.9999999999999992E-2</v>
      </c>
      <c r="Y74" s="122">
        <v>0.19978914187928451</v>
      </c>
      <c r="Z74" s="122">
        <v>0.28002606561927612</v>
      </c>
      <c r="AA74" s="124">
        <v>0.31445781453988003</v>
      </c>
      <c r="AB74" s="124">
        <v>0.33510523504753331</v>
      </c>
      <c r="AC74" s="124">
        <v>0.35924803490164353</v>
      </c>
      <c r="AD74" s="92">
        <v>0.37379333442065621</v>
      </c>
      <c r="AE74" s="122">
        <v>0.38341740698213506</v>
      </c>
      <c r="AF74" s="124">
        <v>0.39378154732151305</v>
      </c>
      <c r="AG74" s="124">
        <v>0.40474165846241794</v>
      </c>
      <c r="AH74" s="124">
        <v>0.41397347828626757</v>
      </c>
      <c r="AI74" s="92">
        <v>0.42219652757076809</v>
      </c>
      <c r="AJ74" s="124">
        <v>0.42941079966700907</v>
      </c>
      <c r="AK74" s="124">
        <v>0.43570099894939895</v>
      </c>
      <c r="AL74" s="124">
        <v>0.44069034863439649</v>
      </c>
      <c r="AM74" s="124">
        <v>0.44480102139557559</v>
      </c>
      <c r="AN74" s="124">
        <v>0.44812578054867513</v>
      </c>
      <c r="AO74" s="122">
        <v>0.45069255966902932</v>
      </c>
      <c r="AP74" s="124">
        <v>0.45263174242834903</v>
      </c>
      <c r="AQ74" s="124">
        <v>0.45399392741945754</v>
      </c>
      <c r="AR74" s="124">
        <v>0.45503148915798475</v>
      </c>
      <c r="AS74" s="92">
        <v>0.45584598598598036</v>
      </c>
      <c r="AT74" s="124">
        <v>0.45650470845441626</v>
      </c>
      <c r="AU74" s="124">
        <v>0.45705352088879148</v>
      </c>
      <c r="AV74" s="124">
        <v>0.45752097311447393</v>
      </c>
      <c r="AW74" s="124">
        <v>0.45795536180767388</v>
      </c>
      <c r="AX74" s="92">
        <v>0.45833599072953746</v>
      </c>
      <c r="AY74" s="125">
        <v>0.45833599072953746</v>
      </c>
    </row>
    <row r="75" spans="14:51" x14ac:dyDescent="0.2">
      <c r="N75" s="130"/>
      <c r="O75" s="142"/>
      <c r="P75" s="124"/>
      <c r="Q75" s="92"/>
      <c r="R75" s="133"/>
      <c r="S75" s="143"/>
      <c r="T75" s="144"/>
      <c r="U75" s="141"/>
      <c r="W75" s="122"/>
      <c r="X75" s="123">
        <v>0.25000000000000006</v>
      </c>
      <c r="Y75" s="122">
        <v>0.3166057041333899</v>
      </c>
      <c r="Z75" s="122">
        <v>0.3631129835493937</v>
      </c>
      <c r="AA75" s="124">
        <v>0.38358322843927861</v>
      </c>
      <c r="AB75" s="124">
        <v>0.39545308169590337</v>
      </c>
      <c r="AC75" s="124">
        <v>0.40876242355954562</v>
      </c>
      <c r="AD75" s="92">
        <v>0.41686789718319101</v>
      </c>
      <c r="AE75" s="122">
        <v>0.42214337421448611</v>
      </c>
      <c r="AF75" s="124">
        <v>0.42773692846094402</v>
      </c>
      <c r="AG75" s="124">
        <v>0.43358421824622884</v>
      </c>
      <c r="AH75" s="124">
        <v>0.43863582175154037</v>
      </c>
      <c r="AI75" s="92">
        <v>0.44309130985228151</v>
      </c>
      <c r="AJ75" s="124">
        <v>0.4469654399870806</v>
      </c>
      <c r="AK75" s="124">
        <v>0.45027236349426975</v>
      </c>
      <c r="AL75" s="124">
        <v>0.45294695491552694</v>
      </c>
      <c r="AM75" s="124">
        <v>0.455145185813919</v>
      </c>
      <c r="AN75" s="124">
        <v>0.45689706254276757</v>
      </c>
      <c r="AO75" s="122">
        <v>0.45824796495041631</v>
      </c>
      <c r="AP75" s="124">
        <v>0.45926812881560125</v>
      </c>
      <c r="AQ75" s="124">
        <v>0.45999330652601139</v>
      </c>
      <c r="AR75" s="124">
        <v>0.46053698008757094</v>
      </c>
      <c r="AS75" s="92">
        <v>0.46097419060548184</v>
      </c>
      <c r="AT75" s="124">
        <v>0.46132370590749316</v>
      </c>
      <c r="AU75" s="124">
        <v>0.46161154779665742</v>
      </c>
      <c r="AV75" s="124">
        <v>0.46187104150549302</v>
      </c>
      <c r="AW75" s="124">
        <v>0.4620915061708456</v>
      </c>
      <c r="AX75" s="92">
        <v>0.46229598341223638</v>
      </c>
      <c r="AY75" s="125">
        <v>0.46229598341223638</v>
      </c>
    </row>
    <row r="76" spans="14:51" x14ac:dyDescent="0.2">
      <c r="N76" s="130"/>
      <c r="O76" s="142"/>
      <c r="P76" s="124"/>
      <c r="Q76" s="92"/>
      <c r="R76" s="133"/>
      <c r="S76" s="133"/>
      <c r="T76" s="133"/>
      <c r="U76" s="141"/>
      <c r="W76" s="122">
        <f>X23</f>
        <v>0.4</v>
      </c>
      <c r="X76" s="123">
        <v>0.50000000000000022</v>
      </c>
      <c r="Y76" s="122">
        <v>0.45273456927484407</v>
      </c>
      <c r="Z76" s="122">
        <v>0.46286323327586365</v>
      </c>
      <c r="AA76" s="124">
        <v>0.46436993495775286</v>
      </c>
      <c r="AB76" s="124">
        <v>0.46490843022132666</v>
      </c>
      <c r="AC76" s="124">
        <v>0.46553934170027023</v>
      </c>
      <c r="AD76" s="92">
        <v>0.46572434895438491</v>
      </c>
      <c r="AE76" s="122">
        <v>0.46593476156351216</v>
      </c>
      <c r="AF76" s="124">
        <v>0.46611176205404831</v>
      </c>
      <c r="AG76" s="124">
        <v>0.46621309480812201</v>
      </c>
      <c r="AH76" s="124">
        <v>0.4662928510628761</v>
      </c>
      <c r="AI76" s="92">
        <v>0.46642891570346195</v>
      </c>
      <c r="AJ76" s="124">
        <v>0.46649063349784897</v>
      </c>
      <c r="AK76" s="124">
        <v>0.46657641776771785</v>
      </c>
      <c r="AL76" s="124">
        <v>0.46660191729268802</v>
      </c>
      <c r="AM76" s="124">
        <v>0.46662531823078524</v>
      </c>
      <c r="AN76" s="124">
        <v>0.46663727362974688</v>
      </c>
      <c r="AO76" s="122">
        <v>0.46666738488077913</v>
      </c>
      <c r="AP76" s="124">
        <v>0.46666557558532057</v>
      </c>
      <c r="AQ76" s="124">
        <v>0.46665963106734554</v>
      </c>
      <c r="AR76" s="124">
        <v>0.46666850097463497</v>
      </c>
      <c r="AS76" s="92">
        <v>0.46665309661580312</v>
      </c>
      <c r="AT76" s="124">
        <v>0.46666878623048091</v>
      </c>
      <c r="AU76" s="124">
        <v>0.46665936675672187</v>
      </c>
      <c r="AV76" s="124">
        <v>0.4666688986355163</v>
      </c>
      <c r="AW76" s="124">
        <v>0.46666840137501042</v>
      </c>
      <c r="AX76" s="92">
        <v>0.46666638137938266</v>
      </c>
      <c r="AY76" s="125">
        <v>0.46666638137938266</v>
      </c>
    </row>
    <row r="77" spans="14:51" x14ac:dyDescent="0.2">
      <c r="N77" s="130"/>
      <c r="O77" s="142"/>
      <c r="P77" s="124"/>
      <c r="Q77" s="92"/>
      <c r="R77" s="133"/>
      <c r="S77" s="145"/>
      <c r="T77" s="146"/>
      <c r="U77" s="141"/>
      <c r="W77" s="122"/>
      <c r="X77" s="123">
        <v>0.75000000000000044</v>
      </c>
      <c r="Y77" s="122">
        <v>0.61332703948360068</v>
      </c>
      <c r="Z77" s="122">
        <v>0.56663014199761208</v>
      </c>
      <c r="AA77" s="124">
        <v>0.54751113763895753</v>
      </c>
      <c r="AB77" s="124">
        <v>0.5360572347877447</v>
      </c>
      <c r="AC77" s="124">
        <v>0.52327672622180399</v>
      </c>
      <c r="AD77" s="92">
        <v>0.51564731341830861</v>
      </c>
      <c r="AE77" s="122">
        <v>0.51032728379064685</v>
      </c>
      <c r="AF77" s="124">
        <v>0.50494307103613689</v>
      </c>
      <c r="AG77" s="124">
        <v>0.49925005302705194</v>
      </c>
      <c r="AH77" s="124">
        <v>0.49426364290515296</v>
      </c>
      <c r="AI77" s="92">
        <v>0.49004847346325814</v>
      </c>
      <c r="AJ77" s="124">
        <v>0.4861763574007516</v>
      </c>
      <c r="AK77" s="124">
        <v>0.48292482487901872</v>
      </c>
      <c r="AL77" s="124">
        <v>0.48034284718523912</v>
      </c>
      <c r="AM77" s="124">
        <v>0.47820037184134273</v>
      </c>
      <c r="AN77" s="124">
        <v>0.4764688337859222</v>
      </c>
      <c r="AO77" s="122">
        <v>0.47511624138531511</v>
      </c>
      <c r="AP77" s="124">
        <v>0.47408681693079374</v>
      </c>
      <c r="AQ77" s="124">
        <v>0.47334584852567502</v>
      </c>
      <c r="AR77" s="124">
        <v>0.47278942958568826</v>
      </c>
      <c r="AS77" s="92">
        <v>0.47236496701152403</v>
      </c>
      <c r="AT77" s="124">
        <v>0.47201723491442482</v>
      </c>
      <c r="AU77" s="124">
        <v>0.47171933648596492</v>
      </c>
      <c r="AV77" s="124">
        <v>0.47147673015334252</v>
      </c>
      <c r="AW77" s="124">
        <v>0.47125420047816902</v>
      </c>
      <c r="AX77" s="92">
        <v>0.47105407436877939</v>
      </c>
      <c r="AY77" s="125">
        <v>0.47105407436877939</v>
      </c>
    </row>
    <row r="78" spans="14:51" x14ac:dyDescent="0.2">
      <c r="N78" s="130"/>
      <c r="O78" s="142"/>
      <c r="P78" s="124"/>
      <c r="Q78" s="92"/>
      <c r="R78" s="133"/>
      <c r="S78" s="147"/>
      <c r="T78" s="133"/>
      <c r="U78" s="141"/>
      <c r="W78" s="122"/>
      <c r="X78" s="123">
        <v>0.90000000000000058</v>
      </c>
      <c r="Y78" s="122">
        <v>0.75502610036561091</v>
      </c>
      <c r="Z78" s="122">
        <v>0.65903170116438736</v>
      </c>
      <c r="AA78" s="124">
        <v>0.62221768128899413</v>
      </c>
      <c r="AB78" s="124">
        <v>0.60071291370678215</v>
      </c>
      <c r="AC78" s="124">
        <v>0.57541463731185061</v>
      </c>
      <c r="AD78" s="92">
        <v>0.56071655675584742</v>
      </c>
      <c r="AE78" s="122">
        <v>0.55058528114714789</v>
      </c>
      <c r="AF78" s="124">
        <v>0.54020634899463749</v>
      </c>
      <c r="AG78" s="124">
        <v>0.52913282526328909</v>
      </c>
      <c r="AH78" s="124">
        <v>0.51957946086617457</v>
      </c>
      <c r="AI78" s="92">
        <v>0.51128751578783593</v>
      </c>
      <c r="AJ78" s="124">
        <v>0.5039766744297689</v>
      </c>
      <c r="AK78" s="124">
        <v>0.49775041004002857</v>
      </c>
      <c r="AL78" s="124">
        <v>0.49275010947010023</v>
      </c>
      <c r="AM78" s="124">
        <v>0.48866034074385861</v>
      </c>
      <c r="AN78" s="124">
        <v>0.48530603411179229</v>
      </c>
      <c r="AO78" s="122">
        <v>0.48271215842803539</v>
      </c>
      <c r="AP78" s="124">
        <v>0.48077309508865695</v>
      </c>
      <c r="AQ78" s="124">
        <v>0.47937153371888641</v>
      </c>
      <c r="AR78" s="124">
        <v>0.47834452609227102</v>
      </c>
      <c r="AS78" s="92">
        <v>0.47751815842581957</v>
      </c>
      <c r="AT78" s="124">
        <v>0.4768538132713559</v>
      </c>
      <c r="AU78" s="124">
        <v>0.47628026226386683</v>
      </c>
      <c r="AV78" s="124">
        <v>0.47582278954991836</v>
      </c>
      <c r="AW78" s="124">
        <v>0.47539200483447852</v>
      </c>
      <c r="AX78" s="92">
        <v>0.47501294412177142</v>
      </c>
      <c r="AY78" s="125">
        <v>0.47501294412177142</v>
      </c>
    </row>
    <row r="79" spans="14:51" x14ac:dyDescent="0.2">
      <c r="N79" s="130"/>
      <c r="O79" s="142"/>
      <c r="P79" s="124"/>
      <c r="Q79" s="92"/>
      <c r="R79" s="133"/>
      <c r="S79" s="147"/>
      <c r="T79" s="133"/>
      <c r="U79" s="141"/>
      <c r="W79" s="122"/>
      <c r="X79" s="123">
        <v>0.99000000000000066</v>
      </c>
      <c r="Y79" s="122">
        <v>0.92276833598018504</v>
      </c>
      <c r="Z79" s="122">
        <v>0.80852219861762054</v>
      </c>
      <c r="AA79" s="124">
        <v>0.74669971740613028</v>
      </c>
      <c r="AB79" s="124">
        <v>0.7084291564026729</v>
      </c>
      <c r="AC79" s="124">
        <v>0.66446592441641728</v>
      </c>
      <c r="AD79" s="92">
        <v>0.63769392541081149</v>
      </c>
      <c r="AE79" s="122">
        <v>0.61974445599366368</v>
      </c>
      <c r="AF79" s="124">
        <v>0.60049933290056001</v>
      </c>
      <c r="AG79" s="124">
        <v>0.58068718293157029</v>
      </c>
      <c r="AH79" s="124">
        <v>0.56316059728297396</v>
      </c>
      <c r="AI79" s="92">
        <v>0.54799808903797764</v>
      </c>
      <c r="AJ79" s="124">
        <v>0.53465601043978761</v>
      </c>
      <c r="AK79" s="124">
        <v>0.52342241631560382</v>
      </c>
      <c r="AL79" s="124">
        <v>0.51430795621961856</v>
      </c>
      <c r="AM79" s="124">
        <v>0.5066512584794518</v>
      </c>
      <c r="AN79" s="124">
        <v>0.50064901386562688</v>
      </c>
      <c r="AO79" s="122">
        <v>0.49586132251403414</v>
      </c>
      <c r="AP79" s="124">
        <v>0.49230977313387003</v>
      </c>
      <c r="AQ79" s="124">
        <v>0.48972576912646321</v>
      </c>
      <c r="AR79" s="124">
        <v>0.48790825454210907</v>
      </c>
      <c r="AS79" s="92">
        <v>0.48637735229479162</v>
      </c>
      <c r="AT79" s="124">
        <v>0.48515255184544404</v>
      </c>
      <c r="AU79" s="124">
        <v>0.48418043878477918</v>
      </c>
      <c r="AV79" s="124">
        <v>0.48327355496692292</v>
      </c>
      <c r="AW79" s="124">
        <v>0.48251211245022968</v>
      </c>
      <c r="AX79" s="92">
        <v>0.48184220403552352</v>
      </c>
      <c r="AY79" s="125">
        <v>0.48184220403552352</v>
      </c>
    </row>
    <row r="80" spans="14:51" x14ac:dyDescent="0.2">
      <c r="N80" s="130"/>
      <c r="O80" s="142"/>
      <c r="P80" s="124"/>
      <c r="Q80" s="92"/>
      <c r="R80" s="133"/>
      <c r="S80" s="133"/>
      <c r="T80" s="133"/>
      <c r="U80" s="141"/>
      <c r="W80" s="126"/>
      <c r="X80" s="127">
        <v>0.999</v>
      </c>
      <c r="Y80" s="126">
        <v>0.97513808907058852</v>
      </c>
      <c r="Z80" s="126">
        <v>0.89244309042189696</v>
      </c>
      <c r="AA80" s="128">
        <v>0.82783455934855998</v>
      </c>
      <c r="AB80" s="128">
        <v>0.78233046615791224</v>
      </c>
      <c r="AC80" s="128">
        <v>0.72814275204764078</v>
      </c>
      <c r="AD80" s="100">
        <v>0.69389730156507035</v>
      </c>
      <c r="AE80" s="126">
        <v>0.67014917904883908</v>
      </c>
      <c r="AF80" s="128">
        <v>0.64471590662292144</v>
      </c>
      <c r="AG80" s="128">
        <v>0.61805290082658648</v>
      </c>
      <c r="AH80" s="128">
        <v>0.59515699287544288</v>
      </c>
      <c r="AI80" s="100">
        <v>0.57501342457371185</v>
      </c>
      <c r="AJ80" s="128">
        <v>0.55685025456692328</v>
      </c>
      <c r="AK80" s="128">
        <v>0.54189822905189933</v>
      </c>
      <c r="AL80" s="128">
        <v>0.52999676120458705</v>
      </c>
      <c r="AM80" s="128">
        <v>0.51976067405700366</v>
      </c>
      <c r="AN80" s="128">
        <v>0.51153077016442627</v>
      </c>
      <c r="AO80" s="126">
        <v>0.50545579476234725</v>
      </c>
      <c r="AP80" s="128">
        <v>0.50064332695689395</v>
      </c>
      <c r="AQ80" s="128">
        <v>0.49728606334692355</v>
      </c>
      <c r="AR80" s="128">
        <v>0.49475213670298857</v>
      </c>
      <c r="AS80" s="100">
        <v>0.49294015713185546</v>
      </c>
      <c r="AT80" s="128">
        <v>0.49123827478789106</v>
      </c>
      <c r="AU80" s="128">
        <v>0.48988520529665447</v>
      </c>
      <c r="AV80" s="128">
        <v>0.48874124494837712</v>
      </c>
      <c r="AW80" s="128">
        <v>0.48775003861579946</v>
      </c>
      <c r="AX80" s="100">
        <v>0.48688432184438407</v>
      </c>
      <c r="AY80" s="129">
        <v>0.48688432184438407</v>
      </c>
    </row>
    <row r="81" spans="14:51" x14ac:dyDescent="0.2">
      <c r="N81" s="130"/>
      <c r="O81" s="142"/>
      <c r="P81" s="124"/>
      <c r="Q81" s="92"/>
      <c r="R81" s="133"/>
      <c r="S81" s="133"/>
      <c r="T81" s="133"/>
      <c r="U81" s="141"/>
      <c r="W81" s="118"/>
      <c r="X81" s="119">
        <v>1E-3</v>
      </c>
      <c r="Y81" s="118">
        <v>2.2984110982659522E-2</v>
      </c>
      <c r="Z81" s="118">
        <v>9.8899799330673763E-2</v>
      </c>
      <c r="AA81" s="120">
        <v>0.15894453637778258</v>
      </c>
      <c r="AB81" s="120">
        <v>0.19867905798174901</v>
      </c>
      <c r="AC81" s="120">
        <v>0.25006379136988427</v>
      </c>
      <c r="AD81" s="83">
        <v>0.28126579704158788</v>
      </c>
      <c r="AE81" s="118">
        <v>0.3046055632607752</v>
      </c>
      <c r="AF81" s="120">
        <v>0.3279645858516359</v>
      </c>
      <c r="AG81" s="120">
        <v>0.35270731087388724</v>
      </c>
      <c r="AH81" s="120">
        <v>0.37524128733295781</v>
      </c>
      <c r="AI81" s="83">
        <v>0.39378522916743214</v>
      </c>
      <c r="AJ81" s="120">
        <v>0.41139823810021159</v>
      </c>
      <c r="AK81" s="120">
        <v>0.42603335323815311</v>
      </c>
      <c r="AL81" s="120">
        <v>0.43817505618267832</v>
      </c>
      <c r="AM81" s="120">
        <v>0.44758348240539858</v>
      </c>
      <c r="AN81" s="120">
        <v>0.45537446221881112</v>
      </c>
      <c r="AO81" s="118">
        <v>0.46156149477866432</v>
      </c>
      <c r="AP81" s="120">
        <v>0.46618506177797681</v>
      </c>
      <c r="AQ81" s="120">
        <v>0.46959019841027511</v>
      </c>
      <c r="AR81" s="120">
        <v>0.47209702003080589</v>
      </c>
      <c r="AS81" s="83">
        <v>0.47397895598549356</v>
      </c>
      <c r="AT81" s="120">
        <v>0.47557492820717462</v>
      </c>
      <c r="AU81" s="120">
        <v>0.47693382740492168</v>
      </c>
      <c r="AV81" s="120">
        <v>0.47800812810902366</v>
      </c>
      <c r="AW81" s="120">
        <v>0.47904089195384625</v>
      </c>
      <c r="AX81" s="83">
        <v>0.47998927377033063</v>
      </c>
      <c r="AY81" s="121">
        <v>0.47998927377033063</v>
      </c>
    </row>
    <row r="82" spans="14:51" x14ac:dyDescent="0.2">
      <c r="N82" s="130"/>
      <c r="O82" s="142"/>
      <c r="P82" s="124"/>
      <c r="Q82" s="92"/>
      <c r="R82" s="133"/>
      <c r="S82" s="133"/>
      <c r="T82" s="133"/>
      <c r="U82" s="141"/>
      <c r="W82" s="122"/>
      <c r="X82" s="123">
        <v>0.01</v>
      </c>
      <c r="Y82" s="122">
        <v>7.0796635983360223E-2</v>
      </c>
      <c r="Z82" s="122">
        <v>0.17491219845269573</v>
      </c>
      <c r="AA82" s="124">
        <v>0.23125074773696214</v>
      </c>
      <c r="AB82" s="124">
        <v>0.26641134114033183</v>
      </c>
      <c r="AC82" s="124">
        <v>0.30773665701847996</v>
      </c>
      <c r="AD82" s="92">
        <v>0.33347803636713763</v>
      </c>
      <c r="AE82" s="122">
        <v>0.35095406924204958</v>
      </c>
      <c r="AF82" s="124">
        <v>0.36895550622383461</v>
      </c>
      <c r="AG82" s="124">
        <v>0.38872355057665348</v>
      </c>
      <c r="AH82" s="124">
        <v>0.40534436042018657</v>
      </c>
      <c r="AI82" s="92">
        <v>0.42002320305096807</v>
      </c>
      <c r="AJ82" s="124">
        <v>0.4331171051608938</v>
      </c>
      <c r="AK82" s="124">
        <v>0.4442319997686906</v>
      </c>
      <c r="AL82" s="124">
        <v>0.45316136100831572</v>
      </c>
      <c r="AM82" s="124">
        <v>0.46044427195921539</v>
      </c>
      <c r="AN82" s="124">
        <v>0.46639164885984652</v>
      </c>
      <c r="AO82" s="122">
        <v>0.47108987700261695</v>
      </c>
      <c r="AP82" s="124">
        <v>0.47458840673623365</v>
      </c>
      <c r="AQ82" s="124">
        <v>0.47703868457044762</v>
      </c>
      <c r="AR82" s="124">
        <v>0.4789477235107365</v>
      </c>
      <c r="AS82" s="92">
        <v>0.48040005389853696</v>
      </c>
      <c r="AT82" s="124">
        <v>0.48163683124873452</v>
      </c>
      <c r="AU82" s="124">
        <v>0.48263281142876879</v>
      </c>
      <c r="AV82" s="124">
        <v>0.48347698447905985</v>
      </c>
      <c r="AW82" s="124">
        <v>0.48428543787032374</v>
      </c>
      <c r="AX82" s="92">
        <v>0.48496091579766143</v>
      </c>
      <c r="AY82" s="125">
        <v>0.48496091579766143</v>
      </c>
    </row>
    <row r="83" spans="14:51" x14ac:dyDescent="0.2">
      <c r="N83" s="130"/>
      <c r="O83" s="142"/>
      <c r="P83" s="124"/>
      <c r="Q83" s="92"/>
      <c r="R83" s="133"/>
      <c r="S83" s="133"/>
      <c r="T83" s="133"/>
      <c r="U83" s="141"/>
      <c r="W83" s="122"/>
      <c r="X83" s="123">
        <v>9.9999999999999992E-2</v>
      </c>
      <c r="Y83" s="122">
        <v>0.22388655659823667</v>
      </c>
      <c r="Z83" s="122">
        <v>0.31167336322561279</v>
      </c>
      <c r="AA83" s="124">
        <v>0.3471143954540537</v>
      </c>
      <c r="AB83" s="124">
        <v>0.36803421226590571</v>
      </c>
      <c r="AC83" s="124">
        <v>0.39251036086484775</v>
      </c>
      <c r="AD83" s="92">
        <v>0.40710774430738966</v>
      </c>
      <c r="AE83" s="122">
        <v>0.416908779047241</v>
      </c>
      <c r="AF83" s="124">
        <v>0.42718906064534906</v>
      </c>
      <c r="AG83" s="124">
        <v>0.43827595010279424</v>
      </c>
      <c r="AH83" s="124">
        <v>0.44754356772730042</v>
      </c>
      <c r="AI83" s="92">
        <v>0.45578530235888942</v>
      </c>
      <c r="AJ83" s="124">
        <v>0.46311340248766736</v>
      </c>
      <c r="AK83" s="124">
        <v>0.46927301745533029</v>
      </c>
      <c r="AL83" s="124">
        <v>0.47418319174735263</v>
      </c>
      <c r="AM83" s="124">
        <v>0.47825213176224479</v>
      </c>
      <c r="AN83" s="124">
        <v>0.48157741300959145</v>
      </c>
      <c r="AO83" s="122">
        <v>0.48408392787062943</v>
      </c>
      <c r="AP83" s="124">
        <v>0.48601453069788514</v>
      </c>
      <c r="AQ83" s="124">
        <v>0.48736199352381271</v>
      </c>
      <c r="AR83" s="124">
        <v>0.48840057151169708</v>
      </c>
      <c r="AS83" s="92">
        <v>0.48922056942054704</v>
      </c>
      <c r="AT83" s="124">
        <v>0.4898953710084441</v>
      </c>
      <c r="AU83" s="124">
        <v>0.49045604928501824</v>
      </c>
      <c r="AV83" s="124">
        <v>0.49091972168644349</v>
      </c>
      <c r="AW83" s="124">
        <v>0.49134111242706235</v>
      </c>
      <c r="AX83" s="92">
        <v>0.49172030377573495</v>
      </c>
      <c r="AY83" s="125">
        <v>0.49172030377573495</v>
      </c>
    </row>
    <row r="84" spans="14:51" x14ac:dyDescent="0.2">
      <c r="N84" s="130"/>
      <c r="O84" s="142"/>
      <c r="P84" s="124"/>
      <c r="Q84" s="92"/>
      <c r="R84" s="133"/>
      <c r="S84" s="133"/>
      <c r="T84" s="133"/>
      <c r="U84" s="141"/>
      <c r="W84" s="122"/>
      <c r="X84" s="123">
        <v>0.25000000000000006</v>
      </c>
      <c r="Y84" s="122">
        <v>0.35387837245122705</v>
      </c>
      <c r="Z84" s="122">
        <v>0.39969884862120253</v>
      </c>
      <c r="AA84" s="124">
        <v>0.41868209990605293</v>
      </c>
      <c r="AB84" s="124">
        <v>0.43011479295066601</v>
      </c>
      <c r="AC84" s="124">
        <v>0.44308472959213135</v>
      </c>
      <c r="AD84" s="92">
        <v>0.45084265143508218</v>
      </c>
      <c r="AE84" s="122">
        <v>0.45614538454613723</v>
      </c>
      <c r="AF84" s="124">
        <v>0.46160156023460391</v>
      </c>
      <c r="AG84" s="124">
        <v>0.46743622267296397</v>
      </c>
      <c r="AH84" s="124">
        <v>0.47235649046708283</v>
      </c>
      <c r="AI84" s="92">
        <v>0.47668658599171176</v>
      </c>
      <c r="AJ84" s="124">
        <v>0.4805641884468605</v>
      </c>
      <c r="AK84" s="124">
        <v>0.48383945913933757</v>
      </c>
      <c r="AL84" s="124">
        <v>0.48641596091412292</v>
      </c>
      <c r="AM84" s="124">
        <v>0.48855002413967569</v>
      </c>
      <c r="AN84" s="124">
        <v>0.49029238337316572</v>
      </c>
      <c r="AO84" s="122">
        <v>0.49164853961354332</v>
      </c>
      <c r="AP84" s="124">
        <v>0.49266256905575562</v>
      </c>
      <c r="AQ84" s="124">
        <v>0.49337306880264353</v>
      </c>
      <c r="AR84" s="124">
        <v>0.49392295147611903</v>
      </c>
      <c r="AS84" s="92">
        <v>0.49434336184959754</v>
      </c>
      <c r="AT84" s="124">
        <v>0.49468977081261278</v>
      </c>
      <c r="AU84" s="124">
        <v>0.49498148325666791</v>
      </c>
      <c r="AV84" s="124">
        <v>0.49522613613604421</v>
      </c>
      <c r="AW84" s="124">
        <v>0.49545427806815107</v>
      </c>
      <c r="AX84" s="92">
        <v>0.49565295728763042</v>
      </c>
      <c r="AY84" s="125">
        <v>0.49565295728763042</v>
      </c>
    </row>
    <row r="85" spans="14:51" x14ac:dyDescent="0.2">
      <c r="N85" s="130"/>
      <c r="O85" s="142"/>
      <c r="P85" s="124"/>
      <c r="Q85" s="92"/>
      <c r="R85" s="133"/>
      <c r="S85" s="133"/>
      <c r="T85" s="133"/>
      <c r="U85" s="141"/>
      <c r="W85" s="122">
        <f>X24</f>
        <v>0.5</v>
      </c>
      <c r="X85" s="123">
        <v>0.50000000000000022</v>
      </c>
      <c r="Y85" s="122">
        <v>0.50030760723231338</v>
      </c>
      <c r="Z85" s="122">
        <v>0.49991972525175576</v>
      </c>
      <c r="AA85" s="124">
        <v>0.50007436985821851</v>
      </c>
      <c r="AB85" s="124">
        <v>0.49989665794733157</v>
      </c>
      <c r="AC85" s="124">
        <v>0.49987537547225885</v>
      </c>
      <c r="AD85" s="92">
        <v>0.49995667612086908</v>
      </c>
      <c r="AE85" s="122">
        <v>0.49990113376227202</v>
      </c>
      <c r="AF85" s="124">
        <v>0.4998699320902229</v>
      </c>
      <c r="AG85" s="124">
        <v>0.49996781982630484</v>
      </c>
      <c r="AH85" s="124">
        <v>0.49996319820508689</v>
      </c>
      <c r="AI85" s="92">
        <v>0.500000881465128</v>
      </c>
      <c r="AJ85" s="124">
        <v>0.49998591409299914</v>
      </c>
      <c r="AK85" s="124">
        <v>0.50000905242955984</v>
      </c>
      <c r="AL85" s="124">
        <v>0.50001201918981264</v>
      </c>
      <c r="AM85" s="124">
        <v>0.5000235833167509</v>
      </c>
      <c r="AN85" s="124">
        <v>0.50001204506984287</v>
      </c>
      <c r="AO85" s="122">
        <v>0.50001195846184132</v>
      </c>
      <c r="AP85" s="124">
        <v>0.50000873962653469</v>
      </c>
      <c r="AQ85" s="124">
        <v>0.50001122710838897</v>
      </c>
      <c r="AR85" s="124">
        <v>0.50001516731327011</v>
      </c>
      <c r="AS85" s="92">
        <v>0.5000093066043293</v>
      </c>
      <c r="AT85" s="124">
        <v>0.50000600703224318</v>
      </c>
      <c r="AU85" s="124">
        <v>0.50001075001214046</v>
      </c>
      <c r="AV85" s="124">
        <v>0.50001081697500549</v>
      </c>
      <c r="AW85" s="124">
        <v>0.50001899978967357</v>
      </c>
      <c r="AX85" s="92">
        <v>0.50001349832419384</v>
      </c>
      <c r="AY85" s="125">
        <v>0.50001349832419384</v>
      </c>
    </row>
    <row r="86" spans="14:51" x14ac:dyDescent="0.2">
      <c r="N86" s="130"/>
      <c r="O86" s="142"/>
      <c r="P86" s="124"/>
      <c r="Q86" s="92"/>
      <c r="R86" s="133"/>
      <c r="S86" s="133"/>
      <c r="T86" s="133"/>
      <c r="U86" s="141"/>
      <c r="W86" s="122"/>
      <c r="X86" s="123">
        <v>0.75000000000000044</v>
      </c>
      <c r="Y86" s="122">
        <v>0.64682790184206862</v>
      </c>
      <c r="Z86" s="122">
        <v>0.600559531388698</v>
      </c>
      <c r="AA86" s="124">
        <v>0.58113385198128176</v>
      </c>
      <c r="AB86" s="124">
        <v>0.56998201316975272</v>
      </c>
      <c r="AC86" s="124">
        <v>0.55661955423499854</v>
      </c>
      <c r="AD86" s="92">
        <v>0.54900449343802626</v>
      </c>
      <c r="AE86" s="122">
        <v>0.54370963414482387</v>
      </c>
      <c r="AF86" s="124">
        <v>0.53825824930210087</v>
      </c>
      <c r="AG86" s="124">
        <v>0.53250850757999946</v>
      </c>
      <c r="AH86" s="124">
        <v>0.52752632106788522</v>
      </c>
      <c r="AI86" s="92">
        <v>0.52324420727203935</v>
      </c>
      <c r="AJ86" s="124">
        <v>0.51943779814108992</v>
      </c>
      <c r="AK86" s="124">
        <v>0.51623859957011886</v>
      </c>
      <c r="AL86" s="124">
        <v>0.51367627440693808</v>
      </c>
      <c r="AM86" s="124">
        <v>0.51150706173350335</v>
      </c>
      <c r="AN86" s="124">
        <v>0.50975083621111528</v>
      </c>
      <c r="AO86" s="122">
        <v>0.50839454077724422</v>
      </c>
      <c r="AP86" s="124">
        <v>0.50735830449799035</v>
      </c>
      <c r="AQ86" s="124">
        <v>0.50664399075379107</v>
      </c>
      <c r="AR86" s="124">
        <v>0.5061149937733127</v>
      </c>
      <c r="AS86" s="92">
        <v>0.50567087635194929</v>
      </c>
      <c r="AT86" s="124">
        <v>0.50532361318462882</v>
      </c>
      <c r="AU86" s="124">
        <v>0.5050278734654764</v>
      </c>
      <c r="AV86" s="124">
        <v>0.50479039707497952</v>
      </c>
      <c r="AW86" s="124">
        <v>0.50456957677491832</v>
      </c>
      <c r="AX86" s="92">
        <v>0.50437731500103267</v>
      </c>
      <c r="AY86" s="125">
        <v>0.50437731500103267</v>
      </c>
    </row>
    <row r="87" spans="14:51" x14ac:dyDescent="0.2">
      <c r="N87" s="130"/>
      <c r="O87" s="142"/>
      <c r="P87" s="124"/>
      <c r="Q87" s="92"/>
      <c r="R87" s="133"/>
      <c r="S87" s="133"/>
      <c r="T87" s="133"/>
      <c r="U87" s="141"/>
      <c r="W87" s="122"/>
      <c r="X87" s="123">
        <v>0.90000000000000058</v>
      </c>
      <c r="Y87" s="122">
        <v>0.77658178901391839</v>
      </c>
      <c r="Z87" s="122">
        <v>0.6882746623541669</v>
      </c>
      <c r="AA87" s="124">
        <v>0.65244266288866615</v>
      </c>
      <c r="AB87" s="124">
        <v>0.63174264242490674</v>
      </c>
      <c r="AC87" s="124">
        <v>0.60724023201299226</v>
      </c>
      <c r="AD87" s="92">
        <v>0.59300456802684642</v>
      </c>
      <c r="AE87" s="122">
        <v>0.58297117266166387</v>
      </c>
      <c r="AF87" s="124">
        <v>0.57267635754957535</v>
      </c>
      <c r="AG87" s="124">
        <v>0.56168401663096124</v>
      </c>
      <c r="AH87" s="124">
        <v>0.55228094040552067</v>
      </c>
      <c r="AI87" s="92">
        <v>0.54419627291520623</v>
      </c>
      <c r="AJ87" s="124">
        <v>0.53698765586702468</v>
      </c>
      <c r="AK87" s="124">
        <v>0.53084344646369741</v>
      </c>
      <c r="AL87" s="124">
        <v>0.52592735872086038</v>
      </c>
      <c r="AM87" s="124">
        <v>0.52182570896451475</v>
      </c>
      <c r="AN87" s="124">
        <v>0.51849564810609494</v>
      </c>
      <c r="AO87" s="122">
        <v>0.5159194926322872</v>
      </c>
      <c r="AP87" s="124">
        <v>0.51398492420338093</v>
      </c>
      <c r="AQ87" s="124">
        <v>0.51263041604953596</v>
      </c>
      <c r="AR87" s="124">
        <v>0.51159471334468887</v>
      </c>
      <c r="AS87" s="92">
        <v>0.51077396232321337</v>
      </c>
      <c r="AT87" s="124">
        <v>0.51010800048681493</v>
      </c>
      <c r="AU87" s="124">
        <v>0.50955323557148291</v>
      </c>
      <c r="AV87" s="124">
        <v>0.50908309672952323</v>
      </c>
      <c r="AW87" s="124">
        <v>0.50865065993503744</v>
      </c>
      <c r="AX87" s="92">
        <v>0.5082831616409843</v>
      </c>
      <c r="AY87" s="125">
        <v>0.5082831616409843</v>
      </c>
    </row>
    <row r="88" spans="14:51" x14ac:dyDescent="0.2">
      <c r="N88" s="130"/>
      <c r="O88" s="142"/>
      <c r="P88" s="124"/>
      <c r="Q88" s="92"/>
      <c r="R88" s="133"/>
      <c r="S88" s="133"/>
      <c r="T88" s="133"/>
      <c r="U88" s="141"/>
      <c r="W88" s="122"/>
      <c r="X88" s="123">
        <v>0.99000000000000066</v>
      </c>
      <c r="Y88" s="122">
        <v>0.92932268973020959</v>
      </c>
      <c r="Z88" s="122">
        <v>0.82453075295061729</v>
      </c>
      <c r="AA88" s="124">
        <v>0.76800963359454244</v>
      </c>
      <c r="AB88" s="124">
        <v>0.73341690085130451</v>
      </c>
      <c r="AC88" s="124">
        <v>0.69167976457097458</v>
      </c>
      <c r="AD88" s="92">
        <v>0.66645819257819749</v>
      </c>
      <c r="AE88" s="122">
        <v>0.64914682943141599</v>
      </c>
      <c r="AF88" s="124">
        <v>0.63070472935999977</v>
      </c>
      <c r="AG88" s="124">
        <v>0.61135974727435494</v>
      </c>
      <c r="AH88" s="124">
        <v>0.59467604458571832</v>
      </c>
      <c r="AI88" s="92">
        <v>0.58007601395273289</v>
      </c>
      <c r="AJ88" s="124">
        <v>0.56714055306200251</v>
      </c>
      <c r="AK88" s="124">
        <v>0.55589964534761327</v>
      </c>
      <c r="AL88" s="124">
        <v>0.54701446959140387</v>
      </c>
      <c r="AM88" s="124">
        <v>0.53956953207102187</v>
      </c>
      <c r="AN88" s="124">
        <v>0.53356837611202645</v>
      </c>
      <c r="AO88" s="122">
        <v>0.52888951950107177</v>
      </c>
      <c r="AP88" s="124">
        <v>0.52536373314462881</v>
      </c>
      <c r="AQ88" s="124">
        <v>0.52290393147624781</v>
      </c>
      <c r="AR88" s="124">
        <v>0.52103636109822671</v>
      </c>
      <c r="AS88" s="92">
        <v>0.51955025834267898</v>
      </c>
      <c r="AT88" s="124">
        <v>0.5183593233798568</v>
      </c>
      <c r="AU88" s="124">
        <v>0.5173611224968826</v>
      </c>
      <c r="AV88" s="124">
        <v>0.51650778164910871</v>
      </c>
      <c r="AW88" s="124">
        <v>0.5157078650593977</v>
      </c>
      <c r="AX88" s="92">
        <v>0.51503465635358714</v>
      </c>
      <c r="AY88" s="125">
        <v>0.51503465635358714</v>
      </c>
    </row>
    <row r="89" spans="14:51" x14ac:dyDescent="0.2">
      <c r="N89" s="130"/>
      <c r="O89" s="142"/>
      <c r="P89" s="124"/>
      <c r="Q89" s="92"/>
      <c r="R89" s="133"/>
      <c r="S89" s="133"/>
      <c r="T89" s="133"/>
      <c r="U89" s="141"/>
      <c r="W89" s="126"/>
      <c r="X89" s="127">
        <v>0.999</v>
      </c>
      <c r="Y89" s="126">
        <v>0.97804919605890916</v>
      </c>
      <c r="Z89" s="126">
        <v>0.90125959661619048</v>
      </c>
      <c r="AA89" s="128">
        <v>0.84371197075953164</v>
      </c>
      <c r="AB89" s="128">
        <v>0.80277209518837866</v>
      </c>
      <c r="AC89" s="128">
        <v>0.74943276510576906</v>
      </c>
      <c r="AD89" s="100">
        <v>0.7179913335923398</v>
      </c>
      <c r="AE89" s="126">
        <v>0.69564237025227482</v>
      </c>
      <c r="AF89" s="128">
        <v>0.6729431648559302</v>
      </c>
      <c r="AG89" s="128">
        <v>0.64729297040509226</v>
      </c>
      <c r="AH89" s="128">
        <v>0.62469333280440098</v>
      </c>
      <c r="AI89" s="100">
        <v>0.60579448674055603</v>
      </c>
      <c r="AJ89" s="128">
        <v>0.588964734467738</v>
      </c>
      <c r="AK89" s="128">
        <v>0.57390212077531311</v>
      </c>
      <c r="AL89" s="128">
        <v>0.56205341003658393</v>
      </c>
      <c r="AM89" s="128">
        <v>0.5526462209156966</v>
      </c>
      <c r="AN89" s="128">
        <v>0.54444487087699556</v>
      </c>
      <c r="AO89" s="126">
        <v>0.53816978003645533</v>
      </c>
      <c r="AP89" s="128">
        <v>0.53367011770063522</v>
      </c>
      <c r="AQ89" s="128">
        <v>0.53046820027721597</v>
      </c>
      <c r="AR89" s="128">
        <v>0.52796975414254166</v>
      </c>
      <c r="AS89" s="100">
        <v>0.52597204044324208</v>
      </c>
      <c r="AT89" s="128">
        <v>0.52442306338193923</v>
      </c>
      <c r="AU89" s="128">
        <v>0.52297361102306794</v>
      </c>
      <c r="AV89" s="128">
        <v>0.52195341274950291</v>
      </c>
      <c r="AW89" s="128">
        <v>0.52094903970820572</v>
      </c>
      <c r="AX89" s="100">
        <v>0.52002776331312772</v>
      </c>
      <c r="AY89" s="129">
        <v>0.52002776331312772</v>
      </c>
    </row>
    <row r="90" spans="14:51" x14ac:dyDescent="0.2">
      <c r="N90" s="130"/>
      <c r="O90" s="142"/>
      <c r="P90" s="124"/>
      <c r="Q90" s="92"/>
      <c r="R90" s="133"/>
      <c r="S90" s="133"/>
      <c r="T90" s="133"/>
      <c r="U90" s="141"/>
      <c r="W90" s="118"/>
      <c r="X90" s="119">
        <v>1E-3</v>
      </c>
      <c r="Y90" s="118">
        <v>2.4379594120972473E-2</v>
      </c>
      <c r="Z90" s="118">
        <v>0.10970280016238987</v>
      </c>
      <c r="AA90" s="120">
        <v>0.17290628667694946</v>
      </c>
      <c r="AB90" s="120">
        <v>0.21793307474363069</v>
      </c>
      <c r="AC90" s="120">
        <v>0.27321293811073466</v>
      </c>
      <c r="AD90" s="83">
        <v>0.307167173964356</v>
      </c>
      <c r="AE90" s="118">
        <v>0.33100023104813148</v>
      </c>
      <c r="AF90" s="120">
        <v>0.3551467186741924</v>
      </c>
      <c r="AG90" s="120">
        <v>0.382371081574712</v>
      </c>
      <c r="AH90" s="120">
        <v>0.4050553606789063</v>
      </c>
      <c r="AI90" s="83">
        <v>0.4254105722259745</v>
      </c>
      <c r="AJ90" s="120">
        <v>0.44320472477784967</v>
      </c>
      <c r="AK90" s="120">
        <v>0.45793241905700044</v>
      </c>
      <c r="AL90" s="120">
        <v>0.47030897671657557</v>
      </c>
      <c r="AM90" s="120">
        <v>0.48006500214855102</v>
      </c>
      <c r="AN90" s="120">
        <v>0.48849624348439596</v>
      </c>
      <c r="AO90" s="118">
        <v>0.49458017588879061</v>
      </c>
      <c r="AP90" s="120">
        <v>0.49921780982337355</v>
      </c>
      <c r="AQ90" s="120">
        <v>0.50252223164770071</v>
      </c>
      <c r="AR90" s="120">
        <v>0.50510380691856971</v>
      </c>
      <c r="AS90" s="83">
        <v>0.50703940009575565</v>
      </c>
      <c r="AT90" s="120">
        <v>0.50870385099584614</v>
      </c>
      <c r="AU90" s="120">
        <v>0.51007149910969696</v>
      </c>
      <c r="AV90" s="120">
        <v>0.5112422212222818</v>
      </c>
      <c r="AW90" s="120">
        <v>0.51231972313722485</v>
      </c>
      <c r="AX90" s="83">
        <v>0.5132794633052471</v>
      </c>
      <c r="AY90" s="121">
        <v>0.5132794633052471</v>
      </c>
    </row>
    <row r="91" spans="14:51" x14ac:dyDescent="0.2">
      <c r="N91" s="130"/>
      <c r="O91" s="142"/>
      <c r="P91" s="124"/>
      <c r="Q91" s="92"/>
      <c r="R91" s="133"/>
      <c r="S91" s="133"/>
      <c r="T91" s="133"/>
      <c r="U91" s="141"/>
      <c r="W91" s="122"/>
      <c r="X91" s="123">
        <v>0.01</v>
      </c>
      <c r="Y91" s="122">
        <v>7.7485916000085808E-2</v>
      </c>
      <c r="Z91" s="122">
        <v>0.19180802490823531</v>
      </c>
      <c r="AA91" s="124">
        <v>0.25415740738155529</v>
      </c>
      <c r="AB91" s="124">
        <v>0.29104428352679135</v>
      </c>
      <c r="AC91" s="124">
        <v>0.33502752240079142</v>
      </c>
      <c r="AD91" s="92">
        <v>0.36194662011237611</v>
      </c>
      <c r="AE91" s="122">
        <v>0.38026359181137237</v>
      </c>
      <c r="AF91" s="124">
        <v>0.39882462803333574</v>
      </c>
      <c r="AG91" s="124">
        <v>0.41960032176683665</v>
      </c>
      <c r="AH91" s="124">
        <v>0.43699737407087907</v>
      </c>
      <c r="AI91" s="92">
        <v>0.45194669246747937</v>
      </c>
      <c r="AJ91" s="124">
        <v>0.46528831120211372</v>
      </c>
      <c r="AK91" s="124">
        <v>0.47669582022543677</v>
      </c>
      <c r="AL91" s="124">
        <v>0.48584146186572996</v>
      </c>
      <c r="AM91" s="124">
        <v>0.49344300354966797</v>
      </c>
      <c r="AN91" s="124">
        <v>0.49950405098949241</v>
      </c>
      <c r="AO91" s="122">
        <v>0.50416726661770339</v>
      </c>
      <c r="AP91" s="124">
        <v>0.50770092181589199</v>
      </c>
      <c r="AQ91" s="124">
        <v>0.51021233371305152</v>
      </c>
      <c r="AR91" s="124">
        <v>0.51211884901182514</v>
      </c>
      <c r="AS91" s="92">
        <v>0.5135843562724266</v>
      </c>
      <c r="AT91" s="124">
        <v>0.51478928777813826</v>
      </c>
      <c r="AU91" s="124">
        <v>0.51580891929681727</v>
      </c>
      <c r="AV91" s="124">
        <v>0.51665972216735923</v>
      </c>
      <c r="AW91" s="124">
        <v>0.51745874264950575</v>
      </c>
      <c r="AX91" s="92">
        <v>0.51817893509801971</v>
      </c>
      <c r="AY91" s="125">
        <v>0.51817893509801971</v>
      </c>
    </row>
    <row r="92" spans="14:51" x14ac:dyDescent="0.2">
      <c r="N92" s="130"/>
      <c r="O92" s="142"/>
      <c r="P92" s="124"/>
      <c r="Q92" s="92"/>
      <c r="R92" s="133"/>
      <c r="S92" s="133"/>
      <c r="T92" s="133"/>
      <c r="U92" s="141"/>
      <c r="W92" s="122"/>
      <c r="X92" s="123">
        <v>9.9999999999999992E-2</v>
      </c>
      <c r="Y92" s="122">
        <v>0.24469072687638027</v>
      </c>
      <c r="Z92" s="122">
        <v>0.34123511424359693</v>
      </c>
      <c r="AA92" s="124">
        <v>0.37776569092028917</v>
      </c>
      <c r="AB92" s="124">
        <v>0.39930719575693857</v>
      </c>
      <c r="AC92" s="124">
        <v>0.42437054573355087</v>
      </c>
      <c r="AD92" s="92">
        <v>0.43930460166086632</v>
      </c>
      <c r="AE92" s="122">
        <v>0.44918992561210935</v>
      </c>
      <c r="AF92" s="124">
        <v>0.4597474141823748</v>
      </c>
      <c r="AG92" s="124">
        <v>0.47091334866064155</v>
      </c>
      <c r="AH92" s="124">
        <v>0.48030600351558966</v>
      </c>
      <c r="AI92" s="92">
        <v>0.48861286678667393</v>
      </c>
      <c r="AJ92" s="124">
        <v>0.49592795772719456</v>
      </c>
      <c r="AK92" s="124">
        <v>0.50225328455906937</v>
      </c>
      <c r="AL92" s="124">
        <v>0.50727186471295116</v>
      </c>
      <c r="AM92" s="124">
        <v>0.51141061464427706</v>
      </c>
      <c r="AN92" s="124">
        <v>0.5147587670421796</v>
      </c>
      <c r="AO92" s="122">
        <v>0.51733004811984895</v>
      </c>
      <c r="AP92" s="124">
        <v>0.5192889766830121</v>
      </c>
      <c r="AQ92" s="124">
        <v>0.52065336177696531</v>
      </c>
      <c r="AR92" s="124">
        <v>0.52168682799278787</v>
      </c>
      <c r="AS92" s="92">
        <v>0.52250664888709508</v>
      </c>
      <c r="AT92" s="124">
        <v>0.52314781440045743</v>
      </c>
      <c r="AU92" s="124">
        <v>0.52371059817018817</v>
      </c>
      <c r="AV92" s="124">
        <v>0.52417907924693108</v>
      </c>
      <c r="AW92" s="124">
        <v>0.52462201161751776</v>
      </c>
      <c r="AX92" s="92">
        <v>0.52499854864258799</v>
      </c>
      <c r="AY92" s="125">
        <v>0.52499854864258799</v>
      </c>
    </row>
    <row r="93" spans="14:51" x14ac:dyDescent="0.2">
      <c r="N93" s="130"/>
      <c r="O93" s="142"/>
      <c r="P93" s="124"/>
      <c r="Q93" s="92"/>
      <c r="R93" s="133"/>
      <c r="S93" s="133"/>
      <c r="T93" s="133"/>
      <c r="U93" s="141"/>
      <c r="W93" s="122"/>
      <c r="X93" s="123">
        <v>0.25000000000000006</v>
      </c>
      <c r="Y93" s="122">
        <v>0.38776121239069211</v>
      </c>
      <c r="Z93" s="122">
        <v>0.43369353750757123</v>
      </c>
      <c r="AA93" s="124">
        <v>0.45275531529477436</v>
      </c>
      <c r="AB93" s="124">
        <v>0.46392664046937671</v>
      </c>
      <c r="AC93" s="124">
        <v>0.47667469243856714</v>
      </c>
      <c r="AD93" s="92">
        <v>0.48446837078448229</v>
      </c>
      <c r="AE93" s="122">
        <v>0.48957021344472124</v>
      </c>
      <c r="AF93" s="124">
        <v>0.49489575448682249</v>
      </c>
      <c r="AG93" s="124">
        <v>0.50067457775016022</v>
      </c>
      <c r="AH93" s="124">
        <v>0.50563835415752412</v>
      </c>
      <c r="AI93" s="92">
        <v>0.5099737013425808</v>
      </c>
      <c r="AJ93" s="124">
        <v>0.51375802383944469</v>
      </c>
      <c r="AK93" s="124">
        <v>0.51704727652069493</v>
      </c>
      <c r="AL93" s="124">
        <v>0.51968704587308623</v>
      </c>
      <c r="AM93" s="124">
        <v>0.52185390356805494</v>
      </c>
      <c r="AN93" s="124">
        <v>0.52358183771397482</v>
      </c>
      <c r="AO93" s="122">
        <v>0.52493980832883502</v>
      </c>
      <c r="AP93" s="124">
        <v>0.52596004790773254</v>
      </c>
      <c r="AQ93" s="124">
        <v>0.5266784326927475</v>
      </c>
      <c r="AR93" s="124">
        <v>0.52722165834635859</v>
      </c>
      <c r="AS93" s="92">
        <v>0.52765678708033137</v>
      </c>
      <c r="AT93" s="124">
        <v>0.5280020760419788</v>
      </c>
      <c r="AU93" s="124">
        <v>0.5282978234709369</v>
      </c>
      <c r="AV93" s="124">
        <v>0.52854791916468247</v>
      </c>
      <c r="AW93" s="124">
        <v>0.52877198423433502</v>
      </c>
      <c r="AX93" s="92">
        <v>0.52897070934533441</v>
      </c>
      <c r="AY93" s="125">
        <v>0.52897070934533441</v>
      </c>
    </row>
    <row r="94" spans="14:51" x14ac:dyDescent="0.2">
      <c r="N94" s="130"/>
      <c r="O94" s="142"/>
      <c r="P94" s="124"/>
      <c r="Q94" s="92"/>
      <c r="R94" s="133"/>
      <c r="S94" s="133"/>
      <c r="T94" s="133"/>
      <c r="U94" s="141"/>
      <c r="W94" s="122">
        <f>X25</f>
        <v>0.6</v>
      </c>
      <c r="X94" s="123">
        <v>0.50000000000000022</v>
      </c>
      <c r="Y94" s="122">
        <v>0.54817930308538831</v>
      </c>
      <c r="Z94" s="122">
        <v>0.53761417114460186</v>
      </c>
      <c r="AA94" s="124">
        <v>0.53591290223803223</v>
      </c>
      <c r="AB94" s="124">
        <v>0.53508156037458932</v>
      </c>
      <c r="AC94" s="124">
        <v>0.5344904706035396</v>
      </c>
      <c r="AD94" s="92">
        <v>0.5341041996686996</v>
      </c>
      <c r="AE94" s="122">
        <v>0.53398313736979874</v>
      </c>
      <c r="AF94" s="124">
        <v>0.53380120521245888</v>
      </c>
      <c r="AG94" s="124">
        <v>0.53362554402916051</v>
      </c>
      <c r="AH94" s="124">
        <v>0.53351816465771795</v>
      </c>
      <c r="AI94" s="92">
        <v>0.53346473004881678</v>
      </c>
      <c r="AJ94" s="124">
        <v>0.53345511503230603</v>
      </c>
      <c r="AK94" s="124">
        <v>0.53345907251203306</v>
      </c>
      <c r="AL94" s="124">
        <v>0.53340317557635031</v>
      </c>
      <c r="AM94" s="124">
        <v>0.5333907877965447</v>
      </c>
      <c r="AN94" s="124">
        <v>0.53337361639212932</v>
      </c>
      <c r="AO94" s="122">
        <v>0.53338225876589596</v>
      </c>
      <c r="AP94" s="124">
        <v>0.53337400335265217</v>
      </c>
      <c r="AQ94" s="124">
        <v>0.533361677389661</v>
      </c>
      <c r="AR94" s="124">
        <v>0.53335818372162036</v>
      </c>
      <c r="AS94" s="92">
        <v>0.53334275314971036</v>
      </c>
      <c r="AT94" s="124">
        <v>0.53335078963250115</v>
      </c>
      <c r="AU94" s="124">
        <v>0.53334535822616658</v>
      </c>
      <c r="AV94" s="124">
        <v>0.53335034537704806</v>
      </c>
      <c r="AW94" s="124">
        <v>0.53335302248736716</v>
      </c>
      <c r="AX94" s="92">
        <v>0.53335201901880136</v>
      </c>
      <c r="AY94" s="125">
        <v>0.53335201901880136</v>
      </c>
    </row>
    <row r="95" spans="14:51" x14ac:dyDescent="0.2">
      <c r="N95" s="130"/>
      <c r="O95" s="142"/>
      <c r="P95" s="124"/>
      <c r="Q95" s="92"/>
      <c r="R95" s="133"/>
      <c r="S95" s="133"/>
      <c r="T95" s="133"/>
      <c r="U95" s="141"/>
      <c r="W95" s="122"/>
      <c r="X95" s="123">
        <v>0.75000000000000044</v>
      </c>
      <c r="Y95" s="122">
        <v>0.6842828498011585</v>
      </c>
      <c r="Z95" s="122">
        <v>0.63730408469137867</v>
      </c>
      <c r="AA95" s="124">
        <v>0.61669335916260959</v>
      </c>
      <c r="AB95" s="124">
        <v>0.6046544515925999</v>
      </c>
      <c r="AC95" s="124">
        <v>0.59113362322182339</v>
      </c>
      <c r="AD95" s="92">
        <v>0.58322112011161287</v>
      </c>
      <c r="AE95" s="122">
        <v>0.57771452915252353</v>
      </c>
      <c r="AF95" s="124">
        <v>0.57213886600523323</v>
      </c>
      <c r="AG95" s="124">
        <v>0.56633285245950538</v>
      </c>
      <c r="AH95" s="124">
        <v>0.56123053529896982</v>
      </c>
      <c r="AI95" s="92">
        <v>0.55687676085718996</v>
      </c>
      <c r="AJ95" s="124">
        <v>0.55297458948501144</v>
      </c>
      <c r="AK95" s="124">
        <v>0.54971069373205683</v>
      </c>
      <c r="AL95" s="124">
        <v>0.54709612152059239</v>
      </c>
      <c r="AM95" s="124">
        <v>0.54492534851616181</v>
      </c>
      <c r="AN95" s="124">
        <v>0.54317286237808804</v>
      </c>
      <c r="AO95" s="122">
        <v>0.54181259927069036</v>
      </c>
      <c r="AP95" s="124">
        <v>0.54077619710534297</v>
      </c>
      <c r="AQ95" s="124">
        <v>0.54002885953996171</v>
      </c>
      <c r="AR95" s="124">
        <v>0.5394837410581762</v>
      </c>
      <c r="AS95" s="92">
        <v>0.53904489377746989</v>
      </c>
      <c r="AT95" s="124">
        <v>0.53869005312069962</v>
      </c>
      <c r="AU95" s="124">
        <v>0.53839653012021627</v>
      </c>
      <c r="AV95" s="124">
        <v>0.53815350541744633</v>
      </c>
      <c r="AW95" s="124">
        <v>0.53792517874354706</v>
      </c>
      <c r="AX95" s="92">
        <v>0.53772742724137101</v>
      </c>
      <c r="AY95" s="125">
        <v>0.53772742724137101</v>
      </c>
    </row>
    <row r="96" spans="14:51" x14ac:dyDescent="0.2">
      <c r="N96" s="130"/>
      <c r="O96" s="142"/>
      <c r="P96" s="124"/>
      <c r="Q96" s="92"/>
      <c r="R96" s="133"/>
      <c r="S96" s="133"/>
      <c r="T96" s="133"/>
      <c r="U96" s="141"/>
      <c r="W96" s="122"/>
      <c r="X96" s="123">
        <v>0.90000000000000058</v>
      </c>
      <c r="Y96" s="122">
        <v>0.79997964853198955</v>
      </c>
      <c r="Z96" s="122">
        <v>0.72014085895960878</v>
      </c>
      <c r="AA96" s="124">
        <v>0.68539540263418153</v>
      </c>
      <c r="AB96" s="124">
        <v>0.66500518931317198</v>
      </c>
      <c r="AC96" s="124">
        <v>0.64055429261159447</v>
      </c>
      <c r="AD96" s="92">
        <v>0.62619991789778373</v>
      </c>
      <c r="AE96" s="122">
        <v>0.6163102745080371</v>
      </c>
      <c r="AF96" s="124">
        <v>0.60623659730955926</v>
      </c>
      <c r="AG96" s="124">
        <v>0.59528779833933354</v>
      </c>
      <c r="AH96" s="124">
        <v>0.58591937409787187</v>
      </c>
      <c r="AI96" s="92">
        <v>0.57772223320394567</v>
      </c>
      <c r="AJ96" s="124">
        <v>0.57047436514591709</v>
      </c>
      <c r="AK96" s="124">
        <v>0.5642999932273941</v>
      </c>
      <c r="AL96" s="124">
        <v>0.5593686645672602</v>
      </c>
      <c r="AM96" s="124">
        <v>0.55526448439026987</v>
      </c>
      <c r="AN96" s="124">
        <v>0.55193114159817047</v>
      </c>
      <c r="AO96" s="122">
        <v>0.54933986024620274</v>
      </c>
      <c r="AP96" s="124">
        <v>0.54740811975548542</v>
      </c>
      <c r="AQ96" s="124">
        <v>0.54602267420686756</v>
      </c>
      <c r="AR96" s="124">
        <v>0.54499714580858072</v>
      </c>
      <c r="AS96" s="92">
        <v>0.54416864145586363</v>
      </c>
      <c r="AT96" s="124">
        <v>0.54351438979656752</v>
      </c>
      <c r="AU96" s="124">
        <v>0.54294089237188781</v>
      </c>
      <c r="AV96" s="124">
        <v>0.54247926782742617</v>
      </c>
      <c r="AW96" s="124">
        <v>0.54205177558494877</v>
      </c>
      <c r="AX96" s="92">
        <v>0.54165978542765902</v>
      </c>
      <c r="AY96" s="125">
        <v>0.54165978542765902</v>
      </c>
    </row>
    <row r="97" spans="14:51" x14ac:dyDescent="0.2">
      <c r="N97" s="130"/>
      <c r="O97" s="142"/>
      <c r="P97" s="124"/>
      <c r="Q97" s="92"/>
      <c r="R97" s="133"/>
      <c r="S97" s="133"/>
      <c r="T97" s="133"/>
      <c r="U97" s="141"/>
      <c r="W97" s="122"/>
      <c r="X97" s="123">
        <v>0.99000000000000066</v>
      </c>
      <c r="Y97" s="122">
        <v>0.93694061038846221</v>
      </c>
      <c r="Z97" s="122">
        <v>0.84365902984772889</v>
      </c>
      <c r="AA97" s="124">
        <v>0.79291510343963512</v>
      </c>
      <c r="AB97" s="124">
        <v>0.76002522714609766</v>
      </c>
      <c r="AC97" s="124">
        <v>0.72106764051942773</v>
      </c>
      <c r="AD97" s="92">
        <v>0.69718700218817309</v>
      </c>
      <c r="AE97" s="122">
        <v>0.68046931728855475</v>
      </c>
      <c r="AF97" s="124">
        <v>0.66269516160318642</v>
      </c>
      <c r="AG97" s="124">
        <v>0.64397240351236928</v>
      </c>
      <c r="AH97" s="124">
        <v>0.62739422300972625</v>
      </c>
      <c r="AI97" s="92">
        <v>0.61295921570044098</v>
      </c>
      <c r="AJ97" s="124">
        <v>0.60016358214342391</v>
      </c>
      <c r="AK97" s="124">
        <v>0.58918387065681854</v>
      </c>
      <c r="AL97" s="124">
        <v>0.5803783878287142</v>
      </c>
      <c r="AM97" s="124">
        <v>0.57286758635899515</v>
      </c>
      <c r="AN97" s="124">
        <v>0.56699557925247368</v>
      </c>
      <c r="AO97" s="122">
        <v>0.56231438630078745</v>
      </c>
      <c r="AP97" s="124">
        <v>0.55881026344113149</v>
      </c>
      <c r="AQ97" s="124">
        <v>0.55629126569933118</v>
      </c>
      <c r="AR97" s="124">
        <v>0.55447014493094282</v>
      </c>
      <c r="AS97" s="92">
        <v>0.55296648848036001</v>
      </c>
      <c r="AT97" s="124">
        <v>0.55172751121657992</v>
      </c>
      <c r="AU97" s="124">
        <v>0.55075569312074879</v>
      </c>
      <c r="AV97" s="124">
        <v>0.54987365827482315</v>
      </c>
      <c r="AW97" s="124">
        <v>0.54913566920244328</v>
      </c>
      <c r="AX97" s="92">
        <v>0.54844375375505627</v>
      </c>
      <c r="AY97" s="125">
        <v>0.54844375375505627</v>
      </c>
    </row>
    <row r="98" spans="14:51" x14ac:dyDescent="0.2">
      <c r="N98" s="130"/>
      <c r="O98" s="142"/>
      <c r="P98" s="124"/>
      <c r="Q98" s="92"/>
      <c r="R98" s="133"/>
      <c r="S98" s="133"/>
      <c r="T98" s="133"/>
      <c r="U98" s="141"/>
      <c r="W98" s="126"/>
      <c r="X98" s="127">
        <v>0.999</v>
      </c>
      <c r="Y98" s="126">
        <v>0.97970033473080598</v>
      </c>
      <c r="Z98" s="126">
        <v>0.91218015107432626</v>
      </c>
      <c r="AA98" s="128">
        <v>0.85942750635418375</v>
      </c>
      <c r="AB98" s="128">
        <v>0.82198338296516393</v>
      </c>
      <c r="AC98" s="128">
        <v>0.77629408155106594</v>
      </c>
      <c r="AD98" s="100">
        <v>0.74645448960038741</v>
      </c>
      <c r="AE98" s="126">
        <v>0.72556470376205651</v>
      </c>
      <c r="AF98" s="128">
        <v>0.70284524867439491</v>
      </c>
      <c r="AG98" s="128">
        <v>0.67861910177113094</v>
      </c>
      <c r="AH98" s="128">
        <v>0.65722777856583692</v>
      </c>
      <c r="AI98" s="100">
        <v>0.63883600083947578</v>
      </c>
      <c r="AJ98" s="128">
        <v>0.62149717992714959</v>
      </c>
      <c r="AK98" s="128">
        <v>0.60719519092257312</v>
      </c>
      <c r="AL98" s="128">
        <v>0.59558411689997526</v>
      </c>
      <c r="AM98" s="128">
        <v>0.5856691951779881</v>
      </c>
      <c r="AN98" s="128">
        <v>0.57767541894630425</v>
      </c>
      <c r="AO98" s="126">
        <v>0.57175402727605562</v>
      </c>
      <c r="AP98" s="128">
        <v>0.56694397954869891</v>
      </c>
      <c r="AQ98" s="128">
        <v>0.5637173917042162</v>
      </c>
      <c r="AR98" s="128">
        <v>0.56119804748365443</v>
      </c>
      <c r="AS98" s="100">
        <v>0.55938069558073256</v>
      </c>
      <c r="AT98" s="128">
        <v>0.5578004151492354</v>
      </c>
      <c r="AU98" s="128">
        <v>0.55644540113916152</v>
      </c>
      <c r="AV98" s="128">
        <v>0.55531813988870338</v>
      </c>
      <c r="AW98" s="128">
        <v>0.5542873090169288</v>
      </c>
      <c r="AX98" s="100">
        <v>0.55339614968730422</v>
      </c>
      <c r="AY98" s="129">
        <v>0.55339614968730422</v>
      </c>
    </row>
    <row r="99" spans="14:51" x14ac:dyDescent="0.2">
      <c r="N99" s="130"/>
      <c r="O99" s="142"/>
      <c r="P99" s="124"/>
      <c r="Q99" s="92"/>
      <c r="R99" s="133"/>
      <c r="S99" s="133"/>
      <c r="T99" s="133"/>
      <c r="U99" s="141"/>
      <c r="W99" s="118"/>
      <c r="X99" s="119">
        <v>1E-3</v>
      </c>
      <c r="Y99" s="118">
        <v>2.6332971305075215E-2</v>
      </c>
      <c r="Z99" s="118">
        <v>0.11849256695695072</v>
      </c>
      <c r="AA99" s="120">
        <v>0.18676013484631385</v>
      </c>
      <c r="AB99" s="120">
        <v>0.23539462450336823</v>
      </c>
      <c r="AC99" s="120">
        <v>0.29477365550243945</v>
      </c>
      <c r="AD99" s="83">
        <v>0.33103899943021747</v>
      </c>
      <c r="AE99" s="118">
        <v>0.35611867293315258</v>
      </c>
      <c r="AF99" s="120">
        <v>0.38183186590067764</v>
      </c>
      <c r="AG99" s="120">
        <v>0.40999170507984156</v>
      </c>
      <c r="AH99" s="120">
        <v>0.43389846854383329</v>
      </c>
      <c r="AI99" s="83">
        <v>0.45537355415702396</v>
      </c>
      <c r="AJ99" s="120">
        <v>0.47381835265941236</v>
      </c>
      <c r="AK99" s="120">
        <v>0.4892061433283374</v>
      </c>
      <c r="AL99" s="120">
        <v>0.50189215284223632</v>
      </c>
      <c r="AM99" s="120">
        <v>0.51211553795223286</v>
      </c>
      <c r="AN99" s="120">
        <v>0.52067004873437472</v>
      </c>
      <c r="AO99" s="118">
        <v>0.52685945440342707</v>
      </c>
      <c r="AP99" s="120">
        <v>0.53173985525727152</v>
      </c>
      <c r="AQ99" s="120">
        <v>0.53512082087288682</v>
      </c>
      <c r="AR99" s="120">
        <v>0.53780216707193829</v>
      </c>
      <c r="AS99" s="83">
        <v>0.53975013636524849</v>
      </c>
      <c r="AT99" s="120">
        <v>0.54149949150181675</v>
      </c>
      <c r="AU99" s="120">
        <v>0.54287467166492254</v>
      </c>
      <c r="AV99" s="120">
        <v>0.54409108823344943</v>
      </c>
      <c r="AW99" s="120">
        <v>0.54522830511097087</v>
      </c>
      <c r="AX99" s="83">
        <v>0.546179230977893</v>
      </c>
      <c r="AY99" s="121">
        <v>0.546179230977893</v>
      </c>
    </row>
    <row r="100" spans="14:51" x14ac:dyDescent="0.2">
      <c r="N100" s="130"/>
      <c r="O100" s="142"/>
      <c r="P100" s="124"/>
      <c r="Q100" s="92"/>
      <c r="R100" s="133"/>
      <c r="S100" s="133"/>
      <c r="T100" s="133"/>
      <c r="U100" s="141"/>
      <c r="W100" s="122"/>
      <c r="X100" s="123">
        <v>0.01</v>
      </c>
      <c r="Y100" s="122">
        <v>8.3694354895861467E-2</v>
      </c>
      <c r="Z100" s="122">
        <v>0.20717634555067155</v>
      </c>
      <c r="AA100" s="124">
        <v>0.27451036182561905</v>
      </c>
      <c r="AB100" s="124">
        <v>0.3139478948224072</v>
      </c>
      <c r="AC100" s="124">
        <v>0.36063635981293696</v>
      </c>
      <c r="AD100" s="92">
        <v>0.38916367736509833</v>
      </c>
      <c r="AE100" s="122">
        <v>0.40823652309174158</v>
      </c>
      <c r="AF100" s="124">
        <v>0.42763157982719135</v>
      </c>
      <c r="AG100" s="124">
        <v>0.44933924172544387</v>
      </c>
      <c r="AH100" s="124">
        <v>0.46740248862575884</v>
      </c>
      <c r="AI100" s="92">
        <v>0.48292774122478405</v>
      </c>
      <c r="AJ100" s="124">
        <v>0.49672503723295264</v>
      </c>
      <c r="AK100" s="124">
        <v>0.50855711319656183</v>
      </c>
      <c r="AL100" s="124">
        <v>0.51802974876012675</v>
      </c>
      <c r="AM100" s="124">
        <v>0.52579092465751831</v>
      </c>
      <c r="AN100" s="124">
        <v>0.5320700201817371</v>
      </c>
      <c r="AO100" s="122">
        <v>0.5368540840740551</v>
      </c>
      <c r="AP100" s="124">
        <v>0.54046746197845674</v>
      </c>
      <c r="AQ100" s="124">
        <v>0.54303940890196045</v>
      </c>
      <c r="AR100" s="124">
        <v>0.54498148807253644</v>
      </c>
      <c r="AS100" s="92">
        <v>0.54648021368034305</v>
      </c>
      <c r="AT100" s="124">
        <v>0.54771316824095362</v>
      </c>
      <c r="AU100" s="124">
        <v>0.54877804217711512</v>
      </c>
      <c r="AV100" s="124">
        <v>0.54963161868124732</v>
      </c>
      <c r="AW100" s="124">
        <v>0.55045998931294249</v>
      </c>
      <c r="AX100" s="92">
        <v>0.55118680296165723</v>
      </c>
      <c r="AY100" s="125">
        <v>0.55118680296165723</v>
      </c>
    </row>
    <row r="101" spans="14:51" x14ac:dyDescent="0.2">
      <c r="N101" s="130"/>
      <c r="O101" s="142"/>
      <c r="P101" s="124"/>
      <c r="Q101" s="92"/>
      <c r="R101" s="133"/>
      <c r="S101" s="133"/>
      <c r="T101" s="133"/>
      <c r="U101" s="141"/>
      <c r="W101" s="122"/>
      <c r="X101" s="123">
        <v>9.9999999999999992E-2</v>
      </c>
      <c r="Y101" s="122">
        <v>0.26429619203179328</v>
      </c>
      <c r="Z101" s="122">
        <v>0.36846752876437427</v>
      </c>
      <c r="AA101" s="124">
        <v>0.40637049262954167</v>
      </c>
      <c r="AB101" s="124">
        <v>0.4288619203322549</v>
      </c>
      <c r="AC101" s="124">
        <v>0.45486631952333378</v>
      </c>
      <c r="AD101" s="92">
        <v>0.47026367446940437</v>
      </c>
      <c r="AE101" s="122">
        <v>0.48050849363780468</v>
      </c>
      <c r="AF101" s="124">
        <v>0.49136425510871889</v>
      </c>
      <c r="AG101" s="124">
        <v>0.50278619360154109</v>
      </c>
      <c r="AH101" s="124">
        <v>0.51244110619088656</v>
      </c>
      <c r="AI101" s="92">
        <v>0.520976917353969</v>
      </c>
      <c r="AJ101" s="124">
        <v>0.52842574335783898</v>
      </c>
      <c r="AK101" s="124">
        <v>0.53493455707408499</v>
      </c>
      <c r="AL101" s="124">
        <v>0.54006045855473528</v>
      </c>
      <c r="AM101" s="124">
        <v>0.5442955254903471</v>
      </c>
      <c r="AN101" s="124">
        <v>0.54770401903448962</v>
      </c>
      <c r="AO101" s="122">
        <v>0.5503371573389837</v>
      </c>
      <c r="AP101" s="124">
        <v>0.5523427258389596</v>
      </c>
      <c r="AQ101" s="124">
        <v>0.55373074262981703</v>
      </c>
      <c r="AR101" s="124">
        <v>0.55478289741404829</v>
      </c>
      <c r="AS101" s="92">
        <v>0.55561786488690346</v>
      </c>
      <c r="AT101" s="124">
        <v>0.55628165147985453</v>
      </c>
      <c r="AU101" s="124">
        <v>0.55684579033509363</v>
      </c>
      <c r="AV101" s="124">
        <v>0.55733310018553539</v>
      </c>
      <c r="AW101" s="124">
        <v>0.55778639359734183</v>
      </c>
      <c r="AX101" s="92">
        <v>0.55816830882801172</v>
      </c>
      <c r="AY101" s="125">
        <v>0.55816830882801172</v>
      </c>
    </row>
    <row r="102" spans="14:51" x14ac:dyDescent="0.2">
      <c r="N102" s="130"/>
      <c r="O102" s="142"/>
      <c r="P102" s="124"/>
      <c r="Q102" s="92"/>
      <c r="R102" s="133"/>
      <c r="S102" s="133"/>
      <c r="T102" s="133"/>
      <c r="U102" s="141"/>
      <c r="W102" s="122"/>
      <c r="X102" s="123">
        <v>0.25000000000000006</v>
      </c>
      <c r="Y102" s="122">
        <v>0.41882997840072217</v>
      </c>
      <c r="Z102" s="122">
        <v>0.46600277987553723</v>
      </c>
      <c r="AA102" s="124">
        <v>0.48531655147553965</v>
      </c>
      <c r="AB102" s="124">
        <v>0.49656496238310488</v>
      </c>
      <c r="AC102" s="124">
        <v>0.50928799356017751</v>
      </c>
      <c r="AD102" s="92">
        <v>0.51716607934158709</v>
      </c>
      <c r="AE102" s="122">
        <v>0.52230060817177626</v>
      </c>
      <c r="AF102" s="124">
        <v>0.52766722142139533</v>
      </c>
      <c r="AG102" s="124">
        <v>0.53355847360651742</v>
      </c>
      <c r="AH102" s="124">
        <v>0.53855232838355283</v>
      </c>
      <c r="AI102" s="92">
        <v>0.54293677232418613</v>
      </c>
      <c r="AJ102" s="124">
        <v>0.54677305242990304</v>
      </c>
      <c r="AK102" s="124">
        <v>0.55010080256341565</v>
      </c>
      <c r="AL102" s="124">
        <v>0.5527920747769085</v>
      </c>
      <c r="AM102" s="124">
        <v>0.55497142851330861</v>
      </c>
      <c r="AN102" s="124">
        <v>0.55674080646881929</v>
      </c>
      <c r="AO102" s="122">
        <v>0.55811591032883012</v>
      </c>
      <c r="AP102" s="124">
        <v>0.55915533586648669</v>
      </c>
      <c r="AQ102" s="124">
        <v>0.55988553265303087</v>
      </c>
      <c r="AR102" s="124">
        <v>0.56044517546506156</v>
      </c>
      <c r="AS102" s="92">
        <v>0.56088194351604204</v>
      </c>
      <c r="AT102" s="124">
        <v>0.56123634159305469</v>
      </c>
      <c r="AU102" s="124">
        <v>0.56154106520365121</v>
      </c>
      <c r="AV102" s="124">
        <v>0.56178977334390523</v>
      </c>
      <c r="AW102" s="124">
        <v>0.56202223830275888</v>
      </c>
      <c r="AX102" s="92">
        <v>0.56222072952298241</v>
      </c>
      <c r="AY102" s="125">
        <v>0.56222072952298241</v>
      </c>
    </row>
    <row r="103" spans="14:51" x14ac:dyDescent="0.2">
      <c r="N103" s="130"/>
      <c r="O103" s="142"/>
      <c r="P103" s="124"/>
      <c r="Q103" s="92"/>
      <c r="R103" s="133"/>
      <c r="S103" s="133"/>
      <c r="T103" s="133"/>
      <c r="U103" s="141"/>
      <c r="W103" s="122">
        <f>X26</f>
        <v>0.70000000000000007</v>
      </c>
      <c r="X103" s="123">
        <v>0.50000000000000022</v>
      </c>
      <c r="Y103" s="122">
        <v>0.59210131992172221</v>
      </c>
      <c r="Z103" s="122">
        <v>0.57426351301165413</v>
      </c>
      <c r="AA103" s="124">
        <v>0.57137442022896878</v>
      </c>
      <c r="AB103" s="124">
        <v>0.57004149439064355</v>
      </c>
      <c r="AC103" s="124">
        <v>0.56879076010935981</v>
      </c>
      <c r="AD103" s="92">
        <v>0.56818676661002931</v>
      </c>
      <c r="AE103" s="122">
        <v>0.56790912123446669</v>
      </c>
      <c r="AF103" s="124">
        <v>0.5676175494714556</v>
      </c>
      <c r="AG103" s="124">
        <v>0.56726137110280006</v>
      </c>
      <c r="AH103" s="124">
        <v>0.56708342688486713</v>
      </c>
      <c r="AI103" s="92">
        <v>0.56697527828619465</v>
      </c>
      <c r="AJ103" s="124">
        <v>0.56692144187235383</v>
      </c>
      <c r="AK103" s="124">
        <v>0.5668772833980259</v>
      </c>
      <c r="AL103" s="124">
        <v>0.56679142964650597</v>
      </c>
      <c r="AM103" s="124">
        <v>0.56676923916475508</v>
      </c>
      <c r="AN103" s="124">
        <v>0.56674486718526984</v>
      </c>
      <c r="AO103" s="122">
        <v>0.56674366895664874</v>
      </c>
      <c r="AP103" s="124">
        <v>0.56672990656967226</v>
      </c>
      <c r="AQ103" s="124">
        <v>0.56670700977073141</v>
      </c>
      <c r="AR103" s="124">
        <v>0.56670189329027909</v>
      </c>
      <c r="AS103" s="92">
        <v>0.56668980653353551</v>
      </c>
      <c r="AT103" s="124">
        <v>0.56669149681524933</v>
      </c>
      <c r="AU103" s="124">
        <v>0.56668659604075655</v>
      </c>
      <c r="AV103" s="124">
        <v>0.56669502004144179</v>
      </c>
      <c r="AW103" s="124">
        <v>0.56669301833549424</v>
      </c>
      <c r="AX103" s="92">
        <v>0.56669016804510008</v>
      </c>
      <c r="AY103" s="125">
        <v>0.56669016804510008</v>
      </c>
    </row>
    <row r="104" spans="14:51" x14ac:dyDescent="0.2">
      <c r="N104" s="130"/>
      <c r="O104" s="142"/>
      <c r="P104" s="124"/>
      <c r="Q104" s="92"/>
      <c r="R104" s="133"/>
      <c r="S104" s="133"/>
      <c r="T104" s="133"/>
      <c r="U104" s="141"/>
      <c r="W104" s="122"/>
      <c r="X104" s="123">
        <v>0.75000000000000044</v>
      </c>
      <c r="Y104" s="122">
        <v>0.72658092751737591</v>
      </c>
      <c r="Z104" s="122">
        <v>0.67569025171244579</v>
      </c>
      <c r="AA104" s="124">
        <v>0.65319952108560286</v>
      </c>
      <c r="AB104" s="124">
        <v>0.64053272687566609</v>
      </c>
      <c r="AC104" s="124">
        <v>0.62623457250795822</v>
      </c>
      <c r="AD104" s="92">
        <v>0.61794330376658813</v>
      </c>
      <c r="AE104" s="122">
        <v>0.61227925753421264</v>
      </c>
      <c r="AF104" s="124">
        <v>0.60655600425352363</v>
      </c>
      <c r="AG104" s="124">
        <v>0.60050961696179428</v>
      </c>
      <c r="AH104" s="124">
        <v>0.59524296430174739</v>
      </c>
      <c r="AI104" s="92">
        <v>0.59076971105538267</v>
      </c>
      <c r="AJ104" s="124">
        <v>0.5867636791083144</v>
      </c>
      <c r="AK104" s="124">
        <v>0.5834181636510416</v>
      </c>
      <c r="AL104" s="124">
        <v>0.58073566274390886</v>
      </c>
      <c r="AM104" s="124">
        <v>0.5785151683488573</v>
      </c>
      <c r="AN104" s="124">
        <v>0.57672017050501534</v>
      </c>
      <c r="AO104" s="122">
        <v>0.57531986640917387</v>
      </c>
      <c r="AP104" s="124">
        <v>0.57426719214823063</v>
      </c>
      <c r="AQ104" s="124">
        <v>0.57350522132881487</v>
      </c>
      <c r="AR104" s="124">
        <v>0.57294883600764446</v>
      </c>
      <c r="AS104" s="92">
        <v>0.5724970785808432</v>
      </c>
      <c r="AT104" s="124">
        <v>0.57213770415413867</v>
      </c>
      <c r="AU104" s="124">
        <v>0.57183591418512014</v>
      </c>
      <c r="AV104" s="124">
        <v>0.5715810894866562</v>
      </c>
      <c r="AW104" s="124">
        <v>0.57135090688887658</v>
      </c>
      <c r="AX104" s="92">
        <v>0.57114727502502183</v>
      </c>
      <c r="AY104" s="125">
        <v>0.57114727502502183</v>
      </c>
    </row>
    <row r="105" spans="14:51" x14ac:dyDescent="0.2">
      <c r="N105" s="130"/>
      <c r="O105" s="142"/>
      <c r="P105" s="124"/>
      <c r="Q105" s="92"/>
      <c r="R105" s="133"/>
      <c r="S105" s="133"/>
      <c r="T105" s="133"/>
      <c r="U105" s="141"/>
      <c r="W105" s="122"/>
      <c r="X105" s="123">
        <v>0.90000000000000058</v>
      </c>
      <c r="Y105" s="122">
        <v>0.82677729435481084</v>
      </c>
      <c r="Z105" s="122">
        <v>0.75486840551337853</v>
      </c>
      <c r="AA105" s="124">
        <v>0.72068439941884077</v>
      </c>
      <c r="AB105" s="124">
        <v>0.70002569806095383</v>
      </c>
      <c r="AC105" s="124">
        <v>0.67540962872950527</v>
      </c>
      <c r="AD105" s="92">
        <v>0.66090322209066277</v>
      </c>
      <c r="AE105" s="122">
        <v>0.65089935920791475</v>
      </c>
      <c r="AF105" s="124">
        <v>0.64075837807241232</v>
      </c>
      <c r="AG105" s="124">
        <v>0.62961517414501555</v>
      </c>
      <c r="AH105" s="124">
        <v>0.62010368818432193</v>
      </c>
      <c r="AI105" s="92">
        <v>0.61179203829880147</v>
      </c>
      <c r="AJ105" s="124">
        <v>0.60444497006383069</v>
      </c>
      <c r="AK105" s="124">
        <v>0.59818801739870031</v>
      </c>
      <c r="AL105" s="124">
        <v>0.59317721300978887</v>
      </c>
      <c r="AM105" s="124">
        <v>0.58898342629944223</v>
      </c>
      <c r="AN105" s="124">
        <v>0.58561960541827429</v>
      </c>
      <c r="AO105" s="122">
        <v>0.58297714082781549</v>
      </c>
      <c r="AP105" s="124">
        <v>0.58100592795615036</v>
      </c>
      <c r="AQ105" s="124">
        <v>0.5795985838056853</v>
      </c>
      <c r="AR105" s="124">
        <v>0.57855453784020927</v>
      </c>
      <c r="AS105" s="92">
        <v>0.57771171689456713</v>
      </c>
      <c r="AT105" s="124">
        <v>0.57704676194234428</v>
      </c>
      <c r="AU105" s="124">
        <v>0.5764511563360456</v>
      </c>
      <c r="AV105" s="124">
        <v>0.57598449355834891</v>
      </c>
      <c r="AW105" s="124">
        <v>0.57554914567520088</v>
      </c>
      <c r="AX105" s="92">
        <v>0.5751521493463102</v>
      </c>
      <c r="AY105" s="125">
        <v>0.5751521493463102</v>
      </c>
    </row>
    <row r="106" spans="14:51" x14ac:dyDescent="0.2">
      <c r="N106" s="130"/>
      <c r="O106" s="142"/>
      <c r="P106" s="124"/>
      <c r="Q106" s="92"/>
      <c r="R106" s="133"/>
      <c r="S106" s="133"/>
      <c r="T106" s="133"/>
      <c r="U106" s="141"/>
      <c r="W106" s="122"/>
      <c r="X106" s="123">
        <v>0.99000000000000066</v>
      </c>
      <c r="Y106" s="122">
        <v>0.94538896664926764</v>
      </c>
      <c r="Z106" s="122">
        <v>0.86460474819582855</v>
      </c>
      <c r="AA106" s="124">
        <v>0.81991916054704916</v>
      </c>
      <c r="AB106" s="124">
        <v>0.78987824213910118</v>
      </c>
      <c r="AC106" s="124">
        <v>0.7530853586060704</v>
      </c>
      <c r="AD106" s="92">
        <v>0.73008855424432895</v>
      </c>
      <c r="AE106" s="122">
        <v>0.71374815920430623</v>
      </c>
      <c r="AF106" s="124">
        <v>0.69632952629581346</v>
      </c>
      <c r="AG106" s="124">
        <v>0.67779835781780751</v>
      </c>
      <c r="AH106" s="124">
        <v>0.66150038268719313</v>
      </c>
      <c r="AI106" s="92">
        <v>0.64717995965512487</v>
      </c>
      <c r="AJ106" s="124">
        <v>0.63424410544700383</v>
      </c>
      <c r="AK106" s="124">
        <v>0.62323059965853855</v>
      </c>
      <c r="AL106" s="124">
        <v>0.61437615918315092</v>
      </c>
      <c r="AM106" s="124">
        <v>0.60681623062093848</v>
      </c>
      <c r="AN106" s="124">
        <v>0.60085017755404768</v>
      </c>
      <c r="AO106" s="122">
        <v>0.59610488298488828</v>
      </c>
      <c r="AP106" s="124">
        <v>0.59257048722313987</v>
      </c>
      <c r="AQ106" s="124">
        <v>0.59002147036877606</v>
      </c>
      <c r="AR106" s="124">
        <v>0.5881688028146913</v>
      </c>
      <c r="AS106" s="92">
        <v>0.58665201565057234</v>
      </c>
      <c r="AT106" s="124">
        <v>0.58540998887212914</v>
      </c>
      <c r="AU106" s="124">
        <v>0.58440214911668575</v>
      </c>
      <c r="AV106" s="124">
        <v>0.58350091195083809</v>
      </c>
      <c r="AW106" s="124">
        <v>0.58274691993531125</v>
      </c>
      <c r="AX106" s="92">
        <v>0.582040736978504</v>
      </c>
      <c r="AY106" s="125">
        <v>0.582040736978504</v>
      </c>
    </row>
    <row r="107" spans="14:51" x14ac:dyDescent="0.2">
      <c r="N107" s="130"/>
      <c r="O107" s="142"/>
      <c r="P107" s="124"/>
      <c r="Q107" s="92"/>
      <c r="R107" s="133"/>
      <c r="S107" s="133"/>
      <c r="T107" s="133"/>
      <c r="U107" s="141"/>
      <c r="W107" s="126"/>
      <c r="X107" s="127">
        <v>0.999</v>
      </c>
      <c r="Y107" s="126">
        <v>0.9824199741885572</v>
      </c>
      <c r="Z107" s="126">
        <v>0.92394577987385496</v>
      </c>
      <c r="AA107" s="128">
        <v>0.87826064942939652</v>
      </c>
      <c r="AB107" s="128">
        <v>0.8453772643035109</v>
      </c>
      <c r="AC107" s="128">
        <v>0.80449652449774434</v>
      </c>
      <c r="AD107" s="100">
        <v>0.7763732914803031</v>
      </c>
      <c r="AE107" s="126">
        <v>0.75684231412226699</v>
      </c>
      <c r="AF107" s="128">
        <v>0.73554757859921704</v>
      </c>
      <c r="AG107" s="128">
        <v>0.71177319432125341</v>
      </c>
      <c r="AH107" s="128">
        <v>0.69095979517584649</v>
      </c>
      <c r="AI107" s="100">
        <v>0.67255207683940399</v>
      </c>
      <c r="AJ107" s="128">
        <v>0.65565000707607912</v>
      </c>
      <c r="AK107" s="128">
        <v>0.64133168177684552</v>
      </c>
      <c r="AL107" s="128">
        <v>0.62960441725924943</v>
      </c>
      <c r="AM107" s="128">
        <v>0.61966218251473881</v>
      </c>
      <c r="AN107" s="128">
        <v>0.61160072617855832</v>
      </c>
      <c r="AO107" s="126">
        <v>0.60566660356672397</v>
      </c>
      <c r="AP107" s="128">
        <v>0.60081365485674487</v>
      </c>
      <c r="AQ107" s="128">
        <v>0.59751973761323829</v>
      </c>
      <c r="AR107" s="128">
        <v>0.59495632673963028</v>
      </c>
      <c r="AS107" s="100">
        <v>0.59310958371518163</v>
      </c>
      <c r="AT107" s="128">
        <v>0.59155369108223599</v>
      </c>
      <c r="AU107" s="128">
        <v>0.59018116064499393</v>
      </c>
      <c r="AV107" s="128">
        <v>0.58898534702774819</v>
      </c>
      <c r="AW107" s="128">
        <v>0.58800374552593648</v>
      </c>
      <c r="AX107" s="100">
        <v>0.5870810904428595</v>
      </c>
      <c r="AY107" s="129">
        <v>0.5870810904428595</v>
      </c>
    </row>
    <row r="108" spans="14:51" x14ac:dyDescent="0.2">
      <c r="N108" s="130"/>
      <c r="O108" s="142"/>
      <c r="P108" s="124"/>
      <c r="Q108" s="92"/>
      <c r="R108" s="133"/>
      <c r="S108" s="133"/>
      <c r="T108" s="133"/>
      <c r="U108" s="141"/>
      <c r="W108" s="118"/>
      <c r="X108" s="119">
        <v>1E-3</v>
      </c>
      <c r="Y108" s="118">
        <v>2.8151130456954554E-2</v>
      </c>
      <c r="Z108" s="118">
        <v>0.126673882409223</v>
      </c>
      <c r="AA108" s="120">
        <v>0.19965498231503073</v>
      </c>
      <c r="AB108" s="120">
        <v>0.25164743873711604</v>
      </c>
      <c r="AC108" s="120">
        <v>0.31478907668193457</v>
      </c>
      <c r="AD108" s="83">
        <v>0.35321637383594284</v>
      </c>
      <c r="AE108" s="118">
        <v>0.37994604470432314</v>
      </c>
      <c r="AF108" s="120">
        <v>0.40707030948276257</v>
      </c>
      <c r="AG108" s="120">
        <v>0.43672718335645128</v>
      </c>
      <c r="AH108" s="120">
        <v>0.46184681851983395</v>
      </c>
      <c r="AI108" s="83">
        <v>0.48429780844483994</v>
      </c>
      <c r="AJ108" s="120">
        <v>0.50341797296305457</v>
      </c>
      <c r="AK108" s="120">
        <v>0.51958601601075172</v>
      </c>
      <c r="AL108" s="120">
        <v>0.53289052073843302</v>
      </c>
      <c r="AM108" s="120">
        <v>0.54351182831306211</v>
      </c>
      <c r="AN108" s="120">
        <v>0.55238112172190401</v>
      </c>
      <c r="AO108" s="118">
        <v>0.55880575650290254</v>
      </c>
      <c r="AP108" s="120">
        <v>0.56388694077006574</v>
      </c>
      <c r="AQ108" s="120">
        <v>0.56738905046375454</v>
      </c>
      <c r="AR108" s="120">
        <v>0.5701332116637946</v>
      </c>
      <c r="AS108" s="83">
        <v>0.57214949828555728</v>
      </c>
      <c r="AT108" s="120">
        <v>0.57397486588128044</v>
      </c>
      <c r="AU108" s="120">
        <v>0.5754200558784931</v>
      </c>
      <c r="AV108" s="120">
        <v>0.57672969356567261</v>
      </c>
      <c r="AW108" s="120">
        <v>0.57783545293954697</v>
      </c>
      <c r="AX108" s="83">
        <v>0.57882087803720994</v>
      </c>
      <c r="AY108" s="121">
        <v>0.57882087803720994</v>
      </c>
    </row>
    <row r="109" spans="14:51" x14ac:dyDescent="0.2">
      <c r="N109" s="130"/>
      <c r="O109" s="142"/>
      <c r="P109" s="124"/>
      <c r="Q109" s="92"/>
      <c r="R109" s="133"/>
      <c r="S109" s="133"/>
      <c r="T109" s="133"/>
      <c r="U109" s="141"/>
      <c r="W109" s="122"/>
      <c r="X109" s="123">
        <v>0.01</v>
      </c>
      <c r="Y109" s="122">
        <v>8.9473028922108538E-2</v>
      </c>
      <c r="Z109" s="122">
        <v>0.22148082962700019</v>
      </c>
      <c r="AA109" s="124">
        <v>0.29345849968565257</v>
      </c>
      <c r="AB109" s="124">
        <v>0.33537239965271004</v>
      </c>
      <c r="AC109" s="124">
        <v>0.3847871400393103</v>
      </c>
      <c r="AD109" s="92">
        <v>0.41500924527719485</v>
      </c>
      <c r="AE109" s="122">
        <v>0.43493876793869446</v>
      </c>
      <c r="AF109" s="124">
        <v>0.4553351384770104</v>
      </c>
      <c r="AG109" s="124">
        <v>0.47807949302532421</v>
      </c>
      <c r="AH109" s="124">
        <v>0.49689973443664431</v>
      </c>
      <c r="AI109" s="92">
        <v>0.51317450577139267</v>
      </c>
      <c r="AJ109" s="124">
        <v>0.52747518041926089</v>
      </c>
      <c r="AK109" s="124">
        <v>0.53981196485270311</v>
      </c>
      <c r="AL109" s="124">
        <v>0.5496352920762807</v>
      </c>
      <c r="AM109" s="124">
        <v>0.55769764259074339</v>
      </c>
      <c r="AN109" s="124">
        <v>0.56421363830095095</v>
      </c>
      <c r="AO109" s="122">
        <v>0.56920716497823787</v>
      </c>
      <c r="AP109" s="124">
        <v>0.57292039159897945</v>
      </c>
      <c r="AQ109" s="124">
        <v>0.57557176530177445</v>
      </c>
      <c r="AR109" s="124">
        <v>0.57759083360310048</v>
      </c>
      <c r="AS109" s="92">
        <v>0.57914572175701529</v>
      </c>
      <c r="AT109" s="124">
        <v>0.58042896754553963</v>
      </c>
      <c r="AU109" s="124">
        <v>0.58153483762268321</v>
      </c>
      <c r="AV109" s="124">
        <v>0.58242124340811008</v>
      </c>
      <c r="AW109" s="124">
        <v>0.58325334402058315</v>
      </c>
      <c r="AX109" s="92">
        <v>0.58401123016534229</v>
      </c>
      <c r="AY109" s="125">
        <v>0.58401123016534229</v>
      </c>
    </row>
    <row r="110" spans="14:51" x14ac:dyDescent="0.2">
      <c r="N110" s="130"/>
      <c r="O110" s="142"/>
      <c r="P110" s="124"/>
      <c r="Q110" s="92"/>
      <c r="R110" s="133"/>
      <c r="S110" s="133"/>
      <c r="T110" s="133"/>
      <c r="U110" s="141"/>
      <c r="W110" s="122"/>
      <c r="X110" s="123">
        <v>9.9999999999999992E-2</v>
      </c>
      <c r="Y110" s="122">
        <v>0.28254451406056669</v>
      </c>
      <c r="Z110" s="122">
        <v>0.39390611013594651</v>
      </c>
      <c r="AA110" s="124">
        <v>0.43344752091190591</v>
      </c>
      <c r="AB110" s="124">
        <v>0.45702437600695439</v>
      </c>
      <c r="AC110" s="124">
        <v>0.48410524305184915</v>
      </c>
      <c r="AD110" s="92">
        <v>0.50023118351152573</v>
      </c>
      <c r="AE110" s="122">
        <v>0.51086844120459562</v>
      </c>
      <c r="AF110" s="124">
        <v>0.52213739843805973</v>
      </c>
      <c r="AG110" s="124">
        <v>0.53395236795086509</v>
      </c>
      <c r="AH110" s="124">
        <v>0.54394165087139423</v>
      </c>
      <c r="AI110" s="92">
        <v>0.55281876296948729</v>
      </c>
      <c r="AJ110" s="124">
        <v>0.56051040691395237</v>
      </c>
      <c r="AK110" s="124">
        <v>0.56723993204411571</v>
      </c>
      <c r="AL110" s="124">
        <v>0.57252717296581457</v>
      </c>
      <c r="AM110" s="124">
        <v>0.5769164289444414</v>
      </c>
      <c r="AN110" s="124">
        <v>0.58043027935642233</v>
      </c>
      <c r="AO110" s="122">
        <v>0.58314528367530849</v>
      </c>
      <c r="AP110" s="124">
        <v>0.58522619635138262</v>
      </c>
      <c r="AQ110" s="124">
        <v>0.58665355235482286</v>
      </c>
      <c r="AR110" s="124">
        <v>0.58773840384457454</v>
      </c>
      <c r="AS110" s="92">
        <v>0.58859492652732104</v>
      </c>
      <c r="AT110" s="124">
        <v>0.58928705402399906</v>
      </c>
      <c r="AU110" s="124">
        <v>0.58988098538879219</v>
      </c>
      <c r="AV110" s="124">
        <v>0.59037510637280866</v>
      </c>
      <c r="AW110" s="124">
        <v>0.59084312674864592</v>
      </c>
      <c r="AX110" s="92">
        <v>0.59123120859398004</v>
      </c>
      <c r="AY110" s="125">
        <v>0.59123120859398004</v>
      </c>
    </row>
    <row r="111" spans="14:51" x14ac:dyDescent="0.2">
      <c r="N111" s="130"/>
      <c r="O111" s="142"/>
      <c r="P111" s="124"/>
      <c r="Q111" s="92"/>
      <c r="R111" s="133"/>
      <c r="S111" s="133"/>
      <c r="T111" s="133"/>
      <c r="U111" s="141"/>
      <c r="W111" s="122"/>
      <c r="X111" s="123">
        <v>0.25000000000000006</v>
      </c>
      <c r="Y111" s="122">
        <v>0.44774808071012345</v>
      </c>
      <c r="Z111" s="122">
        <v>0.49677637927250734</v>
      </c>
      <c r="AA111" s="124">
        <v>0.51662898863959128</v>
      </c>
      <c r="AB111" s="124">
        <v>0.52802847074985548</v>
      </c>
      <c r="AC111" s="124">
        <v>0.54112167611102768</v>
      </c>
      <c r="AD111" s="92">
        <v>0.54917033324763387</v>
      </c>
      <c r="AE111" s="122">
        <v>0.55444676470146181</v>
      </c>
      <c r="AF111" s="124">
        <v>0.55994766815964669</v>
      </c>
      <c r="AG111" s="124">
        <v>0.56596583792251365</v>
      </c>
      <c r="AH111" s="124">
        <v>0.57106605910384389</v>
      </c>
      <c r="AI111" s="92">
        <v>0.57558673760151491</v>
      </c>
      <c r="AJ111" s="124">
        <v>0.57951744870133159</v>
      </c>
      <c r="AK111" s="124">
        <v>0.58295328710066152</v>
      </c>
      <c r="AL111" s="124">
        <v>0.58571485065436735</v>
      </c>
      <c r="AM111" s="124">
        <v>0.58794909310758192</v>
      </c>
      <c r="AN111" s="124">
        <v>0.58976573958755707</v>
      </c>
      <c r="AO111" s="122">
        <v>0.59119341699915884</v>
      </c>
      <c r="AP111" s="124">
        <v>0.59225595516232821</v>
      </c>
      <c r="AQ111" s="124">
        <v>0.59301334035365283</v>
      </c>
      <c r="AR111" s="124">
        <v>0.59359576736024788</v>
      </c>
      <c r="AS111" s="92">
        <v>0.59403841245999478</v>
      </c>
      <c r="AT111" s="124">
        <v>0.59440591071783577</v>
      </c>
      <c r="AU111" s="124">
        <v>0.59471521232865154</v>
      </c>
      <c r="AV111" s="124">
        <v>0.59497508683462497</v>
      </c>
      <c r="AW111" s="124">
        <v>0.59521344963664402</v>
      </c>
      <c r="AX111" s="92">
        <v>0.59541511299949668</v>
      </c>
      <c r="AY111" s="125">
        <v>0.59541511299949668</v>
      </c>
    </row>
    <row r="112" spans="14:51" x14ac:dyDescent="0.2">
      <c r="N112" s="130"/>
      <c r="O112" s="142"/>
      <c r="P112" s="124"/>
      <c r="Q112" s="92"/>
      <c r="R112" s="133"/>
      <c r="S112" s="133"/>
      <c r="T112" s="133"/>
      <c r="U112" s="141"/>
      <c r="W112" s="122">
        <f>X27</f>
        <v>0.8</v>
      </c>
      <c r="X112" s="123">
        <v>0.50000000000000022</v>
      </c>
      <c r="Y112" s="122">
        <v>0.63298293640106074</v>
      </c>
      <c r="Z112" s="122">
        <v>0.60996732536730203</v>
      </c>
      <c r="AA112" s="124">
        <v>0.60638850257660903</v>
      </c>
      <c r="AB112" s="124">
        <v>0.60458520199841015</v>
      </c>
      <c r="AC112" s="124">
        <v>0.60293988358172235</v>
      </c>
      <c r="AD112" s="92">
        <v>0.60212968787421439</v>
      </c>
      <c r="AE112" s="122">
        <v>0.60171763086380847</v>
      </c>
      <c r="AF112" s="124">
        <v>0.6013132795246694</v>
      </c>
      <c r="AG112" s="124">
        <v>0.60085648211996434</v>
      </c>
      <c r="AH112" s="124">
        <v>0.60062532782036615</v>
      </c>
      <c r="AI112" s="92">
        <v>0.60044562987845373</v>
      </c>
      <c r="AJ112" s="124">
        <v>0.6003499861369922</v>
      </c>
      <c r="AK112" s="124">
        <v>0.60027190301164102</v>
      </c>
      <c r="AL112" s="124">
        <v>0.6001675484668485</v>
      </c>
      <c r="AM112" s="124">
        <v>0.60013474925207433</v>
      </c>
      <c r="AN112" s="124">
        <v>0.60010098681625235</v>
      </c>
      <c r="AO112" s="122">
        <v>0.60009281918150059</v>
      </c>
      <c r="AP112" s="124">
        <v>0.60008193786963793</v>
      </c>
      <c r="AQ112" s="124">
        <v>0.60005128882127046</v>
      </c>
      <c r="AR112" s="124">
        <v>0.60004657391686067</v>
      </c>
      <c r="AS112" s="92">
        <v>0.60003381975353609</v>
      </c>
      <c r="AT112" s="124">
        <v>0.60003234845783671</v>
      </c>
      <c r="AU112" s="124">
        <v>0.60002727534491196</v>
      </c>
      <c r="AV112" s="124">
        <v>0.60003410637309618</v>
      </c>
      <c r="AW112" s="124">
        <v>0.60003124703070532</v>
      </c>
      <c r="AX112" s="92">
        <v>0.60002970130813105</v>
      </c>
      <c r="AY112" s="125">
        <v>0.60002970130813105</v>
      </c>
    </row>
    <row r="113" spans="14:51" x14ac:dyDescent="0.2">
      <c r="N113" s="130"/>
      <c r="O113" s="142"/>
      <c r="P113" s="124"/>
      <c r="Q113" s="92"/>
      <c r="R113" s="133"/>
      <c r="S113" s="133"/>
      <c r="T113" s="133"/>
      <c r="U113" s="141"/>
      <c r="W113" s="122"/>
      <c r="X113" s="123">
        <v>0.75000000000000044</v>
      </c>
      <c r="Y113" s="122">
        <v>0.77501313675244476</v>
      </c>
      <c r="Z113" s="122">
        <v>0.71531089456424635</v>
      </c>
      <c r="AA113" s="124">
        <v>0.69049576537525681</v>
      </c>
      <c r="AB113" s="124">
        <v>0.67704530129960905</v>
      </c>
      <c r="AC113" s="124">
        <v>0.66196971230508528</v>
      </c>
      <c r="AD113" s="92">
        <v>0.65322499136591916</v>
      </c>
      <c r="AE113" s="122">
        <v>0.64734002923592016</v>
      </c>
      <c r="AF113" s="124">
        <v>0.64135785823476688</v>
      </c>
      <c r="AG113" s="124">
        <v>0.63502714019138207</v>
      </c>
      <c r="AH113" s="124">
        <v>0.62955407697992127</v>
      </c>
      <c r="AI113" s="92">
        <v>0.62492978096065277</v>
      </c>
      <c r="AJ113" s="124">
        <v>0.62077935811029816</v>
      </c>
      <c r="AK113" s="124">
        <v>0.61731426148797108</v>
      </c>
      <c r="AL113" s="124">
        <v>0.6145305480924107</v>
      </c>
      <c r="AM113" s="124">
        <v>0.61223924731141388</v>
      </c>
      <c r="AN113" s="124">
        <v>0.61038646357216009</v>
      </c>
      <c r="AO113" s="122">
        <v>0.60893503148801853</v>
      </c>
      <c r="AP113" s="124">
        <v>0.60784243417320927</v>
      </c>
      <c r="AQ113" s="124">
        <v>0.60705353203534684</v>
      </c>
      <c r="AR113" s="124">
        <v>0.60648423560885978</v>
      </c>
      <c r="AS113" s="92">
        <v>0.60601443317546766</v>
      </c>
      <c r="AT113" s="124">
        <v>0.60564339320294369</v>
      </c>
      <c r="AU113" s="124">
        <v>0.60533254008306137</v>
      </c>
      <c r="AV113" s="124">
        <v>0.60507116668929128</v>
      </c>
      <c r="AW113" s="124">
        <v>0.60483550402183428</v>
      </c>
      <c r="AX113" s="92">
        <v>0.6046232337714067</v>
      </c>
      <c r="AY113" s="125">
        <v>0.6046232337714067</v>
      </c>
    </row>
    <row r="114" spans="14:51" x14ac:dyDescent="0.2">
      <c r="N114" s="130"/>
      <c r="O114" s="142"/>
      <c r="P114" s="124"/>
      <c r="Q114" s="92"/>
      <c r="R114" s="133"/>
      <c r="S114" s="133"/>
      <c r="T114" s="133"/>
      <c r="U114" s="141"/>
      <c r="W114" s="122"/>
      <c r="X114" s="123">
        <v>0.90000000000000058</v>
      </c>
      <c r="Y114" s="122">
        <v>0.85856425310165307</v>
      </c>
      <c r="Z114" s="122">
        <v>0.79344774369185322</v>
      </c>
      <c r="AA114" s="124">
        <v>0.75847786980195153</v>
      </c>
      <c r="AB114" s="124">
        <v>0.73706332541811437</v>
      </c>
      <c r="AC114" s="124">
        <v>0.71173608558099888</v>
      </c>
      <c r="AD114" s="92">
        <v>0.69689494150407061</v>
      </c>
      <c r="AE114" s="122">
        <v>0.68664628604369415</v>
      </c>
      <c r="AF114" s="124">
        <v>0.67621215459625872</v>
      </c>
      <c r="AG114" s="124">
        <v>0.66478129218912263</v>
      </c>
      <c r="AH114" s="124">
        <v>0.65498591745827006</v>
      </c>
      <c r="AI114" s="92">
        <v>0.64646715351600947</v>
      </c>
      <c r="AJ114" s="124">
        <v>0.63888774886297994</v>
      </c>
      <c r="AK114" s="124">
        <v>0.63246967604601989</v>
      </c>
      <c r="AL114" s="124">
        <v>0.62730515358716765</v>
      </c>
      <c r="AM114" s="124">
        <v>0.6229882236173544</v>
      </c>
      <c r="AN114" s="124">
        <v>0.61953012970200882</v>
      </c>
      <c r="AO114" s="122">
        <v>0.61681541663659845</v>
      </c>
      <c r="AP114" s="124">
        <v>0.61478027803587254</v>
      </c>
      <c r="AQ114" s="124">
        <v>0.61333206119473904</v>
      </c>
      <c r="AR114" s="124">
        <v>0.61225618108050051</v>
      </c>
      <c r="AS114" s="92">
        <v>0.61138346996064019</v>
      </c>
      <c r="AT114" s="124">
        <v>0.6106948195144396</v>
      </c>
      <c r="AU114" s="124">
        <v>0.61008484698497589</v>
      </c>
      <c r="AV114" s="124">
        <v>0.60960529041105282</v>
      </c>
      <c r="AW114" s="124">
        <v>0.60915406510121217</v>
      </c>
      <c r="AX114" s="92">
        <v>0.60874429256450624</v>
      </c>
      <c r="AY114" s="125">
        <v>0.60874429256450624</v>
      </c>
    </row>
    <row r="115" spans="14:51" x14ac:dyDescent="0.2">
      <c r="N115" s="130"/>
      <c r="O115" s="142"/>
      <c r="P115" s="124"/>
      <c r="Q115" s="92"/>
      <c r="R115" s="133"/>
      <c r="S115" s="133"/>
      <c r="T115" s="133"/>
      <c r="U115" s="141"/>
      <c r="W115" s="122"/>
      <c r="X115" s="123">
        <v>0.99000000000000066</v>
      </c>
      <c r="Y115" s="122">
        <v>0.955410277988197</v>
      </c>
      <c r="Z115" s="122">
        <v>0.88943620651974931</v>
      </c>
      <c r="AA115" s="124">
        <v>0.85099176250273423</v>
      </c>
      <c r="AB115" s="124">
        <v>0.82354557823107377</v>
      </c>
      <c r="AC115" s="124">
        <v>0.78817370231817818</v>
      </c>
      <c r="AD115" s="92">
        <v>0.76560438745324266</v>
      </c>
      <c r="AE115" s="122">
        <v>0.74952022518418415</v>
      </c>
      <c r="AF115" s="124">
        <v>0.73209864786395662</v>
      </c>
      <c r="AG115" s="124">
        <v>0.71339133464462623</v>
      </c>
      <c r="AH115" s="124">
        <v>0.69684544639757628</v>
      </c>
      <c r="AI115" s="92">
        <v>0.68244440539123941</v>
      </c>
      <c r="AJ115" s="124">
        <v>0.66928170194147929</v>
      </c>
      <c r="AK115" s="124">
        <v>0.65804362968880414</v>
      </c>
      <c r="AL115" s="124">
        <v>0.64901940348439913</v>
      </c>
      <c r="AM115" s="124">
        <v>0.64126086189313458</v>
      </c>
      <c r="AN115" s="124">
        <v>0.63515228479872432</v>
      </c>
      <c r="AO115" s="122">
        <v>0.63026571669219189</v>
      </c>
      <c r="AP115" s="124">
        <v>0.62665167280493916</v>
      </c>
      <c r="AQ115" s="124">
        <v>0.6240530529107281</v>
      </c>
      <c r="AR115" s="124">
        <v>0.6221296987002003</v>
      </c>
      <c r="AS115" s="92">
        <v>0.62057255303967285</v>
      </c>
      <c r="AT115" s="124">
        <v>0.61928984502090534</v>
      </c>
      <c r="AU115" s="124">
        <v>0.61825614537004958</v>
      </c>
      <c r="AV115" s="124">
        <v>0.61733718228951029</v>
      </c>
      <c r="AW115" s="124">
        <v>0.61656151444748653</v>
      </c>
      <c r="AX115" s="92">
        <v>0.61583121042707301</v>
      </c>
      <c r="AY115" s="125">
        <v>0.61583121042707301</v>
      </c>
    </row>
    <row r="116" spans="14:51" x14ac:dyDescent="0.2">
      <c r="N116" s="130"/>
      <c r="O116" s="142"/>
      <c r="P116" s="124"/>
      <c r="Q116" s="92"/>
      <c r="R116" s="133"/>
      <c r="S116" s="133"/>
      <c r="T116" s="133"/>
      <c r="U116" s="141"/>
      <c r="W116" s="126"/>
      <c r="X116" s="127">
        <v>0.999</v>
      </c>
      <c r="Y116" s="126">
        <v>0.98564596903233581</v>
      </c>
      <c r="Z116" s="126">
        <v>0.93790198930187785</v>
      </c>
      <c r="AA116" s="128">
        <v>0.90050039576718788</v>
      </c>
      <c r="AB116" s="128">
        <v>0.8725170053155934</v>
      </c>
      <c r="AC116" s="128">
        <v>0.8358320036498712</v>
      </c>
      <c r="AD116" s="100">
        <v>0.8099061944033531</v>
      </c>
      <c r="AE116" s="126">
        <v>0.79084119835745148</v>
      </c>
      <c r="AF116" s="128">
        <v>0.77047685445126546</v>
      </c>
      <c r="AG116" s="128">
        <v>0.74675733907771835</v>
      </c>
      <c r="AH116" s="128">
        <v>0.72627421788616664</v>
      </c>
      <c r="AI116" s="100">
        <v>0.70810160928377874</v>
      </c>
      <c r="AJ116" s="128">
        <v>0.69103438508357218</v>
      </c>
      <c r="AK116" s="128">
        <v>0.6763559838151012</v>
      </c>
      <c r="AL116" s="128">
        <v>0.66454156389926089</v>
      </c>
      <c r="AM116" s="128">
        <v>0.65432432576400179</v>
      </c>
      <c r="AN116" s="128">
        <v>0.64610037237106954</v>
      </c>
      <c r="AO116" s="126">
        <v>0.64003609455181354</v>
      </c>
      <c r="AP116" s="128">
        <v>0.63513512039822484</v>
      </c>
      <c r="AQ116" s="128">
        <v>0.63174928701485644</v>
      </c>
      <c r="AR116" s="128">
        <v>0.62908794147566216</v>
      </c>
      <c r="AS116" s="100">
        <v>0.62718652835990296</v>
      </c>
      <c r="AT116" s="128">
        <v>0.62561812713036202</v>
      </c>
      <c r="AU116" s="128">
        <v>0.62419155852131325</v>
      </c>
      <c r="AV116" s="128">
        <v>0.62298079045589627</v>
      </c>
      <c r="AW116" s="128">
        <v>0.62194471670070373</v>
      </c>
      <c r="AX116" s="100">
        <v>0.62100358979689951</v>
      </c>
      <c r="AY116" s="129">
        <v>0.62100358979689951</v>
      </c>
    </row>
    <row r="117" spans="14:51" x14ac:dyDescent="0.2">
      <c r="N117" s="130"/>
      <c r="O117" s="142"/>
      <c r="P117" s="124"/>
      <c r="Q117" s="92"/>
      <c r="R117" s="133"/>
      <c r="S117" s="133"/>
      <c r="T117" s="133"/>
      <c r="U117" s="141"/>
      <c r="W117" s="118"/>
      <c r="X117" s="119">
        <v>1E-3</v>
      </c>
      <c r="Y117" s="118">
        <v>2.985878286626957E-2</v>
      </c>
      <c r="Z117" s="118">
        <v>0.13435794187618336</v>
      </c>
      <c r="AA117" s="120">
        <v>0.2117660878389577</v>
      </c>
      <c r="AB117" s="120">
        <v>0.26691241559886153</v>
      </c>
      <c r="AC117" s="120">
        <v>0.33373117186074963</v>
      </c>
      <c r="AD117" s="83">
        <v>0.37435707284345326</v>
      </c>
      <c r="AE117" s="118">
        <v>0.40270412045637249</v>
      </c>
      <c r="AF117" s="120">
        <v>0.43092802148907311</v>
      </c>
      <c r="AG117" s="120">
        <v>0.4625160131448825</v>
      </c>
      <c r="AH117" s="120">
        <v>0.48876757252471087</v>
      </c>
      <c r="AI117" s="83">
        <v>0.51230178239957291</v>
      </c>
      <c r="AJ117" s="120">
        <v>0.53241703303626964</v>
      </c>
      <c r="AK117" s="120">
        <v>0.54936050701001615</v>
      </c>
      <c r="AL117" s="120">
        <v>0.56331769834670298</v>
      </c>
      <c r="AM117" s="120">
        <v>0.57446508123966022</v>
      </c>
      <c r="AN117" s="120">
        <v>0.58353904755948738</v>
      </c>
      <c r="AO117" s="118">
        <v>0.59039189260397928</v>
      </c>
      <c r="AP117" s="120">
        <v>0.59570100172565466</v>
      </c>
      <c r="AQ117" s="120">
        <v>0.59934188522165532</v>
      </c>
      <c r="AR117" s="120">
        <v>0.60219107366681823</v>
      </c>
      <c r="AS117" s="83">
        <v>0.60434380242382324</v>
      </c>
      <c r="AT117" s="120">
        <v>0.60622034608059849</v>
      </c>
      <c r="AU117" s="120">
        <v>0.60772183757108156</v>
      </c>
      <c r="AV117" s="120">
        <v>0.60907939900280872</v>
      </c>
      <c r="AW117" s="120">
        <v>0.61023764469217379</v>
      </c>
      <c r="AX117" s="83">
        <v>0.61129113048336547</v>
      </c>
      <c r="AY117" s="121">
        <v>0.61129113048336547</v>
      </c>
    </row>
    <row r="118" spans="14:51" x14ac:dyDescent="0.2">
      <c r="N118" s="130"/>
      <c r="O118" s="142"/>
      <c r="P118" s="124"/>
      <c r="Q118" s="92"/>
      <c r="R118" s="133"/>
      <c r="S118" s="133"/>
      <c r="T118" s="133"/>
      <c r="U118" s="141"/>
      <c r="W118" s="122"/>
      <c r="X118" s="123">
        <v>0.01</v>
      </c>
      <c r="Y118" s="122">
        <v>9.4900478226184554E-2</v>
      </c>
      <c r="Z118" s="122">
        <v>0.23491589479811137</v>
      </c>
      <c r="AA118" s="124">
        <v>0.31125974268683293</v>
      </c>
      <c r="AB118" s="124">
        <v>0.35562540500321677</v>
      </c>
      <c r="AC118" s="124">
        <v>0.40781781156255476</v>
      </c>
      <c r="AD118" s="92">
        <v>0.43960488521651508</v>
      </c>
      <c r="AE118" s="122">
        <v>0.46054849877333132</v>
      </c>
      <c r="AF118" s="124">
        <v>0.48195215020304893</v>
      </c>
      <c r="AG118" s="124">
        <v>0.50593004009664211</v>
      </c>
      <c r="AH118" s="124">
        <v>0.52561644361624471</v>
      </c>
      <c r="AI118" s="92">
        <v>0.54261164885306601</v>
      </c>
      <c r="AJ118" s="124">
        <v>0.5575981567156193</v>
      </c>
      <c r="AK118" s="124">
        <v>0.57047446517580647</v>
      </c>
      <c r="AL118" s="124">
        <v>0.58085467376867761</v>
      </c>
      <c r="AM118" s="124">
        <v>0.58924408413238805</v>
      </c>
      <c r="AN118" s="124">
        <v>0.59602412234811786</v>
      </c>
      <c r="AO118" s="122">
        <v>0.60124616518795571</v>
      </c>
      <c r="AP118" s="124">
        <v>0.6051117708109307</v>
      </c>
      <c r="AQ118" s="124">
        <v>0.60786686283338709</v>
      </c>
      <c r="AR118" s="124">
        <v>0.60997931883313816</v>
      </c>
      <c r="AS118" s="92">
        <v>0.61161047083034481</v>
      </c>
      <c r="AT118" s="124">
        <v>0.61295716709658199</v>
      </c>
      <c r="AU118" s="124">
        <v>0.61409474684152199</v>
      </c>
      <c r="AV118" s="124">
        <v>0.61500587097369486</v>
      </c>
      <c r="AW118" s="124">
        <v>0.61589094385608589</v>
      </c>
      <c r="AX118" s="92">
        <v>0.61667709796259385</v>
      </c>
      <c r="AY118" s="125">
        <v>0.61667709796259385</v>
      </c>
    </row>
    <row r="119" spans="14:51" x14ac:dyDescent="0.2">
      <c r="N119" s="130"/>
      <c r="O119" s="142"/>
      <c r="P119" s="124"/>
      <c r="Q119" s="92"/>
      <c r="R119" s="133"/>
      <c r="S119" s="133"/>
      <c r="T119" s="133"/>
      <c r="U119" s="141"/>
      <c r="W119" s="122"/>
      <c r="X119" s="123">
        <v>9.9999999999999992E-2</v>
      </c>
      <c r="Y119" s="122">
        <v>0.29968371281892675</v>
      </c>
      <c r="Z119" s="122">
        <v>0.41780052244191418</v>
      </c>
      <c r="AA119" s="124">
        <v>0.4592480986389299</v>
      </c>
      <c r="AB119" s="124">
        <v>0.48402764603918463</v>
      </c>
      <c r="AC119" s="124">
        <v>0.51236263572082585</v>
      </c>
      <c r="AD119" s="92">
        <v>0.52921962750607354</v>
      </c>
      <c r="AE119" s="122">
        <v>0.54038879113272398</v>
      </c>
      <c r="AF119" s="124">
        <v>0.55213190754479702</v>
      </c>
      <c r="AG119" s="124">
        <v>0.5644596115491135</v>
      </c>
      <c r="AH119" s="124">
        <v>0.57491743678419538</v>
      </c>
      <c r="AI119" s="92">
        <v>0.5841871757715148</v>
      </c>
      <c r="AJ119" s="124">
        <v>0.59219968179116911</v>
      </c>
      <c r="AK119" s="124">
        <v>0.59921085669077445</v>
      </c>
      <c r="AL119" s="124">
        <v>0.60472408021980384</v>
      </c>
      <c r="AM119" s="124">
        <v>0.60929345160491544</v>
      </c>
      <c r="AN119" s="124">
        <v>0.61296169747712914</v>
      </c>
      <c r="AO119" s="122">
        <v>0.61578612556985168</v>
      </c>
      <c r="AP119" s="124">
        <v>0.61794526741552525</v>
      </c>
      <c r="AQ119" s="124">
        <v>0.61943524756587576</v>
      </c>
      <c r="AR119" s="124">
        <v>0.6205710825526044</v>
      </c>
      <c r="AS119" s="92">
        <v>0.62145508891691581</v>
      </c>
      <c r="AT119" s="124">
        <v>0.62218501721063568</v>
      </c>
      <c r="AU119" s="124">
        <v>0.62280266840888054</v>
      </c>
      <c r="AV119" s="124">
        <v>0.62331581192250607</v>
      </c>
      <c r="AW119" s="124">
        <v>0.62379426308420272</v>
      </c>
      <c r="AX119" s="92">
        <v>0.62420585462339828</v>
      </c>
      <c r="AY119" s="125">
        <v>0.62420585462339828</v>
      </c>
    </row>
    <row r="120" spans="14:51" x14ac:dyDescent="0.2">
      <c r="N120" s="130"/>
      <c r="O120" s="142"/>
      <c r="P120" s="124"/>
      <c r="Q120" s="92"/>
      <c r="R120" s="133"/>
      <c r="S120" s="133"/>
      <c r="T120" s="133"/>
      <c r="U120" s="141"/>
      <c r="W120" s="122"/>
      <c r="X120" s="123">
        <v>0.25000000000000006</v>
      </c>
      <c r="Y120" s="122">
        <v>0.47490855620008482</v>
      </c>
      <c r="Z120" s="122">
        <v>0.52611900252562571</v>
      </c>
      <c r="AA120" s="124">
        <v>0.54679110541557263</v>
      </c>
      <c r="AB120" s="124">
        <v>0.55861459176359907</v>
      </c>
      <c r="AC120" s="124">
        <v>0.57225944233213688</v>
      </c>
      <c r="AD120" s="92">
        <v>0.58054067919785202</v>
      </c>
      <c r="AE120" s="122">
        <v>0.586018439407615</v>
      </c>
      <c r="AF120" s="124">
        <v>0.59173746815209349</v>
      </c>
      <c r="AG120" s="124">
        <v>0.59798546007701481</v>
      </c>
      <c r="AH120" s="124">
        <v>0.60328347076425926</v>
      </c>
      <c r="AI120" s="92">
        <v>0.60795444703824209</v>
      </c>
      <c r="AJ120" s="124">
        <v>0.61203663817993315</v>
      </c>
      <c r="AK120" s="124">
        <v>0.61561040292972213</v>
      </c>
      <c r="AL120" s="124">
        <v>0.61848601226389222</v>
      </c>
      <c r="AM120" s="124">
        <v>0.62080272049848872</v>
      </c>
      <c r="AN120" s="124">
        <v>0.62269427981341974</v>
      </c>
      <c r="AO120" s="122">
        <v>0.62416962165653755</v>
      </c>
      <c r="AP120" s="124">
        <v>0.62527442589654347</v>
      </c>
      <c r="AQ120" s="124">
        <v>0.62606356903749327</v>
      </c>
      <c r="AR120" s="124">
        <v>0.62667005595627667</v>
      </c>
      <c r="AS120" s="92">
        <v>0.62712979800813617</v>
      </c>
      <c r="AT120" s="124">
        <v>0.6275106270822457</v>
      </c>
      <c r="AU120" s="124">
        <v>0.6278332893004902</v>
      </c>
      <c r="AV120" s="124">
        <v>0.62810482442647508</v>
      </c>
      <c r="AW120" s="124">
        <v>0.62835121347958933</v>
      </c>
      <c r="AX120" s="92">
        <v>0.62856377408291175</v>
      </c>
      <c r="AY120" s="125">
        <v>0.62856377408291175</v>
      </c>
    </row>
    <row r="121" spans="14:51" x14ac:dyDescent="0.2">
      <c r="N121" s="130"/>
      <c r="O121" s="142"/>
      <c r="P121" s="124"/>
      <c r="Q121" s="92"/>
      <c r="R121" s="133"/>
      <c r="S121" s="133"/>
      <c r="T121" s="133"/>
      <c r="U121" s="141"/>
      <c r="W121" s="122">
        <f>X28</f>
        <v>0.9</v>
      </c>
      <c r="X121" s="123">
        <v>0.50000000000000022</v>
      </c>
      <c r="Y121" s="122">
        <v>0.67137979005684489</v>
      </c>
      <c r="Z121" s="122">
        <v>0.64493225644250285</v>
      </c>
      <c r="AA121" s="124">
        <v>0.64081269652854878</v>
      </c>
      <c r="AB121" s="124">
        <v>0.63875125996451443</v>
      </c>
      <c r="AC121" s="124">
        <v>0.6368083386997091</v>
      </c>
      <c r="AD121" s="92">
        <v>0.63589845707341786</v>
      </c>
      <c r="AE121" s="122">
        <v>0.63538564548240284</v>
      </c>
      <c r="AF121" s="124">
        <v>0.63488018642346244</v>
      </c>
      <c r="AG121" s="124">
        <v>0.63436427586383759</v>
      </c>
      <c r="AH121" s="124">
        <v>0.63409343828006171</v>
      </c>
      <c r="AI121" s="92">
        <v>0.63386392673844716</v>
      </c>
      <c r="AJ121" s="124">
        <v>0.6337471698946131</v>
      </c>
      <c r="AK121" s="124">
        <v>0.63365618773598686</v>
      </c>
      <c r="AL121" s="124">
        <v>0.63353808664633693</v>
      </c>
      <c r="AM121" s="124">
        <v>0.6335025870834583</v>
      </c>
      <c r="AN121" s="124">
        <v>0.63345192415225993</v>
      </c>
      <c r="AO121" s="122">
        <v>0.63343906540174832</v>
      </c>
      <c r="AP121" s="124">
        <v>0.63342778759624896</v>
      </c>
      <c r="AQ121" s="124">
        <v>0.63339659636687917</v>
      </c>
      <c r="AR121" s="124">
        <v>0.63338445704095858</v>
      </c>
      <c r="AS121" s="92">
        <v>0.6333740553017474</v>
      </c>
      <c r="AT121" s="124">
        <v>0.63337103315000676</v>
      </c>
      <c r="AU121" s="124">
        <v>0.63336647486288811</v>
      </c>
      <c r="AV121" s="124">
        <v>0.63337264604513688</v>
      </c>
      <c r="AW121" s="124">
        <v>0.63337012455302666</v>
      </c>
      <c r="AX121" s="92">
        <v>0.63337045814831328</v>
      </c>
      <c r="AY121" s="125">
        <v>0.63337045814831328</v>
      </c>
    </row>
    <row r="122" spans="14:51" x14ac:dyDescent="0.2">
      <c r="N122" s="130"/>
      <c r="O122" s="142"/>
      <c r="P122" s="124"/>
      <c r="Q122" s="92"/>
      <c r="R122" s="133"/>
      <c r="S122" s="133"/>
      <c r="T122" s="133"/>
      <c r="U122" s="141"/>
      <c r="W122" s="122"/>
      <c r="X122" s="123">
        <v>0.75000000000000044</v>
      </c>
      <c r="Y122" s="122">
        <v>0.82202556675946625</v>
      </c>
      <c r="Z122" s="122">
        <v>0.75501874837159422</v>
      </c>
      <c r="AA122" s="124">
        <v>0.72837296278982711</v>
      </c>
      <c r="AB122" s="124">
        <v>0.7140589448180592</v>
      </c>
      <c r="AC122" s="124">
        <v>0.69819880847992177</v>
      </c>
      <c r="AD122" s="92">
        <v>0.68897766378269354</v>
      </c>
      <c r="AE122" s="122">
        <v>0.68279620519743744</v>
      </c>
      <c r="AF122" s="124">
        <v>0.67651118849384362</v>
      </c>
      <c r="AG122" s="124">
        <v>0.66990051770125325</v>
      </c>
      <c r="AH122" s="124">
        <v>0.66416338947816567</v>
      </c>
      <c r="AI122" s="92">
        <v>0.65933520562918679</v>
      </c>
      <c r="AJ122" s="124">
        <v>0.65499324144369742</v>
      </c>
      <c r="AK122" s="124">
        <v>0.65137624253399351</v>
      </c>
      <c r="AL122" s="124">
        <v>0.64847731496426353</v>
      </c>
      <c r="AM122" s="124">
        <v>0.64607730885860282</v>
      </c>
      <c r="AN122" s="124">
        <v>0.64415022436547154</v>
      </c>
      <c r="AO122" s="122">
        <v>0.6426398563079192</v>
      </c>
      <c r="AP122" s="124">
        <v>0.64149919350029405</v>
      </c>
      <c r="AQ122" s="124">
        <v>0.64067835149617258</v>
      </c>
      <c r="AR122" s="124">
        <v>0.64008328987129037</v>
      </c>
      <c r="AS122" s="92">
        <v>0.63959613466540544</v>
      </c>
      <c r="AT122" s="124">
        <v>0.63920826631139183</v>
      </c>
      <c r="AU122" s="124">
        <v>0.63889151264737398</v>
      </c>
      <c r="AV122" s="124">
        <v>0.63861094496986415</v>
      </c>
      <c r="AW122" s="124">
        <v>0.63836875055423092</v>
      </c>
      <c r="AX122" s="92">
        <v>0.63814504561163288</v>
      </c>
      <c r="AY122" s="125">
        <v>0.63814504561163288</v>
      </c>
    </row>
    <row r="123" spans="14:51" x14ac:dyDescent="0.2">
      <c r="N123" s="130"/>
      <c r="O123" s="142"/>
      <c r="P123" s="124"/>
      <c r="Q123" s="92"/>
      <c r="R123" s="133"/>
      <c r="S123" s="133"/>
      <c r="T123" s="133"/>
      <c r="U123" s="141"/>
      <c r="W123" s="122"/>
      <c r="X123" s="123">
        <v>0.90000000000000058</v>
      </c>
      <c r="Y123" s="122">
        <v>0.89998982369058922</v>
      </c>
      <c r="Z123" s="122">
        <v>0.83508005567226307</v>
      </c>
      <c r="AA123" s="124">
        <v>0.79823400740117734</v>
      </c>
      <c r="AB123" s="124">
        <v>0.7758270868876842</v>
      </c>
      <c r="AC123" s="124">
        <v>0.74943565741944707</v>
      </c>
      <c r="AD123" s="92">
        <v>0.73397404635358487</v>
      </c>
      <c r="AE123" s="122">
        <v>0.72338629061001913</v>
      </c>
      <c r="AF123" s="124">
        <v>0.71248848782672458</v>
      </c>
      <c r="AG123" s="124">
        <v>0.7006568332994465</v>
      </c>
      <c r="AH123" s="124">
        <v>0.69052361155788733</v>
      </c>
      <c r="AI123" s="92">
        <v>0.68164166533631698</v>
      </c>
      <c r="AJ123" s="124">
        <v>0.67376595582778676</v>
      </c>
      <c r="AK123" s="124">
        <v>0.66709572605032086</v>
      </c>
      <c r="AL123" s="124">
        <v>0.6617507117347049</v>
      </c>
      <c r="AM123" s="124">
        <v>0.65726272249460249</v>
      </c>
      <c r="AN123" s="124">
        <v>0.65366753005520639</v>
      </c>
      <c r="AO123" s="122">
        <v>0.65083575475034128</v>
      </c>
      <c r="AP123" s="124">
        <v>0.64872015366941738</v>
      </c>
      <c r="AQ123" s="124">
        <v>0.64720200038707409</v>
      </c>
      <c r="AR123" s="124">
        <v>0.64608791032563306</v>
      </c>
      <c r="AS123" s="92">
        <v>0.64518341523743716</v>
      </c>
      <c r="AT123" s="124">
        <v>0.64445883917949087</v>
      </c>
      <c r="AU123" s="124">
        <v>0.64383341443174924</v>
      </c>
      <c r="AV123" s="124">
        <v>0.64332829904326527</v>
      </c>
      <c r="AW123" s="124">
        <v>0.64285852997733506</v>
      </c>
      <c r="AX123" s="92">
        <v>0.64243509324938219</v>
      </c>
      <c r="AY123" s="125">
        <v>0.64243509324938219</v>
      </c>
    </row>
    <row r="124" spans="14:51" x14ac:dyDescent="0.2">
      <c r="N124" s="130"/>
      <c r="O124" s="142"/>
      <c r="P124" s="124"/>
      <c r="Q124" s="92"/>
      <c r="R124" s="133"/>
      <c r="S124" s="133"/>
      <c r="T124" s="133"/>
      <c r="U124" s="141"/>
      <c r="W124" s="122"/>
      <c r="X124" s="123">
        <v>0.99000000000000066</v>
      </c>
      <c r="Y124" s="122">
        <v>0.96847030519423105</v>
      </c>
      <c r="Z124" s="122">
        <v>0.92108209424138365</v>
      </c>
      <c r="AA124" s="124">
        <v>0.8879610310682563</v>
      </c>
      <c r="AB124" s="124">
        <v>0.86193115625949879</v>
      </c>
      <c r="AC124" s="124">
        <v>0.82677735639290695</v>
      </c>
      <c r="AD124" s="92">
        <v>0.80389751343339821</v>
      </c>
      <c r="AE124" s="122">
        <v>0.78758179702122311</v>
      </c>
      <c r="AF124" s="124">
        <v>0.76976057222806216</v>
      </c>
      <c r="AG124" s="124">
        <v>0.75066586027916193</v>
      </c>
      <c r="AH124" s="124">
        <v>0.73367777861014294</v>
      </c>
      <c r="AI124" s="92">
        <v>0.71882753381421849</v>
      </c>
      <c r="AJ124" s="124">
        <v>0.70521756831960303</v>
      </c>
      <c r="AK124" s="124">
        <v>0.69359817020077941</v>
      </c>
      <c r="AL124" s="124">
        <v>0.68427625849993601</v>
      </c>
      <c r="AM124" s="124">
        <v>0.67624660670766179</v>
      </c>
      <c r="AN124" s="124">
        <v>0.66984244008383476</v>
      </c>
      <c r="AO124" s="122">
        <v>0.66478737980623048</v>
      </c>
      <c r="AP124" s="124">
        <v>0.66102317182329828</v>
      </c>
      <c r="AQ124" s="124">
        <v>0.65834564149127484</v>
      </c>
      <c r="AR124" s="124">
        <v>0.65634748609605909</v>
      </c>
      <c r="AS124" s="92">
        <v>0.65474434696876582</v>
      </c>
      <c r="AT124" s="124">
        <v>0.65339677613800817</v>
      </c>
      <c r="AU124" s="124">
        <v>0.65230620783063487</v>
      </c>
      <c r="AV124" s="124">
        <v>0.65134650618662748</v>
      </c>
      <c r="AW124" s="124">
        <v>0.65055369451456801</v>
      </c>
      <c r="AX124" s="92">
        <v>0.64978877420050507</v>
      </c>
      <c r="AY124" s="125">
        <v>0.64978877420050507</v>
      </c>
    </row>
    <row r="125" spans="14:51" x14ac:dyDescent="0.2">
      <c r="N125" s="130"/>
      <c r="O125" s="142"/>
      <c r="P125" s="124"/>
      <c r="Q125" s="92"/>
      <c r="R125" s="133"/>
      <c r="S125" s="133"/>
      <c r="T125" s="133"/>
      <c r="U125" s="141"/>
      <c r="W125" s="126"/>
      <c r="X125" s="127">
        <v>0.999</v>
      </c>
      <c r="Y125" s="126">
        <v>0.98985016736540288</v>
      </c>
      <c r="Z125" s="126">
        <v>0.95609007553716308</v>
      </c>
      <c r="AA125" s="128">
        <v>0.92883795618540799</v>
      </c>
      <c r="AB125" s="128">
        <v>0.90584347431210632</v>
      </c>
      <c r="AC125" s="128">
        <v>0.87286840700887469</v>
      </c>
      <c r="AD125" s="100">
        <v>0.84743553908396718</v>
      </c>
      <c r="AE125" s="126">
        <v>0.82894596264982401</v>
      </c>
      <c r="AF125" s="128">
        <v>0.80833893774767052</v>
      </c>
      <c r="AG125" s="128">
        <v>0.78443457643639369</v>
      </c>
      <c r="AH125" s="128">
        <v>0.76390035415876911</v>
      </c>
      <c r="AI125" s="100">
        <v>0.74517707610187078</v>
      </c>
      <c r="AJ125" s="128">
        <v>0.72741346866153833</v>
      </c>
      <c r="AK125" s="128">
        <v>0.71246846282152354</v>
      </c>
      <c r="AL125" s="128">
        <v>0.70022504464439794</v>
      </c>
      <c r="AM125" s="128">
        <v>0.68973631264292767</v>
      </c>
      <c r="AN125" s="128">
        <v>0.68121241772355734</v>
      </c>
      <c r="AO125" s="126">
        <v>0.67492597256869702</v>
      </c>
      <c r="AP125" s="128">
        <v>0.66982647374316284</v>
      </c>
      <c r="AQ125" s="128">
        <v>0.66631122201776782</v>
      </c>
      <c r="AR125" s="128">
        <v>0.66356288876600134</v>
      </c>
      <c r="AS125" s="100">
        <v>0.66156469913126714</v>
      </c>
      <c r="AT125" s="128">
        <v>0.65994113376229313</v>
      </c>
      <c r="AU125" s="128">
        <v>0.65847272364513176</v>
      </c>
      <c r="AV125" s="128">
        <v>0.65723293439021235</v>
      </c>
      <c r="AW125" s="128">
        <v>0.65617651319421333</v>
      </c>
      <c r="AX125" s="100">
        <v>0.65518569256862069</v>
      </c>
      <c r="AY125" s="129">
        <v>0.65518569256862069</v>
      </c>
    </row>
    <row r="126" spans="14:51" x14ac:dyDescent="0.2">
      <c r="N126" s="130"/>
      <c r="O126" s="142"/>
      <c r="P126" s="124"/>
      <c r="Q126" s="92"/>
      <c r="R126" s="133"/>
      <c r="S126" s="133"/>
      <c r="T126" s="133"/>
      <c r="U126" s="141"/>
      <c r="W126" s="118"/>
      <c r="X126" s="119">
        <v>1E-3</v>
      </c>
      <c r="Y126" s="118">
        <v>3.1473920672607542E-2</v>
      </c>
      <c r="Z126" s="118">
        <v>0.14162570602041874</v>
      </c>
      <c r="AA126" s="120">
        <v>0.22322105625146355</v>
      </c>
      <c r="AB126" s="120">
        <v>0.28135038968995263</v>
      </c>
      <c r="AC126" s="120">
        <v>0.35169766469280622</v>
      </c>
      <c r="AD126" s="83">
        <v>0.39450116812153346</v>
      </c>
      <c r="AE126" s="118">
        <v>0.42420675362328375</v>
      </c>
      <c r="AF126" s="120">
        <v>0.45411210464680662</v>
      </c>
      <c r="AG126" s="120">
        <v>0.48737272942002502</v>
      </c>
      <c r="AH126" s="120">
        <v>0.51486519197566116</v>
      </c>
      <c r="AI126" s="83">
        <v>0.53953110489163114</v>
      </c>
      <c r="AJ126" s="120">
        <v>0.56072088176080348</v>
      </c>
      <c r="AK126" s="120">
        <v>0.57861436618345008</v>
      </c>
      <c r="AL126" s="120">
        <v>0.59319168688348745</v>
      </c>
      <c r="AM126" s="120">
        <v>0.60493580083379916</v>
      </c>
      <c r="AN126" s="120">
        <v>0.61443030727374548</v>
      </c>
      <c r="AO126" s="118">
        <v>0.62159591510584822</v>
      </c>
      <c r="AP126" s="120">
        <v>0.62721440567750242</v>
      </c>
      <c r="AQ126" s="120">
        <v>0.63105613687964368</v>
      </c>
      <c r="AR126" s="120">
        <v>0.63401427281654921</v>
      </c>
      <c r="AS126" s="83">
        <v>0.63629333775728292</v>
      </c>
      <c r="AT126" s="120">
        <v>0.6382546629353868</v>
      </c>
      <c r="AU126" s="120">
        <v>0.63977589163387272</v>
      </c>
      <c r="AV126" s="120">
        <v>0.64122587284850607</v>
      </c>
      <c r="AW126" s="120">
        <v>0.64243912285558991</v>
      </c>
      <c r="AX126" s="83">
        <v>0.64355222176238647</v>
      </c>
      <c r="AY126" s="121">
        <v>0.64355222176238647</v>
      </c>
    </row>
    <row r="127" spans="14:51" x14ac:dyDescent="0.2">
      <c r="N127" s="130"/>
      <c r="O127" s="142"/>
      <c r="P127" s="124"/>
      <c r="Q127" s="92"/>
      <c r="R127" s="133"/>
      <c r="S127" s="133"/>
      <c r="T127" s="133"/>
      <c r="U127" s="141"/>
      <c r="W127" s="122"/>
      <c r="X127" s="123">
        <v>0.01</v>
      </c>
      <c r="Y127" s="122">
        <v>0.10003388741131972</v>
      </c>
      <c r="Z127" s="122">
        <v>0.24762309537951094</v>
      </c>
      <c r="AA127" s="124">
        <v>0.32809657693610988</v>
      </c>
      <c r="AB127" s="124">
        <v>0.37483402547113864</v>
      </c>
      <c r="AC127" s="124">
        <v>0.42978279889553739</v>
      </c>
      <c r="AD127" s="92">
        <v>0.46326109397177617</v>
      </c>
      <c r="AE127" s="122">
        <v>0.4852621683276287</v>
      </c>
      <c r="AF127" s="124">
        <v>0.50769837943497409</v>
      </c>
      <c r="AG127" s="124">
        <v>0.53288414539463591</v>
      </c>
      <c r="AH127" s="124">
        <v>0.55361519308544893</v>
      </c>
      <c r="AI127" s="92">
        <v>0.57151240614154242</v>
      </c>
      <c r="AJ127" s="124">
        <v>0.58721698746515361</v>
      </c>
      <c r="AK127" s="124">
        <v>0.60072641556561279</v>
      </c>
      <c r="AL127" s="124">
        <v>0.61161960305032315</v>
      </c>
      <c r="AM127" s="124">
        <v>0.62042540105848965</v>
      </c>
      <c r="AN127" s="124">
        <v>0.62753796973144493</v>
      </c>
      <c r="AO127" s="122">
        <v>0.63302024780417354</v>
      </c>
      <c r="AP127" s="124">
        <v>0.63707979803605019</v>
      </c>
      <c r="AQ127" s="124">
        <v>0.63996046017867969</v>
      </c>
      <c r="AR127" s="124">
        <v>0.64216835430257602</v>
      </c>
      <c r="AS127" s="92">
        <v>0.64388734341011589</v>
      </c>
      <c r="AT127" s="124">
        <v>0.64530084099423168</v>
      </c>
      <c r="AU127" s="124">
        <v>0.64647974610671488</v>
      </c>
      <c r="AV127" s="124">
        <v>0.64745103572106022</v>
      </c>
      <c r="AW127" s="124">
        <v>0.6483840560005939</v>
      </c>
      <c r="AX127" s="92">
        <v>0.64919680266111612</v>
      </c>
      <c r="AY127" s="125">
        <v>0.64919680266111612</v>
      </c>
    </row>
    <row r="128" spans="14:51" x14ac:dyDescent="0.2">
      <c r="N128" s="130"/>
      <c r="O128" s="142"/>
      <c r="P128" s="124"/>
      <c r="Q128" s="92"/>
      <c r="R128" s="133"/>
      <c r="S128" s="133"/>
      <c r="T128" s="133"/>
      <c r="U128" s="141"/>
      <c r="W128" s="122"/>
      <c r="X128" s="123">
        <v>9.9999999999999992E-2</v>
      </c>
      <c r="Y128" s="122">
        <v>0.31589437005453613</v>
      </c>
      <c r="Z128" s="122">
        <v>0.44040041950824771</v>
      </c>
      <c r="AA128" s="124">
        <v>0.48396182713601382</v>
      </c>
      <c r="AB128" s="124">
        <v>0.50997050058544702</v>
      </c>
      <c r="AC128" s="124">
        <v>0.53978212634227796</v>
      </c>
      <c r="AD128" s="92">
        <v>0.55744838643594574</v>
      </c>
      <c r="AE128" s="122">
        <v>0.56914023373986156</v>
      </c>
      <c r="AF128" s="124">
        <v>0.58151915615962491</v>
      </c>
      <c r="AG128" s="124">
        <v>0.59443295929630413</v>
      </c>
      <c r="AH128" s="124">
        <v>0.60542363653171904</v>
      </c>
      <c r="AI128" s="92">
        <v>0.61512602566162367</v>
      </c>
      <c r="AJ128" s="124">
        <v>0.62353487251459117</v>
      </c>
      <c r="AK128" s="124">
        <v>0.63089264615676688</v>
      </c>
      <c r="AL128" s="124">
        <v>0.63667976895387635</v>
      </c>
      <c r="AM128" s="124">
        <v>0.64145477987020816</v>
      </c>
      <c r="AN128" s="124">
        <v>0.64530799102562442</v>
      </c>
      <c r="AO128" s="122">
        <v>0.6482738892203902</v>
      </c>
      <c r="AP128" s="124">
        <v>0.65052909338228759</v>
      </c>
      <c r="AQ128" s="124">
        <v>0.65209836176866742</v>
      </c>
      <c r="AR128" s="124">
        <v>0.65328997013946966</v>
      </c>
      <c r="AS128" s="92">
        <v>0.65422070098882279</v>
      </c>
      <c r="AT128" s="124">
        <v>0.6549815926417325</v>
      </c>
      <c r="AU128" s="124">
        <v>0.65563137020258344</v>
      </c>
      <c r="AV128" s="124">
        <v>0.65616683984085034</v>
      </c>
      <c r="AW128" s="124">
        <v>0.65666799298336376</v>
      </c>
      <c r="AX128" s="92">
        <v>0.65710148423974324</v>
      </c>
      <c r="AY128" s="125">
        <v>0.65710148423974324</v>
      </c>
    </row>
    <row r="129" spans="14:51" x14ac:dyDescent="0.2">
      <c r="N129" s="130"/>
      <c r="O129" s="142"/>
      <c r="P129" s="124"/>
      <c r="Q129" s="92"/>
      <c r="R129" s="133"/>
      <c r="S129" s="133"/>
      <c r="T129" s="133"/>
      <c r="U129" s="141"/>
      <c r="W129" s="122"/>
      <c r="X129" s="123">
        <v>0.25000000000000006</v>
      </c>
      <c r="Y129" s="122">
        <v>0.50059757263144922</v>
      </c>
      <c r="Z129" s="122">
        <v>0.55432928268845305</v>
      </c>
      <c r="AA129" s="124">
        <v>0.57603465273308119</v>
      </c>
      <c r="AB129" s="124">
        <v>0.58839217367191954</v>
      </c>
      <c r="AC129" s="124">
        <v>0.60269812665450451</v>
      </c>
      <c r="AD129" s="92">
        <v>0.61138676619629895</v>
      </c>
      <c r="AE129" s="122">
        <v>0.61705811739779082</v>
      </c>
      <c r="AF129" s="124">
        <v>0.62307788843388512</v>
      </c>
      <c r="AG129" s="124">
        <v>0.62964410364591028</v>
      </c>
      <c r="AH129" s="124">
        <v>0.63518783181584892</v>
      </c>
      <c r="AI129" s="92">
        <v>0.6400789522631084</v>
      </c>
      <c r="AJ129" s="124">
        <v>0.64434332828280472</v>
      </c>
      <c r="AK129" s="124">
        <v>0.64809095373271475</v>
      </c>
      <c r="AL129" s="124">
        <v>0.65110359446002819</v>
      </c>
      <c r="AM129" s="124">
        <v>0.65353012011782174</v>
      </c>
      <c r="AN129" s="124">
        <v>0.65551633840696699</v>
      </c>
      <c r="AO129" s="122">
        <v>0.65706274681530308</v>
      </c>
      <c r="AP129" s="124">
        <v>0.65822013064127016</v>
      </c>
      <c r="AQ129" s="124">
        <v>0.65904687549110919</v>
      </c>
      <c r="AR129" s="124">
        <v>0.65968225548249115</v>
      </c>
      <c r="AS129" s="92">
        <v>0.66016318547289043</v>
      </c>
      <c r="AT129" s="124">
        <v>0.66056450368656683</v>
      </c>
      <c r="AU129" s="124">
        <v>0.66090218033930737</v>
      </c>
      <c r="AV129" s="124">
        <v>0.66118697231948542</v>
      </c>
      <c r="AW129" s="124">
        <v>0.66144809323874332</v>
      </c>
      <c r="AX129" s="92">
        <v>0.66166635177144795</v>
      </c>
      <c r="AY129" s="125">
        <v>0.66166635177144795</v>
      </c>
    </row>
    <row r="130" spans="14:51" x14ac:dyDescent="0.2">
      <c r="N130" s="130"/>
      <c r="O130" s="142"/>
      <c r="P130" s="124"/>
      <c r="Q130" s="92"/>
      <c r="R130" s="133"/>
      <c r="S130" s="133"/>
      <c r="T130" s="133"/>
      <c r="U130" s="141"/>
      <c r="W130" s="122">
        <f>X29</f>
        <v>1</v>
      </c>
      <c r="X130" s="123">
        <v>0.50000000000000022</v>
      </c>
      <c r="Y130" s="122">
        <v>0.707696437195099</v>
      </c>
      <c r="Z130" s="122">
        <v>0.67920488049540495</v>
      </c>
      <c r="AA130" s="124">
        <v>0.67475834394905287</v>
      </c>
      <c r="AB130" s="124">
        <v>0.67255574718816402</v>
      </c>
      <c r="AC130" s="124">
        <v>0.6704381989640501</v>
      </c>
      <c r="AD130" s="92">
        <v>0.66945061975195364</v>
      </c>
      <c r="AE130" s="122">
        <v>0.66889960775483759</v>
      </c>
      <c r="AF130" s="124">
        <v>0.668339590119995</v>
      </c>
      <c r="AG130" s="124">
        <v>0.66779365250556544</v>
      </c>
      <c r="AH130" s="124">
        <v>0.66749540853386635</v>
      </c>
      <c r="AI130" s="92">
        <v>0.66725229061786029</v>
      </c>
      <c r="AJ130" s="124">
        <v>0.66711961225880489</v>
      </c>
      <c r="AK130" s="124">
        <v>0.6670133935605892</v>
      </c>
      <c r="AL130" s="124">
        <v>0.66689334773494158</v>
      </c>
      <c r="AM130" s="124">
        <v>0.66685451438087429</v>
      </c>
      <c r="AN130" s="124">
        <v>0.66679558526492633</v>
      </c>
      <c r="AO130" s="122">
        <v>0.66677895598240411</v>
      </c>
      <c r="AP130" s="124">
        <v>0.66676552435782754</v>
      </c>
      <c r="AQ130" s="124">
        <v>0.66673630255588079</v>
      </c>
      <c r="AR130" s="124">
        <v>0.66672291720650523</v>
      </c>
      <c r="AS130" s="92">
        <v>0.66671162021479968</v>
      </c>
      <c r="AT130" s="124">
        <v>0.66670618975118179</v>
      </c>
      <c r="AU130" s="124">
        <v>0.66670359176399585</v>
      </c>
      <c r="AV130" s="124">
        <v>0.66671108637610932</v>
      </c>
      <c r="AW130" s="124">
        <v>0.66670414156460933</v>
      </c>
      <c r="AX130" s="92">
        <v>0.6667065400062836</v>
      </c>
      <c r="AY130" s="125">
        <v>0.6667065400062836</v>
      </c>
    </row>
    <row r="131" spans="14:51" x14ac:dyDescent="0.2">
      <c r="N131" s="130"/>
      <c r="O131" s="142"/>
      <c r="P131" s="124"/>
      <c r="Q131" s="92"/>
      <c r="R131" s="133"/>
      <c r="S131" s="133"/>
      <c r="T131" s="133"/>
      <c r="U131" s="141"/>
      <c r="W131" s="122"/>
      <c r="X131" s="123">
        <v>0.75000000000000044</v>
      </c>
      <c r="Y131" s="122">
        <v>0.86649102861690386</v>
      </c>
      <c r="Z131" s="122">
        <v>0.79473266439653578</v>
      </c>
      <c r="AA131" s="124">
        <v>0.76656463939706865</v>
      </c>
      <c r="AB131" s="124">
        <v>0.75148246711030109</v>
      </c>
      <c r="AC131" s="124">
        <v>0.73478648688386328</v>
      </c>
      <c r="AD131" s="92">
        <v>0.72505719899858767</v>
      </c>
      <c r="AE131" s="122">
        <v>0.71857430799613664</v>
      </c>
      <c r="AF131" s="124">
        <v>0.71196274758687328</v>
      </c>
      <c r="AG131" s="124">
        <v>0.70502547816511718</v>
      </c>
      <c r="AH131" s="124">
        <v>0.69899219106058408</v>
      </c>
      <c r="AI131" s="92">
        <v>0.69392046320523348</v>
      </c>
      <c r="AJ131" s="124">
        <v>0.68937963342225572</v>
      </c>
      <c r="AK131" s="124">
        <v>0.68558068945936768</v>
      </c>
      <c r="AL131" s="124">
        <v>0.68254579472570132</v>
      </c>
      <c r="AM131" s="124">
        <v>0.68002998065428288</v>
      </c>
      <c r="AN131" s="124">
        <v>0.67800621043455378</v>
      </c>
      <c r="AO131" s="122">
        <v>0.67642685117895174</v>
      </c>
      <c r="AP131" s="124">
        <v>0.67523143729064361</v>
      </c>
      <c r="AQ131" s="124">
        <v>0.67437173894866331</v>
      </c>
      <c r="AR131" s="124">
        <v>0.67374119812616218</v>
      </c>
      <c r="AS131" s="92">
        <v>0.67323289328259517</v>
      </c>
      <c r="AT131" s="124">
        <v>0.67282433115100826</v>
      </c>
      <c r="AU131" s="124">
        <v>0.67249373560293413</v>
      </c>
      <c r="AV131" s="124">
        <v>0.67220138388813266</v>
      </c>
      <c r="AW131" s="124">
        <v>0.67194597687196622</v>
      </c>
      <c r="AX131" s="92">
        <v>0.67171193392546713</v>
      </c>
      <c r="AY131" s="125">
        <v>0.67171193392546713</v>
      </c>
    </row>
    <row r="132" spans="14:51" x14ac:dyDescent="0.2">
      <c r="N132" s="130"/>
      <c r="O132" s="142"/>
      <c r="P132" s="124"/>
      <c r="Q132" s="92"/>
      <c r="R132" s="133"/>
      <c r="S132" s="133"/>
      <c r="T132" s="133"/>
      <c r="U132" s="141"/>
      <c r="W132" s="122"/>
      <c r="X132" s="123">
        <v>0.90000000000000058</v>
      </c>
      <c r="Y132" s="122">
        <v>0.94867257127854288</v>
      </c>
      <c r="Z132" s="122">
        <v>0.87830373557154751</v>
      </c>
      <c r="AA132" s="124">
        <v>0.8395636439716907</v>
      </c>
      <c r="AB132" s="124">
        <v>0.81594694654439903</v>
      </c>
      <c r="AC132" s="124">
        <v>0.78833670050469484</v>
      </c>
      <c r="AD132" s="92">
        <v>0.77211450884984589</v>
      </c>
      <c r="AE132" s="122">
        <v>0.76099639001575303</v>
      </c>
      <c r="AF132" s="124">
        <v>0.74956273639731452</v>
      </c>
      <c r="AG132" s="124">
        <v>0.73720538549714432</v>
      </c>
      <c r="AH132" s="124">
        <v>0.72659269066673915</v>
      </c>
      <c r="AI132" s="92">
        <v>0.71730423524011755</v>
      </c>
      <c r="AJ132" s="124">
        <v>0.70905252328635926</v>
      </c>
      <c r="AK132" s="124">
        <v>0.7020430095403809</v>
      </c>
      <c r="AL132" s="124">
        <v>0.69645528852739758</v>
      </c>
      <c r="AM132" s="124">
        <v>0.69174526340121401</v>
      </c>
      <c r="AN132" s="124">
        <v>0.68798073677565386</v>
      </c>
      <c r="AO132" s="122">
        <v>0.6850117244677173</v>
      </c>
      <c r="AP132" s="124">
        <v>0.68279637624658673</v>
      </c>
      <c r="AQ132" s="124">
        <v>0.68120270145545236</v>
      </c>
      <c r="AR132" s="124">
        <v>0.68003540917981564</v>
      </c>
      <c r="AS132" s="92">
        <v>0.67909196500403357</v>
      </c>
      <c r="AT132" s="124">
        <v>0.6783300331696005</v>
      </c>
      <c r="AU132" s="124">
        <v>0.67767195011051329</v>
      </c>
      <c r="AV132" s="124">
        <v>0.67713977078006282</v>
      </c>
      <c r="AW132" s="124">
        <v>0.67665320471021206</v>
      </c>
      <c r="AX132" s="92">
        <v>0.67620487999940859</v>
      </c>
      <c r="AY132" s="125">
        <v>0.67620487999940859</v>
      </c>
    </row>
    <row r="133" spans="14:51" x14ac:dyDescent="0.2">
      <c r="N133" s="130"/>
      <c r="O133" s="142"/>
      <c r="P133" s="124"/>
      <c r="Q133" s="92"/>
      <c r="R133" s="133"/>
      <c r="S133" s="133"/>
      <c r="T133" s="133"/>
      <c r="U133" s="141"/>
      <c r="W133" s="122"/>
      <c r="X133" s="123">
        <v>0.99000000000000066</v>
      </c>
      <c r="Y133" s="122">
        <v>0.9950169764651291</v>
      </c>
      <c r="Z133" s="122">
        <v>0.96379043787874763</v>
      </c>
      <c r="AA133" s="124">
        <v>0.93141446284912965</v>
      </c>
      <c r="AB133" s="124">
        <v>0.90497125490601138</v>
      </c>
      <c r="AC133" s="124">
        <v>0.86859027998128568</v>
      </c>
      <c r="AD133" s="92">
        <v>0.84487727369523746</v>
      </c>
      <c r="AE133" s="122">
        <v>0.82797579584423264</v>
      </c>
      <c r="AF133" s="124">
        <v>0.80933908632439266</v>
      </c>
      <c r="AG133" s="124">
        <v>0.78945186935168454</v>
      </c>
      <c r="AH133" s="124">
        <v>0.77166380861634043</v>
      </c>
      <c r="AI133" s="92">
        <v>0.75615991765016444</v>
      </c>
      <c r="AJ133" s="124">
        <v>0.74198346396026582</v>
      </c>
      <c r="AK133" s="124">
        <v>0.72981537533654472</v>
      </c>
      <c r="AL133" s="124">
        <v>0.72000046804889783</v>
      </c>
      <c r="AM133" s="124">
        <v>0.71162912364954767</v>
      </c>
      <c r="AN133" s="124">
        <v>0.70491800660039472</v>
      </c>
      <c r="AO133" s="122">
        <v>0.69962500681360651</v>
      </c>
      <c r="AP133" s="124">
        <v>0.69568540540803314</v>
      </c>
      <c r="AQ133" s="124">
        <v>0.69289310924857039</v>
      </c>
      <c r="AR133" s="124">
        <v>0.69077686963437968</v>
      </c>
      <c r="AS133" s="92">
        <v>0.68909921385658746</v>
      </c>
      <c r="AT133" s="124">
        <v>0.68770003564076765</v>
      </c>
      <c r="AU133" s="124">
        <v>0.68655983704406454</v>
      </c>
      <c r="AV133" s="124">
        <v>0.68555153574403416</v>
      </c>
      <c r="AW133" s="124">
        <v>0.68470339024386495</v>
      </c>
      <c r="AX133" s="92">
        <v>0.68391744578719493</v>
      </c>
      <c r="AY133" s="125">
        <v>0.68391744578719493</v>
      </c>
    </row>
    <row r="134" spans="14:51" x14ac:dyDescent="0.2">
      <c r="N134" s="130"/>
      <c r="O134" s="142"/>
      <c r="P134" s="124"/>
      <c r="Q134" s="92"/>
      <c r="R134" s="133"/>
      <c r="S134" s="133"/>
      <c r="T134" s="133"/>
      <c r="U134" s="141"/>
      <c r="W134" s="126"/>
      <c r="X134" s="127">
        <v>0.999</v>
      </c>
      <c r="Y134" s="126">
        <v>0.99948477175547878</v>
      </c>
      <c r="Z134" s="126">
        <v>0.98894901383947575</v>
      </c>
      <c r="AA134" s="128">
        <v>0.96934500846734017</v>
      </c>
      <c r="AB134" s="128">
        <v>0.94846299943461509</v>
      </c>
      <c r="AC134" s="128">
        <v>0.91568876253773457</v>
      </c>
      <c r="AD134" s="100">
        <v>0.88964877994516411</v>
      </c>
      <c r="AE134" s="126">
        <v>0.8707449127364062</v>
      </c>
      <c r="AF134" s="128">
        <v>0.84941963696086686</v>
      </c>
      <c r="AG134" s="128">
        <v>0.82454817459555541</v>
      </c>
      <c r="AH134" s="128">
        <v>0.80316689822710818</v>
      </c>
      <c r="AI134" s="100">
        <v>0.78353561618594203</v>
      </c>
      <c r="AJ134" s="128">
        <v>0.76502662409220168</v>
      </c>
      <c r="AK134" s="128">
        <v>0.74948442648776137</v>
      </c>
      <c r="AL134" s="128">
        <v>0.73673555312772654</v>
      </c>
      <c r="AM134" s="128">
        <v>0.72574685103375491</v>
      </c>
      <c r="AN134" s="128">
        <v>0.71678648405120982</v>
      </c>
      <c r="AO134" s="126">
        <v>0.71022123588744823</v>
      </c>
      <c r="AP134" s="128">
        <v>0.70494261606248987</v>
      </c>
      <c r="AQ134" s="128">
        <v>0.7012114819201114</v>
      </c>
      <c r="AR134" s="128">
        <v>0.69835712583213805</v>
      </c>
      <c r="AS134" s="100">
        <v>0.69623431100249589</v>
      </c>
      <c r="AT134" s="128">
        <v>0.69451152905356339</v>
      </c>
      <c r="AU134" s="128">
        <v>0.69303148645892432</v>
      </c>
      <c r="AV134" s="128">
        <v>0.69170145455741849</v>
      </c>
      <c r="AW134" s="128">
        <v>0.69060526740222572</v>
      </c>
      <c r="AX134" s="100">
        <v>0.68955922427453575</v>
      </c>
      <c r="AY134" s="129">
        <v>0.68955922427453575</v>
      </c>
    </row>
    <row r="135" spans="14:51" x14ac:dyDescent="0.2">
      <c r="N135" s="130"/>
      <c r="O135" s="142"/>
      <c r="P135" s="124"/>
      <c r="Q135" s="92"/>
      <c r="R135" s="133"/>
      <c r="S135" s="133"/>
      <c r="T135" s="133"/>
      <c r="U135" s="141"/>
      <c r="W135" s="148"/>
      <c r="X135" s="149">
        <v>1E-3</v>
      </c>
      <c r="Y135" s="148">
        <v>3.1473920672607542E-2</v>
      </c>
      <c r="Z135" s="148">
        <v>0.14162570602041874</v>
      </c>
      <c r="AA135" s="150">
        <v>0.22322105625146355</v>
      </c>
      <c r="AB135" s="150">
        <v>0.28135038968995263</v>
      </c>
      <c r="AC135" s="150">
        <v>0.35169766469280622</v>
      </c>
      <c r="AD135" s="151">
        <v>0.39450116812153346</v>
      </c>
      <c r="AE135" s="148">
        <v>0.42420675362328375</v>
      </c>
      <c r="AF135" s="150">
        <v>0.45411210464680662</v>
      </c>
      <c r="AG135" s="150">
        <v>0.48737272942002502</v>
      </c>
      <c r="AH135" s="150">
        <v>0.51486519197566116</v>
      </c>
      <c r="AI135" s="151">
        <v>0.53953110489163114</v>
      </c>
      <c r="AJ135" s="150">
        <v>0.56072088176080348</v>
      </c>
      <c r="AK135" s="150">
        <v>0.57861436618345008</v>
      </c>
      <c r="AL135" s="150">
        <v>0.59319168688348745</v>
      </c>
      <c r="AM135" s="150">
        <v>0.60493580083379916</v>
      </c>
      <c r="AN135" s="150">
        <v>0.61443030727374548</v>
      </c>
      <c r="AO135" s="148">
        <v>0.62159591510584822</v>
      </c>
      <c r="AP135" s="150">
        <v>0.62721440567750242</v>
      </c>
      <c r="AQ135" s="150">
        <v>0.63105613687964368</v>
      </c>
      <c r="AR135" s="150">
        <v>0.63401427281654921</v>
      </c>
      <c r="AS135" s="151">
        <v>0.63629333775728292</v>
      </c>
      <c r="AT135" s="150">
        <v>0.6382546629353868</v>
      </c>
      <c r="AU135" s="150">
        <v>0.63977589163387272</v>
      </c>
      <c r="AV135" s="150">
        <v>0.64122587284850607</v>
      </c>
      <c r="AW135" s="150">
        <v>0.64243912285558991</v>
      </c>
      <c r="AX135" s="151">
        <v>0.64355222176238647</v>
      </c>
      <c r="AY135" s="121">
        <v>0.64355222176238647</v>
      </c>
    </row>
    <row r="136" spans="14:51" x14ac:dyDescent="0.2">
      <c r="N136" s="130"/>
      <c r="O136" s="142"/>
      <c r="P136" s="124"/>
      <c r="Q136" s="92"/>
      <c r="R136" s="133"/>
      <c r="S136" s="133"/>
      <c r="T136" s="133"/>
      <c r="U136" s="141"/>
      <c r="W136" s="152"/>
      <c r="X136" s="153">
        <v>0.01</v>
      </c>
      <c r="Y136" s="152">
        <v>0.10003388741131972</v>
      </c>
      <c r="Z136" s="152">
        <v>0.24762309537951094</v>
      </c>
      <c r="AA136" s="154">
        <v>0.32809657693610988</v>
      </c>
      <c r="AB136" s="154">
        <v>0.37483402547113864</v>
      </c>
      <c r="AC136" s="154">
        <v>0.42978279889553739</v>
      </c>
      <c r="AD136" s="155">
        <v>0.46326109397177617</v>
      </c>
      <c r="AE136" s="152">
        <v>0.4852621683276287</v>
      </c>
      <c r="AF136" s="154">
        <v>0.50769837943497409</v>
      </c>
      <c r="AG136" s="154">
        <v>0.53288414539463591</v>
      </c>
      <c r="AH136" s="154">
        <v>0.55361519308544893</v>
      </c>
      <c r="AI136" s="155">
        <v>0.57151240614154242</v>
      </c>
      <c r="AJ136" s="154">
        <v>0.58721698746515361</v>
      </c>
      <c r="AK136" s="154">
        <v>0.60072641556561279</v>
      </c>
      <c r="AL136" s="154">
        <v>0.61161960305032315</v>
      </c>
      <c r="AM136" s="154">
        <v>0.62042540105848965</v>
      </c>
      <c r="AN136" s="154">
        <v>0.62753796973144493</v>
      </c>
      <c r="AO136" s="152">
        <v>0.63302024780417354</v>
      </c>
      <c r="AP136" s="154">
        <v>0.63707979803605019</v>
      </c>
      <c r="AQ136" s="154">
        <v>0.63996046017867969</v>
      </c>
      <c r="AR136" s="154">
        <v>0.64216835430257602</v>
      </c>
      <c r="AS136" s="155">
        <v>0.64388734341011589</v>
      </c>
      <c r="AT136" s="154">
        <v>0.64530084099423168</v>
      </c>
      <c r="AU136" s="154">
        <v>0.64647974610671488</v>
      </c>
      <c r="AV136" s="154">
        <v>0.64745103572106022</v>
      </c>
      <c r="AW136" s="154">
        <v>0.6483840560005939</v>
      </c>
      <c r="AX136" s="155">
        <v>0.64919680266111612</v>
      </c>
      <c r="AY136" s="125">
        <v>0.64919680266111612</v>
      </c>
    </row>
    <row r="137" spans="14:51" x14ac:dyDescent="0.2">
      <c r="N137" s="130"/>
      <c r="O137" s="142"/>
      <c r="P137" s="124"/>
      <c r="Q137" s="92"/>
      <c r="R137" s="133"/>
      <c r="S137" s="133"/>
      <c r="T137" s="133"/>
      <c r="U137" s="141"/>
      <c r="W137" s="152"/>
      <c r="X137" s="153">
        <v>9.9999999999999992E-2</v>
      </c>
      <c r="Y137" s="152">
        <v>0.31589437005453613</v>
      </c>
      <c r="Z137" s="152">
        <v>0.44040041950824771</v>
      </c>
      <c r="AA137" s="154">
        <v>0.48396182713601382</v>
      </c>
      <c r="AB137" s="154">
        <v>0.50997050058544702</v>
      </c>
      <c r="AC137" s="154">
        <v>0.53978212634227796</v>
      </c>
      <c r="AD137" s="155">
        <v>0.55744838643594574</v>
      </c>
      <c r="AE137" s="152">
        <v>0.56914023373986156</v>
      </c>
      <c r="AF137" s="154">
        <v>0.58151915615962491</v>
      </c>
      <c r="AG137" s="154">
        <v>0.59443295929630413</v>
      </c>
      <c r="AH137" s="154">
        <v>0.60542363653171904</v>
      </c>
      <c r="AI137" s="155">
        <v>0.61512602566162367</v>
      </c>
      <c r="AJ137" s="154">
        <v>0.62353487251459117</v>
      </c>
      <c r="AK137" s="154">
        <v>0.63089264615676688</v>
      </c>
      <c r="AL137" s="154">
        <v>0.63667976895387635</v>
      </c>
      <c r="AM137" s="154">
        <v>0.64145477987020816</v>
      </c>
      <c r="AN137" s="154">
        <v>0.64530799102562442</v>
      </c>
      <c r="AO137" s="152">
        <v>0.6482738892203902</v>
      </c>
      <c r="AP137" s="154">
        <v>0.65052909338228759</v>
      </c>
      <c r="AQ137" s="154">
        <v>0.65209836176866742</v>
      </c>
      <c r="AR137" s="154">
        <v>0.65328997013946966</v>
      </c>
      <c r="AS137" s="155">
        <v>0.65422070098882279</v>
      </c>
      <c r="AT137" s="154">
        <v>0.6549815926417325</v>
      </c>
      <c r="AU137" s="154">
        <v>0.65563137020258344</v>
      </c>
      <c r="AV137" s="154">
        <v>0.65616683984085034</v>
      </c>
      <c r="AW137" s="154">
        <v>0.65666799298336376</v>
      </c>
      <c r="AX137" s="155">
        <v>0.65710148423974324</v>
      </c>
      <c r="AY137" s="125">
        <v>0.65710148423974324</v>
      </c>
    </row>
    <row r="138" spans="14:51" x14ac:dyDescent="0.2">
      <c r="N138" s="130"/>
      <c r="O138" s="142"/>
      <c r="P138" s="124"/>
      <c r="Q138" s="92"/>
      <c r="R138" s="133"/>
      <c r="S138" s="133"/>
      <c r="T138" s="133"/>
      <c r="U138" s="141"/>
      <c r="W138" s="152"/>
      <c r="X138" s="153">
        <v>0.25000000000000006</v>
      </c>
      <c r="Y138" s="152">
        <v>0.50059757263144922</v>
      </c>
      <c r="Z138" s="152">
        <v>0.55432928268845305</v>
      </c>
      <c r="AA138" s="154">
        <v>0.57603465273308119</v>
      </c>
      <c r="AB138" s="154">
        <v>0.58839217367191954</v>
      </c>
      <c r="AC138" s="154">
        <v>0.60269812665450451</v>
      </c>
      <c r="AD138" s="155">
        <v>0.61138676619629895</v>
      </c>
      <c r="AE138" s="152">
        <v>0.61705811739779082</v>
      </c>
      <c r="AF138" s="154">
        <v>0.62307788843388512</v>
      </c>
      <c r="AG138" s="154">
        <v>0.62964410364591028</v>
      </c>
      <c r="AH138" s="154">
        <v>0.63518783181584892</v>
      </c>
      <c r="AI138" s="155">
        <v>0.6400789522631084</v>
      </c>
      <c r="AJ138" s="154">
        <v>0.64434332828280472</v>
      </c>
      <c r="AK138" s="154">
        <v>0.64809095373271475</v>
      </c>
      <c r="AL138" s="154">
        <v>0.65110359446002819</v>
      </c>
      <c r="AM138" s="154">
        <v>0.65353012011782174</v>
      </c>
      <c r="AN138" s="154">
        <v>0.65551633840696699</v>
      </c>
      <c r="AO138" s="152">
        <v>0.65706274681530308</v>
      </c>
      <c r="AP138" s="154">
        <v>0.65822013064127016</v>
      </c>
      <c r="AQ138" s="154">
        <v>0.65904687549110919</v>
      </c>
      <c r="AR138" s="154">
        <v>0.65968225548249115</v>
      </c>
      <c r="AS138" s="155">
        <v>0.66016318547289043</v>
      </c>
      <c r="AT138" s="154">
        <v>0.66056450368656683</v>
      </c>
      <c r="AU138" s="154">
        <v>0.66090218033930737</v>
      </c>
      <c r="AV138" s="154">
        <v>0.66118697231948542</v>
      </c>
      <c r="AW138" s="154">
        <v>0.66144809323874332</v>
      </c>
      <c r="AX138" s="155">
        <v>0.66166635177144795</v>
      </c>
      <c r="AY138" s="125">
        <v>0.66166635177144795</v>
      </c>
    </row>
    <row r="139" spans="14:51" x14ac:dyDescent="0.2">
      <c r="N139" s="130"/>
      <c r="O139" s="142"/>
      <c r="P139" s="124"/>
      <c r="Q139" s="92"/>
      <c r="R139" s="133"/>
      <c r="S139" s="133"/>
      <c r="T139" s="133"/>
      <c r="U139" s="141"/>
      <c r="W139" s="152">
        <f>X30</f>
        <v>1.01</v>
      </c>
      <c r="X139" s="153">
        <v>0.50000000000000022</v>
      </c>
      <c r="Y139" s="152">
        <v>0.707696437195099</v>
      </c>
      <c r="Z139" s="152">
        <v>0.67920488049540495</v>
      </c>
      <c r="AA139" s="154">
        <v>0.67475834394905287</v>
      </c>
      <c r="AB139" s="154">
        <v>0.67255574718816402</v>
      </c>
      <c r="AC139" s="154">
        <v>0.6704381989640501</v>
      </c>
      <c r="AD139" s="155">
        <v>0.66945061975195364</v>
      </c>
      <c r="AE139" s="152">
        <v>0.66889960775483759</v>
      </c>
      <c r="AF139" s="154">
        <v>0.668339590119995</v>
      </c>
      <c r="AG139" s="154">
        <v>0.66779365250556544</v>
      </c>
      <c r="AH139" s="154">
        <v>0.66749540853386635</v>
      </c>
      <c r="AI139" s="155">
        <v>0.66725229061786029</v>
      </c>
      <c r="AJ139" s="154">
        <v>0.66711961225880489</v>
      </c>
      <c r="AK139" s="154">
        <v>0.6670133935605892</v>
      </c>
      <c r="AL139" s="154">
        <v>0.66689334773494158</v>
      </c>
      <c r="AM139" s="154">
        <v>0.66685451438087429</v>
      </c>
      <c r="AN139" s="154">
        <v>0.66679558526492633</v>
      </c>
      <c r="AO139" s="152">
        <v>0.66677895598240411</v>
      </c>
      <c r="AP139" s="154">
        <v>0.66676552435782754</v>
      </c>
      <c r="AQ139" s="154">
        <v>0.66673630255588079</v>
      </c>
      <c r="AR139" s="154">
        <v>0.66672291720650523</v>
      </c>
      <c r="AS139" s="155">
        <v>0.66671162021479968</v>
      </c>
      <c r="AT139" s="154">
        <v>0.66670618975118179</v>
      </c>
      <c r="AU139" s="154">
        <v>0.66670359176399585</v>
      </c>
      <c r="AV139" s="154">
        <v>0.66671108637610932</v>
      </c>
      <c r="AW139" s="154">
        <v>0.66670414156460933</v>
      </c>
      <c r="AX139" s="155">
        <v>0.6667065400062836</v>
      </c>
      <c r="AY139" s="125">
        <v>0.6667065400062836</v>
      </c>
    </row>
    <row r="140" spans="14:51" x14ac:dyDescent="0.2">
      <c r="N140" s="130"/>
      <c r="O140" s="142"/>
      <c r="P140" s="124"/>
      <c r="Q140" s="92"/>
      <c r="R140" s="133"/>
      <c r="S140" s="133"/>
      <c r="T140" s="133"/>
      <c r="U140" s="141"/>
      <c r="W140" s="152"/>
      <c r="X140" s="153">
        <v>0.75000000000000044</v>
      </c>
      <c r="Y140" s="152">
        <v>0.86649102861690386</v>
      </c>
      <c r="Z140" s="152">
        <v>0.79473266439653578</v>
      </c>
      <c r="AA140" s="154">
        <v>0.76656463939706865</v>
      </c>
      <c r="AB140" s="154">
        <v>0.75148246711030109</v>
      </c>
      <c r="AC140" s="154">
        <v>0.73478648688386328</v>
      </c>
      <c r="AD140" s="155">
        <v>0.72505719899858767</v>
      </c>
      <c r="AE140" s="152">
        <v>0.71857430799613664</v>
      </c>
      <c r="AF140" s="154">
        <v>0.71196274758687328</v>
      </c>
      <c r="AG140" s="154">
        <v>0.70502547816511718</v>
      </c>
      <c r="AH140" s="154">
        <v>0.69899219106058408</v>
      </c>
      <c r="AI140" s="155">
        <v>0.69392046320523348</v>
      </c>
      <c r="AJ140" s="154">
        <v>0.68937963342225572</v>
      </c>
      <c r="AK140" s="154">
        <v>0.68558068945936768</v>
      </c>
      <c r="AL140" s="154">
        <v>0.68254579472570132</v>
      </c>
      <c r="AM140" s="154">
        <v>0.68002998065428288</v>
      </c>
      <c r="AN140" s="154">
        <v>0.67800621043455378</v>
      </c>
      <c r="AO140" s="152">
        <v>0.67642685117895174</v>
      </c>
      <c r="AP140" s="154">
        <v>0.67523143729064361</v>
      </c>
      <c r="AQ140" s="154">
        <v>0.67437173894866331</v>
      </c>
      <c r="AR140" s="154">
        <v>0.67374119812616218</v>
      </c>
      <c r="AS140" s="155">
        <v>0.67323289328259517</v>
      </c>
      <c r="AT140" s="154">
        <v>0.67282433115100826</v>
      </c>
      <c r="AU140" s="154">
        <v>0.67249373560293413</v>
      </c>
      <c r="AV140" s="154">
        <v>0.67220138388813266</v>
      </c>
      <c r="AW140" s="154">
        <v>0.67194597687196622</v>
      </c>
      <c r="AX140" s="155">
        <v>0.67171193392546713</v>
      </c>
      <c r="AY140" s="125">
        <v>0.67171193392546713</v>
      </c>
    </row>
    <row r="141" spans="14:51" x14ac:dyDescent="0.2">
      <c r="N141" s="130"/>
      <c r="O141" s="142"/>
      <c r="P141" s="124"/>
      <c r="Q141" s="92"/>
      <c r="R141" s="133"/>
      <c r="S141" s="133"/>
      <c r="T141" s="133"/>
      <c r="U141" s="141"/>
      <c r="W141" s="152"/>
      <c r="X141" s="153">
        <v>0.90000000000000058</v>
      </c>
      <c r="Y141" s="152">
        <v>0.94867257127854288</v>
      </c>
      <c r="Z141" s="152">
        <v>0.87830373557154751</v>
      </c>
      <c r="AA141" s="154">
        <v>0.8395636439716907</v>
      </c>
      <c r="AB141" s="154">
        <v>0.81594694654439903</v>
      </c>
      <c r="AC141" s="154">
        <v>0.78833670050469484</v>
      </c>
      <c r="AD141" s="155">
        <v>0.77211450884984589</v>
      </c>
      <c r="AE141" s="152">
        <v>0.76099639001575303</v>
      </c>
      <c r="AF141" s="154">
        <v>0.74956273639731452</v>
      </c>
      <c r="AG141" s="154">
        <v>0.73720538549714432</v>
      </c>
      <c r="AH141" s="154">
        <v>0.72659269066673915</v>
      </c>
      <c r="AI141" s="155">
        <v>0.71730423524011755</v>
      </c>
      <c r="AJ141" s="154">
        <v>0.70905252328635926</v>
      </c>
      <c r="AK141" s="154">
        <v>0.7020430095403809</v>
      </c>
      <c r="AL141" s="154">
        <v>0.69645528852739758</v>
      </c>
      <c r="AM141" s="154">
        <v>0.69174526340121401</v>
      </c>
      <c r="AN141" s="154">
        <v>0.68798073677565386</v>
      </c>
      <c r="AO141" s="152">
        <v>0.6850117244677173</v>
      </c>
      <c r="AP141" s="154">
        <v>0.68279637624658673</v>
      </c>
      <c r="AQ141" s="154">
        <v>0.68120270145545236</v>
      </c>
      <c r="AR141" s="154">
        <v>0.68003540917981564</v>
      </c>
      <c r="AS141" s="155">
        <v>0.67909196500403357</v>
      </c>
      <c r="AT141" s="154">
        <v>0.6783300331696005</v>
      </c>
      <c r="AU141" s="154">
        <v>0.67767195011051329</v>
      </c>
      <c r="AV141" s="154">
        <v>0.67713977078006282</v>
      </c>
      <c r="AW141" s="154">
        <v>0.67665320471021206</v>
      </c>
      <c r="AX141" s="155">
        <v>0.67620487999940859</v>
      </c>
      <c r="AY141" s="125">
        <v>0.67620487999940859</v>
      </c>
    </row>
    <row r="142" spans="14:51" x14ac:dyDescent="0.2">
      <c r="N142" s="130"/>
      <c r="O142" s="142"/>
      <c r="P142" s="124"/>
      <c r="Q142" s="92"/>
      <c r="R142" s="133"/>
      <c r="S142" s="133"/>
      <c r="T142" s="133"/>
      <c r="U142" s="141"/>
      <c r="W142" s="152"/>
      <c r="X142" s="153">
        <v>0.99000000000000066</v>
      </c>
      <c r="Y142" s="152">
        <v>0.9950169764651291</v>
      </c>
      <c r="Z142" s="152">
        <v>0.96379043787874763</v>
      </c>
      <c r="AA142" s="154">
        <v>0.93141446284912965</v>
      </c>
      <c r="AB142" s="154">
        <v>0.90497125490601138</v>
      </c>
      <c r="AC142" s="154">
        <v>0.86859027998128568</v>
      </c>
      <c r="AD142" s="155">
        <v>0.84487727369523746</v>
      </c>
      <c r="AE142" s="152">
        <v>0.82797579584423264</v>
      </c>
      <c r="AF142" s="154">
        <v>0.80933908632439266</v>
      </c>
      <c r="AG142" s="154">
        <v>0.78945186935168454</v>
      </c>
      <c r="AH142" s="154">
        <v>0.77166380861634043</v>
      </c>
      <c r="AI142" s="155">
        <v>0.75615991765016444</v>
      </c>
      <c r="AJ142" s="154">
        <v>0.74198346396026582</v>
      </c>
      <c r="AK142" s="154">
        <v>0.72981537533654472</v>
      </c>
      <c r="AL142" s="154">
        <v>0.72000046804889783</v>
      </c>
      <c r="AM142" s="154">
        <v>0.71162912364954767</v>
      </c>
      <c r="AN142" s="154">
        <v>0.70491800660039472</v>
      </c>
      <c r="AO142" s="152">
        <v>0.69962500681360651</v>
      </c>
      <c r="AP142" s="154">
        <v>0.69568540540803314</v>
      </c>
      <c r="AQ142" s="154">
        <v>0.69289310924857039</v>
      </c>
      <c r="AR142" s="154">
        <v>0.69077686963437968</v>
      </c>
      <c r="AS142" s="155">
        <v>0.68909921385658746</v>
      </c>
      <c r="AT142" s="154">
        <v>0.68770003564076765</v>
      </c>
      <c r="AU142" s="154">
        <v>0.68655983704406454</v>
      </c>
      <c r="AV142" s="154">
        <v>0.68555153574403416</v>
      </c>
      <c r="AW142" s="154">
        <v>0.68470339024386495</v>
      </c>
      <c r="AX142" s="155">
        <v>0.68391744578719493</v>
      </c>
      <c r="AY142" s="125">
        <v>0.68391744578719493</v>
      </c>
    </row>
    <row r="143" spans="14:51" x14ac:dyDescent="0.2">
      <c r="N143" s="130"/>
      <c r="O143" s="142"/>
      <c r="P143" s="124"/>
      <c r="Q143" s="92"/>
      <c r="R143" s="133"/>
      <c r="S143" s="133"/>
      <c r="T143" s="133"/>
      <c r="U143" s="141"/>
      <c r="W143" s="156"/>
      <c r="X143" s="157">
        <v>0.999</v>
      </c>
      <c r="Y143" s="156">
        <v>0.99948477175547878</v>
      </c>
      <c r="Z143" s="156">
        <v>0.98894901383947575</v>
      </c>
      <c r="AA143" s="158">
        <v>0.96934500846734017</v>
      </c>
      <c r="AB143" s="158">
        <v>0.94846299943461509</v>
      </c>
      <c r="AC143" s="158">
        <v>0.91568876253773457</v>
      </c>
      <c r="AD143" s="159">
        <v>0.88964877994516411</v>
      </c>
      <c r="AE143" s="156">
        <v>0.8707449127364062</v>
      </c>
      <c r="AF143" s="158">
        <v>0.84941963696086686</v>
      </c>
      <c r="AG143" s="158">
        <v>0.82454817459555541</v>
      </c>
      <c r="AH143" s="158">
        <v>0.80316689822710818</v>
      </c>
      <c r="AI143" s="159">
        <v>0.78353561618594203</v>
      </c>
      <c r="AJ143" s="158">
        <v>0.76502662409220168</v>
      </c>
      <c r="AK143" s="158">
        <v>0.74948442648776137</v>
      </c>
      <c r="AL143" s="158">
        <v>0.73673555312772654</v>
      </c>
      <c r="AM143" s="158">
        <v>0.72574685103375491</v>
      </c>
      <c r="AN143" s="158">
        <v>0.71678648405120982</v>
      </c>
      <c r="AO143" s="156">
        <v>0.71022123588744823</v>
      </c>
      <c r="AP143" s="158">
        <v>0.70494261606248987</v>
      </c>
      <c r="AQ143" s="158">
        <v>0.7012114819201114</v>
      </c>
      <c r="AR143" s="158">
        <v>0.69835712583213805</v>
      </c>
      <c r="AS143" s="159">
        <v>0.69623431100249589</v>
      </c>
      <c r="AT143" s="158">
        <v>0.69451152905356339</v>
      </c>
      <c r="AU143" s="158">
        <v>0.69303148645892432</v>
      </c>
      <c r="AV143" s="158">
        <v>0.69170145455741849</v>
      </c>
      <c r="AW143" s="158">
        <v>0.69060526740222572</v>
      </c>
      <c r="AX143" s="159">
        <v>0.68955922427453575</v>
      </c>
      <c r="AY143" s="129">
        <v>0.68955922427453575</v>
      </c>
    </row>
    <row r="144" spans="14:51" x14ac:dyDescent="0.2">
      <c r="N144" s="130"/>
      <c r="O144" s="142"/>
      <c r="P144" s="124"/>
      <c r="Q144" s="92"/>
      <c r="R144" s="133"/>
      <c r="S144" s="133"/>
      <c r="T144" s="133"/>
      <c r="U144" s="141"/>
    </row>
    <row r="145" spans="14:21" x14ac:dyDescent="0.2">
      <c r="N145" s="130"/>
      <c r="O145" s="142"/>
      <c r="P145" s="124"/>
      <c r="Q145" s="92"/>
      <c r="R145" s="133"/>
      <c r="S145" s="133"/>
      <c r="T145" s="133"/>
      <c r="U145" s="141"/>
    </row>
    <row r="146" spans="14:21" x14ac:dyDescent="0.2">
      <c r="N146" s="130"/>
      <c r="O146" s="142"/>
      <c r="P146" s="124"/>
      <c r="Q146" s="92"/>
      <c r="R146" s="133"/>
      <c r="S146" s="133"/>
      <c r="T146" s="133"/>
      <c r="U146" s="141"/>
    </row>
    <row r="147" spans="14:21" x14ac:dyDescent="0.2">
      <c r="N147" s="130"/>
      <c r="O147" s="142"/>
      <c r="P147" s="124"/>
      <c r="Q147" s="92"/>
      <c r="R147" s="133"/>
      <c r="S147" s="133"/>
      <c r="T147" s="133"/>
      <c r="U147" s="141"/>
    </row>
    <row r="148" spans="14:21" x14ac:dyDescent="0.2">
      <c r="N148" s="130"/>
      <c r="O148" s="142"/>
      <c r="P148" s="124"/>
      <c r="Q148" s="92"/>
      <c r="R148" s="133"/>
      <c r="S148" s="133"/>
      <c r="T148" s="133"/>
      <c r="U148" s="141"/>
    </row>
    <row r="149" spans="14:21" x14ac:dyDescent="0.2">
      <c r="N149" s="130"/>
      <c r="O149" s="142"/>
      <c r="P149" s="124"/>
      <c r="Q149" s="92"/>
      <c r="R149" s="133"/>
      <c r="S149" s="133"/>
      <c r="T149" s="133"/>
      <c r="U149" s="141"/>
    </row>
    <row r="150" spans="14:21" x14ac:dyDescent="0.2">
      <c r="N150" s="130"/>
      <c r="O150" s="142"/>
      <c r="P150" s="124"/>
      <c r="Q150" s="92"/>
      <c r="R150" s="133"/>
      <c r="S150" s="133"/>
      <c r="T150" s="133"/>
      <c r="U150" s="141"/>
    </row>
    <row r="151" spans="14:21" x14ac:dyDescent="0.2">
      <c r="N151" s="130"/>
      <c r="O151" s="142"/>
      <c r="P151" s="124"/>
      <c r="Q151" s="92"/>
      <c r="R151" s="133"/>
      <c r="S151" s="133"/>
      <c r="T151" s="133"/>
      <c r="U151" s="141"/>
    </row>
    <row r="152" spans="14:21" x14ac:dyDescent="0.2">
      <c r="N152" s="130"/>
      <c r="O152" s="142"/>
      <c r="P152" s="124"/>
      <c r="Q152" s="92"/>
      <c r="R152" s="133"/>
      <c r="S152" s="133"/>
      <c r="T152" s="133"/>
      <c r="U152" s="141"/>
    </row>
    <row r="153" spans="14:21" x14ac:dyDescent="0.2">
      <c r="N153" s="130"/>
      <c r="O153" s="142"/>
      <c r="P153" s="124"/>
      <c r="Q153" s="92"/>
      <c r="R153" s="133"/>
      <c r="S153" s="133"/>
      <c r="T153" s="133"/>
      <c r="U153" s="141"/>
    </row>
    <row r="154" spans="14:21" x14ac:dyDescent="0.2">
      <c r="N154" s="130"/>
      <c r="O154" s="142"/>
      <c r="P154" s="124"/>
      <c r="Q154" s="92"/>
      <c r="R154" s="133"/>
      <c r="S154" s="133"/>
      <c r="T154" s="133"/>
      <c r="U154" s="141"/>
    </row>
    <row r="155" spans="14:21" x14ac:dyDescent="0.2">
      <c r="N155" s="130"/>
      <c r="O155" s="142"/>
      <c r="P155" s="124"/>
      <c r="Q155" s="92"/>
      <c r="R155" s="133"/>
      <c r="S155" s="133"/>
      <c r="T155" s="133"/>
      <c r="U155" s="141"/>
    </row>
    <row r="156" spans="14:21" x14ac:dyDescent="0.2">
      <c r="N156" s="130"/>
      <c r="O156" s="142"/>
      <c r="P156" s="124"/>
      <c r="Q156" s="92"/>
      <c r="R156" s="133"/>
      <c r="S156" s="133"/>
      <c r="T156" s="133"/>
      <c r="U156" s="141"/>
    </row>
    <row r="157" spans="14:21" x14ac:dyDescent="0.2">
      <c r="N157" s="130"/>
      <c r="O157" s="142"/>
      <c r="P157" s="124"/>
      <c r="Q157" s="92"/>
      <c r="R157" s="133"/>
      <c r="S157" s="133"/>
      <c r="T157" s="133"/>
      <c r="U157" s="141"/>
    </row>
    <row r="158" spans="14:21" x14ac:dyDescent="0.2">
      <c r="N158" s="130"/>
      <c r="O158" s="142"/>
      <c r="P158" s="124"/>
      <c r="Q158" s="92"/>
      <c r="R158" s="133"/>
      <c r="S158" s="133"/>
      <c r="T158" s="133"/>
      <c r="U158" s="141"/>
    </row>
    <row r="159" spans="14:21" x14ac:dyDescent="0.2">
      <c r="N159" s="130"/>
      <c r="O159" s="142"/>
      <c r="P159" s="124"/>
      <c r="Q159" s="92"/>
      <c r="R159" s="133"/>
      <c r="S159" s="133"/>
      <c r="T159" s="133"/>
      <c r="U159" s="141"/>
    </row>
    <row r="160" spans="14:21" x14ac:dyDescent="0.2">
      <c r="N160" s="130"/>
      <c r="O160" s="142"/>
      <c r="P160" s="124"/>
      <c r="Q160" s="92"/>
      <c r="R160" s="133"/>
      <c r="S160" s="133"/>
      <c r="T160" s="133"/>
      <c r="U160" s="141"/>
    </row>
    <row r="161" spans="14:21" x14ac:dyDescent="0.2">
      <c r="N161" s="130"/>
      <c r="O161" s="142"/>
      <c r="P161" s="124"/>
      <c r="Q161" s="92"/>
      <c r="R161" s="133"/>
      <c r="S161" s="133"/>
      <c r="T161" s="133"/>
      <c r="U161" s="141"/>
    </row>
    <row r="162" spans="14:21" x14ac:dyDescent="0.2">
      <c r="N162" s="130"/>
      <c r="O162" s="142"/>
      <c r="P162" s="124"/>
      <c r="Q162" s="92"/>
      <c r="R162" s="133"/>
      <c r="S162" s="133"/>
      <c r="T162" s="133"/>
      <c r="U162" s="141"/>
    </row>
    <row r="163" spans="14:21" x14ac:dyDescent="0.2">
      <c r="N163" s="130"/>
      <c r="O163" s="142"/>
      <c r="P163" s="124"/>
      <c r="Q163" s="92"/>
      <c r="R163" s="133"/>
      <c r="S163" s="133"/>
      <c r="T163" s="133"/>
      <c r="U163" s="141"/>
    </row>
    <row r="164" spans="14:21" x14ac:dyDescent="0.2">
      <c r="N164" s="130"/>
      <c r="O164" s="142"/>
      <c r="P164" s="124"/>
      <c r="Q164" s="92"/>
      <c r="R164" s="133"/>
      <c r="S164" s="133"/>
      <c r="T164" s="133"/>
      <c r="U164" s="141"/>
    </row>
    <row r="165" spans="14:21" x14ac:dyDescent="0.2">
      <c r="N165" s="130"/>
      <c r="O165" s="142"/>
      <c r="P165" s="124"/>
      <c r="Q165" s="92"/>
      <c r="R165" s="133"/>
      <c r="S165" s="133"/>
      <c r="T165" s="133"/>
      <c r="U165" s="141"/>
    </row>
    <row r="166" spans="14:21" x14ac:dyDescent="0.2">
      <c r="N166" s="130"/>
      <c r="O166" s="142"/>
      <c r="P166" s="124"/>
      <c r="Q166" s="92"/>
      <c r="R166" s="133"/>
      <c r="S166" s="133"/>
      <c r="T166" s="133"/>
      <c r="U166" s="141"/>
    </row>
    <row r="167" spans="14:21" x14ac:dyDescent="0.2">
      <c r="N167" s="130"/>
      <c r="O167" s="142"/>
      <c r="P167" s="124"/>
      <c r="Q167" s="92"/>
      <c r="R167" s="133"/>
      <c r="S167" s="133"/>
      <c r="T167" s="133"/>
      <c r="U167" s="141"/>
    </row>
    <row r="168" spans="14:21" x14ac:dyDescent="0.2">
      <c r="N168" s="130"/>
      <c r="O168" s="142"/>
      <c r="P168" s="124"/>
      <c r="Q168" s="92"/>
      <c r="R168" s="133"/>
      <c r="S168" s="133"/>
      <c r="T168" s="133"/>
      <c r="U168" s="141"/>
    </row>
    <row r="169" spans="14:21" x14ac:dyDescent="0.2">
      <c r="N169" s="130"/>
      <c r="O169" s="142"/>
      <c r="P169" s="124"/>
      <c r="Q169" s="92"/>
      <c r="R169" s="133"/>
      <c r="S169" s="133"/>
      <c r="T169" s="133"/>
      <c r="U169" s="141"/>
    </row>
    <row r="170" spans="14:21" x14ac:dyDescent="0.2">
      <c r="N170" s="130"/>
      <c r="O170" s="142"/>
      <c r="P170" s="124"/>
      <c r="Q170" s="92"/>
      <c r="R170" s="133"/>
      <c r="S170" s="133"/>
      <c r="T170" s="133"/>
      <c r="U170" s="141"/>
    </row>
    <row r="171" spans="14:21" x14ac:dyDescent="0.2">
      <c r="N171" s="130"/>
      <c r="O171" s="160"/>
      <c r="P171" s="128"/>
      <c r="Q171" s="100"/>
      <c r="R171" s="133"/>
      <c r="S171" s="133"/>
      <c r="T171" s="133"/>
      <c r="U171" s="141"/>
    </row>
    <row r="172" spans="14:21" x14ac:dyDescent="0.2">
      <c r="N172" s="161"/>
      <c r="O172" s="162"/>
      <c r="P172" s="162"/>
      <c r="Q172" s="162"/>
      <c r="R172" s="162"/>
      <c r="S172" s="162"/>
      <c r="T172" s="162"/>
      <c r="U172" s="163"/>
    </row>
  </sheetData>
  <conditionalFormatting sqref="O65:O171">
    <cfRule type="expression" dxfId="0" priority="1">
      <formula>ISERROR(O65)</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103"/>
  <sheetViews>
    <sheetView workbookViewId="0">
      <selection activeCell="F2" sqref="F2"/>
    </sheetView>
  </sheetViews>
  <sheetFormatPr baseColWidth="10" defaultColWidth="8.83203125" defaultRowHeight="16" x14ac:dyDescent="0.2"/>
  <cols>
    <col min="5" max="5" width="18" bestFit="1" customWidth="1"/>
    <col min="6" max="6" width="19.5" bestFit="1" customWidth="1"/>
  </cols>
  <sheetData>
    <row r="1" spans="1:6" ht="70" customHeight="1" x14ac:dyDescent="0.2">
      <c r="A1" s="1">
        <v>1</v>
      </c>
      <c r="B1" t="s">
        <v>0</v>
      </c>
    </row>
    <row r="2" spans="1:6" x14ac:dyDescent="0.2">
      <c r="B2" t="s">
        <v>1</v>
      </c>
      <c r="C2" t="s">
        <v>19</v>
      </c>
      <c r="D2" t="s">
        <v>112</v>
      </c>
      <c r="E2" t="s">
        <v>176</v>
      </c>
      <c r="F2" t="s">
        <v>177</v>
      </c>
    </row>
    <row r="3" spans="1:6" x14ac:dyDescent="0.2">
      <c r="B3" s="51" t="s">
        <v>2</v>
      </c>
      <c r="C3" s="170">
        <f>Current_Calc!$E$5</f>
        <v>106.13151616017062</v>
      </c>
      <c r="D3" s="170">
        <f>Proposed_Calc!$E$5</f>
        <v>106.13151616017062</v>
      </c>
      <c r="E3" s="306">
        <f>Current_Calc!$L$12</f>
        <v>2</v>
      </c>
      <c r="F3" s="258">
        <f>Proposed_Calc!$L$12</f>
        <v>2</v>
      </c>
    </row>
    <row r="4" spans="1:6" x14ac:dyDescent="0.2">
      <c r="B4" s="52">
        <v>1</v>
      </c>
      <c r="C4" s="168">
        <f t="dataTable" ref="C4:F103" dt2D="0" dtr="0" r1="A1"/>
        <v>106.13151616017062</v>
      </c>
      <c r="D4" s="168">
        <v>106.13151616017062</v>
      </c>
      <c r="E4" s="168">
        <v>2</v>
      </c>
      <c r="F4" s="54">
        <v>2</v>
      </c>
    </row>
    <row r="5" spans="1:6" x14ac:dyDescent="0.2">
      <c r="B5" s="52">
        <v>2</v>
      </c>
      <c r="C5" s="168">
        <v>0</v>
      </c>
      <c r="D5" s="168">
        <v>0</v>
      </c>
      <c r="E5" s="168">
        <v>0</v>
      </c>
      <c r="F5" s="54">
        <v>0</v>
      </c>
    </row>
    <row r="6" spans="1:6" x14ac:dyDescent="0.2">
      <c r="B6" s="52">
        <v>3</v>
      </c>
      <c r="C6" s="168">
        <v>167.57177093625813</v>
      </c>
      <c r="D6" s="168">
        <v>167.57177093625813</v>
      </c>
      <c r="E6" s="168">
        <v>2</v>
      </c>
      <c r="F6" s="54">
        <v>2</v>
      </c>
    </row>
    <row r="7" spans="1:6" x14ac:dyDescent="0.2">
      <c r="B7" s="52">
        <v>4</v>
      </c>
      <c r="C7" s="168">
        <v>46.214456756163656</v>
      </c>
      <c r="D7" s="168">
        <v>46.214456756163656</v>
      </c>
      <c r="E7" s="168">
        <v>1</v>
      </c>
      <c r="F7" s="54">
        <v>1</v>
      </c>
    </row>
    <row r="8" spans="1:6" x14ac:dyDescent="0.2">
      <c r="B8" s="52">
        <v>5</v>
      </c>
      <c r="C8" s="168">
        <v>19.994165134043879</v>
      </c>
      <c r="D8" s="168">
        <v>19.994165134043879</v>
      </c>
      <c r="E8" s="168">
        <v>1</v>
      </c>
      <c r="F8" s="54">
        <v>1</v>
      </c>
    </row>
    <row r="9" spans="1:6" x14ac:dyDescent="0.2">
      <c r="B9" s="52">
        <v>6</v>
      </c>
      <c r="C9" s="168">
        <v>0</v>
      </c>
      <c r="D9" s="168">
        <v>0</v>
      </c>
      <c r="E9" s="168">
        <v>0</v>
      </c>
      <c r="F9" s="54">
        <v>0</v>
      </c>
    </row>
    <row r="10" spans="1:6" x14ac:dyDescent="0.2">
      <c r="B10" s="52">
        <v>7</v>
      </c>
      <c r="C10" s="168">
        <v>0</v>
      </c>
      <c r="D10" s="168">
        <v>0</v>
      </c>
      <c r="E10" s="168">
        <v>0</v>
      </c>
      <c r="F10" s="54">
        <v>0</v>
      </c>
    </row>
    <row r="11" spans="1:6" x14ac:dyDescent="0.2">
      <c r="B11" s="52">
        <v>8</v>
      </c>
      <c r="C11" s="168">
        <v>0</v>
      </c>
      <c r="D11" s="168">
        <v>0</v>
      </c>
      <c r="E11" s="168">
        <v>0</v>
      </c>
      <c r="F11" s="54">
        <v>0</v>
      </c>
    </row>
    <row r="12" spans="1:6" x14ac:dyDescent="0.2">
      <c r="B12" s="52">
        <v>9</v>
      </c>
      <c r="C12" s="168">
        <v>97.475899069877855</v>
      </c>
      <c r="D12" s="168">
        <v>97.475899069877855</v>
      </c>
      <c r="E12" s="168">
        <v>1</v>
      </c>
      <c r="F12" s="54">
        <v>1</v>
      </c>
    </row>
    <row r="13" spans="1:6" x14ac:dyDescent="0.2">
      <c r="B13" s="52">
        <v>10</v>
      </c>
      <c r="C13" s="168">
        <v>55.339809523836735</v>
      </c>
      <c r="D13" s="168">
        <v>55.339809523836735</v>
      </c>
      <c r="E13" s="168">
        <v>1</v>
      </c>
      <c r="F13" s="54">
        <v>1</v>
      </c>
    </row>
    <row r="14" spans="1:6" x14ac:dyDescent="0.2">
      <c r="B14" s="52">
        <v>11</v>
      </c>
      <c r="C14" s="168">
        <v>140.33925241655524</v>
      </c>
      <c r="D14" s="168">
        <v>140.33925241655524</v>
      </c>
      <c r="E14" s="168">
        <v>1</v>
      </c>
      <c r="F14" s="54">
        <v>1</v>
      </c>
    </row>
    <row r="15" spans="1:6" x14ac:dyDescent="0.2">
      <c r="B15" s="52">
        <v>12</v>
      </c>
      <c r="C15" s="168">
        <v>310.79954553395095</v>
      </c>
      <c r="D15" s="168">
        <v>310.79954553395095</v>
      </c>
      <c r="E15" s="168">
        <v>3</v>
      </c>
      <c r="F15" s="54">
        <v>3</v>
      </c>
    </row>
    <row r="16" spans="1:6" x14ac:dyDescent="0.2">
      <c r="B16" s="52">
        <v>13</v>
      </c>
      <c r="C16" s="168">
        <v>24.024275233362797</v>
      </c>
      <c r="D16" s="168">
        <v>24.024275233362797</v>
      </c>
      <c r="E16" s="168">
        <v>1</v>
      </c>
      <c r="F16" s="54">
        <v>1</v>
      </c>
    </row>
    <row r="17" spans="2:6" x14ac:dyDescent="0.2">
      <c r="B17" s="52">
        <v>14</v>
      </c>
      <c r="C17" s="168">
        <v>9.6329698264750903</v>
      </c>
      <c r="D17" s="168">
        <v>9.6329698264750903</v>
      </c>
      <c r="E17" s="168">
        <v>1</v>
      </c>
      <c r="F17" s="54">
        <v>1</v>
      </c>
    </row>
    <row r="18" spans="2:6" x14ac:dyDescent="0.2">
      <c r="B18" s="52">
        <v>15</v>
      </c>
      <c r="C18" s="168">
        <v>34.136523767741636</v>
      </c>
      <c r="D18" s="168">
        <v>34.136523767741636</v>
      </c>
      <c r="E18" s="168">
        <v>1</v>
      </c>
      <c r="F18" s="54">
        <v>1</v>
      </c>
    </row>
    <row r="19" spans="2:6" x14ac:dyDescent="0.2">
      <c r="B19" s="52">
        <v>16</v>
      </c>
      <c r="C19" s="168">
        <v>48.021219878067235</v>
      </c>
      <c r="D19" s="168">
        <v>48.021219878067235</v>
      </c>
      <c r="E19" s="168">
        <v>1</v>
      </c>
      <c r="F19" s="54">
        <v>1</v>
      </c>
    </row>
    <row r="20" spans="2:6" x14ac:dyDescent="0.2">
      <c r="B20" s="52">
        <v>17</v>
      </c>
      <c r="C20" s="168">
        <v>0</v>
      </c>
      <c r="D20" s="168">
        <v>0</v>
      </c>
      <c r="E20" s="168">
        <v>0</v>
      </c>
      <c r="F20" s="54">
        <v>0</v>
      </c>
    </row>
    <row r="21" spans="2:6" x14ac:dyDescent="0.2">
      <c r="B21" s="52">
        <v>18</v>
      </c>
      <c r="C21" s="168">
        <v>136.07476532010156</v>
      </c>
      <c r="D21" s="168">
        <v>136.07476532010156</v>
      </c>
      <c r="E21" s="168">
        <v>1</v>
      </c>
      <c r="F21" s="54">
        <v>1</v>
      </c>
    </row>
    <row r="22" spans="2:6" x14ac:dyDescent="0.2">
      <c r="B22" s="52">
        <v>19</v>
      </c>
      <c r="C22" s="168">
        <v>151.12889654935884</v>
      </c>
      <c r="D22" s="168">
        <v>151.12889654935884</v>
      </c>
      <c r="E22" s="168">
        <v>2</v>
      </c>
      <c r="F22" s="54">
        <v>2</v>
      </c>
    </row>
    <row r="23" spans="2:6" x14ac:dyDescent="0.2">
      <c r="B23" s="52">
        <v>20</v>
      </c>
      <c r="C23" s="168">
        <v>166.37081580891936</v>
      </c>
      <c r="D23" s="168">
        <v>166.37081580891936</v>
      </c>
      <c r="E23" s="168">
        <v>2</v>
      </c>
      <c r="F23" s="54">
        <v>2</v>
      </c>
    </row>
    <row r="24" spans="2:6" x14ac:dyDescent="0.2">
      <c r="B24" s="52">
        <v>21</v>
      </c>
      <c r="C24" s="168">
        <v>354.93841678301163</v>
      </c>
      <c r="D24" s="168">
        <v>354.93841678301163</v>
      </c>
      <c r="E24" s="168">
        <v>4</v>
      </c>
      <c r="F24" s="54">
        <v>4</v>
      </c>
    </row>
    <row r="25" spans="2:6" x14ac:dyDescent="0.2">
      <c r="B25" s="52">
        <v>22</v>
      </c>
      <c r="C25" s="168">
        <v>155.74660679847506</v>
      </c>
      <c r="D25" s="168">
        <v>155.74660679847506</v>
      </c>
      <c r="E25" s="168">
        <v>2</v>
      </c>
      <c r="F25" s="54">
        <v>2</v>
      </c>
    </row>
    <row r="26" spans="2:6" x14ac:dyDescent="0.2">
      <c r="B26" s="52">
        <v>23</v>
      </c>
      <c r="C26" s="168">
        <v>130.14074430170439</v>
      </c>
      <c r="D26" s="168">
        <v>130.14074430170439</v>
      </c>
      <c r="E26" s="168">
        <v>2</v>
      </c>
      <c r="F26" s="54">
        <v>2</v>
      </c>
    </row>
    <row r="27" spans="2:6" x14ac:dyDescent="0.2">
      <c r="B27" s="52">
        <v>24</v>
      </c>
      <c r="C27" s="168">
        <v>162.29999190774319</v>
      </c>
      <c r="D27" s="168">
        <v>162.29999190774319</v>
      </c>
      <c r="E27" s="168">
        <v>3</v>
      </c>
      <c r="F27" s="54">
        <v>3</v>
      </c>
    </row>
    <row r="28" spans="2:6" x14ac:dyDescent="0.2">
      <c r="B28" s="52">
        <v>25</v>
      </c>
      <c r="C28" s="168">
        <v>77.215730636436916</v>
      </c>
      <c r="D28" s="168">
        <v>77.215730636436916</v>
      </c>
      <c r="E28" s="168">
        <v>1</v>
      </c>
      <c r="F28" s="54">
        <v>1</v>
      </c>
    </row>
    <row r="29" spans="2:6" x14ac:dyDescent="0.2">
      <c r="B29" s="52">
        <v>26</v>
      </c>
      <c r="C29" s="168">
        <v>122.52779732019803</v>
      </c>
      <c r="D29" s="168">
        <v>122.52779732019803</v>
      </c>
      <c r="E29" s="168">
        <v>3</v>
      </c>
      <c r="F29" s="54">
        <v>3</v>
      </c>
    </row>
    <row r="30" spans="2:6" x14ac:dyDescent="0.2">
      <c r="B30" s="52">
        <v>27</v>
      </c>
      <c r="C30" s="168">
        <v>119.27601751795561</v>
      </c>
      <c r="D30" s="168">
        <v>119.27601751795561</v>
      </c>
      <c r="E30" s="168">
        <v>2</v>
      </c>
      <c r="F30" s="54">
        <v>2</v>
      </c>
    </row>
    <row r="31" spans="2:6" x14ac:dyDescent="0.2">
      <c r="B31" s="52">
        <v>28</v>
      </c>
      <c r="C31" s="168">
        <v>18.602464417747527</v>
      </c>
      <c r="D31" s="168">
        <v>18.602464417747527</v>
      </c>
      <c r="E31" s="168">
        <v>1</v>
      </c>
      <c r="F31" s="54">
        <v>1</v>
      </c>
    </row>
    <row r="32" spans="2:6" x14ac:dyDescent="0.2">
      <c r="B32" s="52">
        <v>29</v>
      </c>
      <c r="C32" s="168">
        <v>174.87243068106164</v>
      </c>
      <c r="D32" s="168">
        <v>174.87243068106164</v>
      </c>
      <c r="E32" s="168">
        <v>3</v>
      </c>
      <c r="F32" s="54">
        <v>3</v>
      </c>
    </row>
    <row r="33" spans="2:6" x14ac:dyDescent="0.2">
      <c r="B33" s="52">
        <v>30</v>
      </c>
      <c r="C33" s="168">
        <v>205.45538775937376</v>
      </c>
      <c r="D33" s="168">
        <v>205.45538775937376</v>
      </c>
      <c r="E33" s="168">
        <v>3</v>
      </c>
      <c r="F33" s="54">
        <v>3</v>
      </c>
    </row>
    <row r="34" spans="2:6" x14ac:dyDescent="0.2">
      <c r="B34" s="52">
        <v>31</v>
      </c>
      <c r="C34" s="168">
        <v>0</v>
      </c>
      <c r="D34" s="168">
        <v>0</v>
      </c>
      <c r="E34" s="168">
        <v>0</v>
      </c>
      <c r="F34" s="54">
        <v>0</v>
      </c>
    </row>
    <row r="35" spans="2:6" x14ac:dyDescent="0.2">
      <c r="B35" s="52">
        <v>32</v>
      </c>
      <c r="C35" s="168">
        <v>0</v>
      </c>
      <c r="D35" s="168">
        <v>0</v>
      </c>
      <c r="E35" s="168">
        <v>0</v>
      </c>
      <c r="F35" s="54">
        <v>0</v>
      </c>
    </row>
    <row r="36" spans="2:6" x14ac:dyDescent="0.2">
      <c r="B36" s="52">
        <v>33</v>
      </c>
      <c r="C36" s="168">
        <v>114.66186010110711</v>
      </c>
      <c r="D36" s="168">
        <v>114.66186010110711</v>
      </c>
      <c r="E36" s="168">
        <v>1</v>
      </c>
      <c r="F36" s="54">
        <v>1</v>
      </c>
    </row>
    <row r="37" spans="2:6" x14ac:dyDescent="0.2">
      <c r="B37" s="52">
        <v>34</v>
      </c>
      <c r="C37" s="168">
        <v>156.99973089776284</v>
      </c>
      <c r="D37" s="168">
        <v>156.99973089776284</v>
      </c>
      <c r="E37" s="168">
        <v>2</v>
      </c>
      <c r="F37" s="54">
        <v>2</v>
      </c>
    </row>
    <row r="38" spans="2:6" x14ac:dyDescent="0.2">
      <c r="B38" s="52">
        <v>35</v>
      </c>
      <c r="C38" s="168">
        <v>83.898278102034851</v>
      </c>
      <c r="D38" s="168">
        <v>83.898278102034851</v>
      </c>
      <c r="E38" s="168">
        <v>2</v>
      </c>
      <c r="F38" s="54">
        <v>2</v>
      </c>
    </row>
    <row r="39" spans="2:6" x14ac:dyDescent="0.2">
      <c r="B39" s="52">
        <v>36</v>
      </c>
      <c r="C39" s="168">
        <v>0</v>
      </c>
      <c r="D39" s="168">
        <v>0</v>
      </c>
      <c r="E39" s="168">
        <v>0</v>
      </c>
      <c r="F39" s="54">
        <v>0</v>
      </c>
    </row>
    <row r="40" spans="2:6" x14ac:dyDescent="0.2">
      <c r="B40" s="52">
        <v>37</v>
      </c>
      <c r="C40" s="168">
        <v>0</v>
      </c>
      <c r="D40" s="168">
        <v>0</v>
      </c>
      <c r="E40" s="168">
        <v>0</v>
      </c>
      <c r="F40" s="54">
        <v>0</v>
      </c>
    </row>
    <row r="41" spans="2:6" x14ac:dyDescent="0.2">
      <c r="B41" s="52">
        <v>38</v>
      </c>
      <c r="C41" s="168">
        <v>0</v>
      </c>
      <c r="D41" s="168">
        <v>0</v>
      </c>
      <c r="E41" s="168">
        <v>0</v>
      </c>
      <c r="F41" s="54">
        <v>0</v>
      </c>
    </row>
    <row r="42" spans="2:6" x14ac:dyDescent="0.2">
      <c r="B42" s="52">
        <v>39</v>
      </c>
      <c r="C42" s="168">
        <v>0</v>
      </c>
      <c r="D42" s="168">
        <v>0</v>
      </c>
      <c r="E42" s="168">
        <v>0</v>
      </c>
      <c r="F42" s="54">
        <v>0</v>
      </c>
    </row>
    <row r="43" spans="2:6" x14ac:dyDescent="0.2">
      <c r="B43" s="52">
        <v>40</v>
      </c>
      <c r="C43" s="168">
        <v>198.51523293779567</v>
      </c>
      <c r="D43" s="168">
        <v>198.51523293779567</v>
      </c>
      <c r="E43" s="168">
        <v>2</v>
      </c>
      <c r="F43" s="54">
        <v>2</v>
      </c>
    </row>
    <row r="44" spans="2:6" x14ac:dyDescent="0.2">
      <c r="B44" s="52">
        <v>41</v>
      </c>
      <c r="C44" s="168">
        <v>100.61457344943449</v>
      </c>
      <c r="D44" s="168">
        <v>100.61457344943449</v>
      </c>
      <c r="E44" s="168">
        <v>1</v>
      </c>
      <c r="F44" s="54">
        <v>1</v>
      </c>
    </row>
    <row r="45" spans="2:6" x14ac:dyDescent="0.2">
      <c r="B45" s="52">
        <v>42</v>
      </c>
      <c r="C45" s="168">
        <v>135.94818737708277</v>
      </c>
      <c r="D45" s="168">
        <v>135.94818737708277</v>
      </c>
      <c r="E45" s="168">
        <v>2</v>
      </c>
      <c r="F45" s="54">
        <v>2</v>
      </c>
    </row>
    <row r="46" spans="2:6" x14ac:dyDescent="0.2">
      <c r="B46" s="52">
        <v>43</v>
      </c>
      <c r="C46" s="168">
        <v>0</v>
      </c>
      <c r="D46" s="168">
        <v>0</v>
      </c>
      <c r="E46" s="168">
        <v>0</v>
      </c>
      <c r="F46" s="54">
        <v>0</v>
      </c>
    </row>
    <row r="47" spans="2:6" x14ac:dyDescent="0.2">
      <c r="B47" s="52">
        <v>44</v>
      </c>
      <c r="C47" s="168">
        <v>0</v>
      </c>
      <c r="D47" s="168">
        <v>0</v>
      </c>
      <c r="E47" s="168">
        <v>0</v>
      </c>
      <c r="F47" s="54">
        <v>0</v>
      </c>
    </row>
    <row r="48" spans="2:6" x14ac:dyDescent="0.2">
      <c r="B48" s="52">
        <v>45</v>
      </c>
      <c r="C48" s="168">
        <v>164.87051147667682</v>
      </c>
      <c r="D48" s="168">
        <v>164.87051147667682</v>
      </c>
      <c r="E48" s="168">
        <v>3</v>
      </c>
      <c r="F48" s="54">
        <v>3</v>
      </c>
    </row>
    <row r="49" spans="2:6" x14ac:dyDescent="0.2">
      <c r="B49" s="52">
        <v>46</v>
      </c>
      <c r="C49" s="168">
        <v>44.390988133607038</v>
      </c>
      <c r="D49" s="168">
        <v>44.390988133607038</v>
      </c>
      <c r="E49" s="168">
        <v>1</v>
      </c>
      <c r="F49" s="54">
        <v>1</v>
      </c>
    </row>
    <row r="50" spans="2:6" x14ac:dyDescent="0.2">
      <c r="B50" s="52">
        <v>47</v>
      </c>
      <c r="C50" s="168">
        <v>66.020420931846374</v>
      </c>
      <c r="D50" s="168">
        <v>66.020420931846374</v>
      </c>
      <c r="E50" s="168">
        <v>1</v>
      </c>
      <c r="F50" s="54">
        <v>1</v>
      </c>
    </row>
    <row r="51" spans="2:6" x14ac:dyDescent="0.2">
      <c r="B51" s="52">
        <v>48</v>
      </c>
      <c r="C51" s="168">
        <v>200.26661807516908</v>
      </c>
      <c r="D51" s="168">
        <v>200.26661807516908</v>
      </c>
      <c r="E51" s="168">
        <v>4</v>
      </c>
      <c r="F51" s="54">
        <v>4</v>
      </c>
    </row>
    <row r="52" spans="2:6" x14ac:dyDescent="0.2">
      <c r="B52" s="52">
        <v>49</v>
      </c>
      <c r="C52" s="168">
        <v>255.87961231862346</v>
      </c>
      <c r="D52" s="168">
        <v>255.87961231862346</v>
      </c>
      <c r="E52" s="168">
        <v>4</v>
      </c>
      <c r="F52" s="54">
        <v>4</v>
      </c>
    </row>
    <row r="53" spans="2:6" x14ac:dyDescent="0.2">
      <c r="B53" s="52">
        <v>50</v>
      </c>
      <c r="C53" s="168">
        <v>83.58488163944817</v>
      </c>
      <c r="D53" s="168">
        <v>83.58488163944817</v>
      </c>
      <c r="E53" s="168">
        <v>3</v>
      </c>
      <c r="F53" s="54">
        <v>3</v>
      </c>
    </row>
    <row r="54" spans="2:6" x14ac:dyDescent="0.2">
      <c r="B54" s="52">
        <v>51</v>
      </c>
      <c r="C54" s="168">
        <v>451.5033664405633</v>
      </c>
      <c r="D54" s="168">
        <v>451.5033664405633</v>
      </c>
      <c r="E54" s="168">
        <v>4</v>
      </c>
      <c r="F54" s="54">
        <v>4</v>
      </c>
    </row>
    <row r="55" spans="2:6" x14ac:dyDescent="0.2">
      <c r="B55" s="52">
        <v>52</v>
      </c>
      <c r="C55" s="168">
        <v>0</v>
      </c>
      <c r="D55" s="168">
        <v>0</v>
      </c>
      <c r="E55" s="168">
        <v>0</v>
      </c>
      <c r="F55" s="54">
        <v>0</v>
      </c>
    </row>
    <row r="56" spans="2:6" x14ac:dyDescent="0.2">
      <c r="B56" s="52">
        <v>53</v>
      </c>
      <c r="C56" s="168">
        <v>163.86687396063181</v>
      </c>
      <c r="D56" s="168">
        <v>163.86687396063181</v>
      </c>
      <c r="E56" s="168">
        <v>2</v>
      </c>
      <c r="F56" s="54">
        <v>2</v>
      </c>
    </row>
    <row r="57" spans="2:6" x14ac:dyDescent="0.2">
      <c r="B57" s="52">
        <v>54</v>
      </c>
      <c r="C57" s="168">
        <v>67.598405986042749</v>
      </c>
      <c r="D57" s="168">
        <v>67.598405986042749</v>
      </c>
      <c r="E57" s="168">
        <v>1</v>
      </c>
      <c r="F57" s="54">
        <v>1</v>
      </c>
    </row>
    <row r="58" spans="2:6" x14ac:dyDescent="0.2">
      <c r="B58" s="52">
        <v>55</v>
      </c>
      <c r="C58" s="168">
        <v>138.80789861577782</v>
      </c>
      <c r="D58" s="168">
        <v>138.80789861577782</v>
      </c>
      <c r="E58" s="168">
        <v>1</v>
      </c>
      <c r="F58" s="54">
        <v>1</v>
      </c>
    </row>
    <row r="59" spans="2:6" x14ac:dyDescent="0.2">
      <c r="B59" s="52">
        <v>56</v>
      </c>
      <c r="C59" s="168">
        <v>36.798920946725865</v>
      </c>
      <c r="D59" s="168">
        <v>36.798920946725865</v>
      </c>
      <c r="E59" s="168">
        <v>1</v>
      </c>
      <c r="F59" s="54">
        <v>1</v>
      </c>
    </row>
    <row r="60" spans="2:6" x14ac:dyDescent="0.2">
      <c r="B60" s="52">
        <v>57</v>
      </c>
      <c r="C60" s="168">
        <v>233.98491783702633</v>
      </c>
      <c r="D60" s="168">
        <v>233.98491783702633</v>
      </c>
      <c r="E60" s="168">
        <v>3</v>
      </c>
      <c r="F60" s="54">
        <v>3</v>
      </c>
    </row>
    <row r="61" spans="2:6" x14ac:dyDescent="0.2">
      <c r="B61" s="52">
        <v>58</v>
      </c>
      <c r="C61" s="168">
        <v>171.34585092038154</v>
      </c>
      <c r="D61" s="168">
        <v>171.34585092038154</v>
      </c>
      <c r="E61" s="168">
        <v>2</v>
      </c>
      <c r="F61" s="54">
        <v>2</v>
      </c>
    </row>
    <row r="62" spans="2:6" x14ac:dyDescent="0.2">
      <c r="B62" s="52">
        <v>59</v>
      </c>
      <c r="C62" s="168">
        <v>0</v>
      </c>
      <c r="D62" s="168">
        <v>0</v>
      </c>
      <c r="E62" s="168">
        <v>0</v>
      </c>
      <c r="F62" s="54">
        <v>0</v>
      </c>
    </row>
    <row r="63" spans="2:6" x14ac:dyDescent="0.2">
      <c r="B63" s="52">
        <v>60</v>
      </c>
      <c r="C63" s="168">
        <v>22.929950088978217</v>
      </c>
      <c r="D63" s="168">
        <v>22.929950088978217</v>
      </c>
      <c r="E63" s="168">
        <v>1</v>
      </c>
      <c r="F63" s="54">
        <v>1</v>
      </c>
    </row>
    <row r="64" spans="2:6" x14ac:dyDescent="0.2">
      <c r="B64" s="52">
        <v>61</v>
      </c>
      <c r="C64" s="168">
        <v>202.70963267559338</v>
      </c>
      <c r="D64" s="168">
        <v>202.70963267559338</v>
      </c>
      <c r="E64" s="168">
        <v>4</v>
      </c>
      <c r="F64" s="54">
        <v>4</v>
      </c>
    </row>
    <row r="65" spans="2:6" x14ac:dyDescent="0.2">
      <c r="B65" s="52">
        <v>62</v>
      </c>
      <c r="C65" s="168">
        <v>122.38730039239498</v>
      </c>
      <c r="D65" s="168">
        <v>122.38730039239498</v>
      </c>
      <c r="E65" s="168">
        <v>2</v>
      </c>
      <c r="F65" s="54">
        <v>2</v>
      </c>
    </row>
    <row r="66" spans="2:6" x14ac:dyDescent="0.2">
      <c r="B66" s="52">
        <v>63</v>
      </c>
      <c r="C66" s="168">
        <v>127.54900768444386</v>
      </c>
      <c r="D66" s="168">
        <v>127.54900768444386</v>
      </c>
      <c r="E66" s="168">
        <v>2</v>
      </c>
      <c r="F66" s="54">
        <v>2</v>
      </c>
    </row>
    <row r="67" spans="2:6" x14ac:dyDescent="0.2">
      <c r="B67" s="52">
        <v>64</v>
      </c>
      <c r="C67" s="168">
        <v>0</v>
      </c>
      <c r="D67" s="168">
        <v>0</v>
      </c>
      <c r="E67" s="168">
        <v>0</v>
      </c>
      <c r="F67" s="54">
        <v>0</v>
      </c>
    </row>
    <row r="68" spans="2:6" x14ac:dyDescent="0.2">
      <c r="B68" s="52">
        <v>65</v>
      </c>
      <c r="C68" s="168">
        <v>187.52032773072554</v>
      </c>
      <c r="D68" s="168">
        <v>187.52032773072554</v>
      </c>
      <c r="E68" s="168">
        <v>3</v>
      </c>
      <c r="F68" s="54">
        <v>3</v>
      </c>
    </row>
    <row r="69" spans="2:6" x14ac:dyDescent="0.2">
      <c r="B69" s="52">
        <v>66</v>
      </c>
      <c r="C69" s="168">
        <v>16.904430719758228</v>
      </c>
      <c r="D69" s="168">
        <v>16.904430719758228</v>
      </c>
      <c r="E69" s="168">
        <v>1</v>
      </c>
      <c r="F69" s="54">
        <v>1</v>
      </c>
    </row>
    <row r="70" spans="2:6" x14ac:dyDescent="0.2">
      <c r="B70" s="52">
        <v>67</v>
      </c>
      <c r="C70" s="168">
        <v>195.4003700285522</v>
      </c>
      <c r="D70" s="168">
        <v>195.4003700285522</v>
      </c>
      <c r="E70" s="168">
        <v>2</v>
      </c>
      <c r="F70" s="54">
        <v>2</v>
      </c>
    </row>
    <row r="71" spans="2:6" x14ac:dyDescent="0.2">
      <c r="B71" s="52">
        <v>68</v>
      </c>
      <c r="C71" s="168">
        <v>0</v>
      </c>
      <c r="D71" s="168">
        <v>0</v>
      </c>
      <c r="E71" s="168">
        <v>0</v>
      </c>
      <c r="F71" s="54">
        <v>0</v>
      </c>
    </row>
    <row r="72" spans="2:6" x14ac:dyDescent="0.2">
      <c r="B72" s="52">
        <v>69</v>
      </c>
      <c r="C72" s="168">
        <v>89.557555825060561</v>
      </c>
      <c r="D72" s="168">
        <v>89.557555825060561</v>
      </c>
      <c r="E72" s="168">
        <v>2</v>
      </c>
      <c r="F72" s="54">
        <v>2</v>
      </c>
    </row>
    <row r="73" spans="2:6" x14ac:dyDescent="0.2">
      <c r="B73" s="52">
        <v>70</v>
      </c>
      <c r="C73" s="168">
        <v>19.301545933684043</v>
      </c>
      <c r="D73" s="168">
        <v>19.301545933684043</v>
      </c>
      <c r="E73" s="168">
        <v>1</v>
      </c>
      <c r="F73" s="54">
        <v>1</v>
      </c>
    </row>
    <row r="74" spans="2:6" x14ac:dyDescent="0.2">
      <c r="B74" s="52">
        <v>71</v>
      </c>
      <c r="C74" s="168">
        <v>0</v>
      </c>
      <c r="D74" s="168">
        <v>0</v>
      </c>
      <c r="E74" s="168">
        <v>0</v>
      </c>
      <c r="F74" s="54">
        <v>0</v>
      </c>
    </row>
    <row r="75" spans="2:6" x14ac:dyDescent="0.2">
      <c r="B75" s="52">
        <v>72</v>
      </c>
      <c r="C75" s="168">
        <v>0</v>
      </c>
      <c r="D75" s="168">
        <v>0</v>
      </c>
      <c r="E75" s="168">
        <v>0</v>
      </c>
      <c r="F75" s="54">
        <v>0</v>
      </c>
    </row>
    <row r="76" spans="2:6" x14ac:dyDescent="0.2">
      <c r="B76" s="52">
        <v>73</v>
      </c>
      <c r="C76" s="168">
        <v>383.96561915348258</v>
      </c>
      <c r="D76" s="168">
        <v>383.96561915348258</v>
      </c>
      <c r="E76" s="168">
        <v>4</v>
      </c>
      <c r="F76" s="54">
        <v>4</v>
      </c>
    </row>
    <row r="77" spans="2:6" x14ac:dyDescent="0.2">
      <c r="B77" s="52">
        <v>74</v>
      </c>
      <c r="C77" s="168">
        <v>306.6053656272237</v>
      </c>
      <c r="D77" s="168">
        <v>306.6053656272237</v>
      </c>
      <c r="E77" s="168">
        <v>4</v>
      </c>
      <c r="F77" s="54">
        <v>4</v>
      </c>
    </row>
    <row r="78" spans="2:6" x14ac:dyDescent="0.2">
      <c r="B78" s="52">
        <v>75</v>
      </c>
      <c r="C78" s="168">
        <v>0</v>
      </c>
      <c r="D78" s="168">
        <v>0</v>
      </c>
      <c r="E78" s="168">
        <v>0</v>
      </c>
      <c r="F78" s="54">
        <v>0</v>
      </c>
    </row>
    <row r="79" spans="2:6" x14ac:dyDescent="0.2">
      <c r="B79" s="52">
        <v>76</v>
      </c>
      <c r="C79" s="168">
        <v>243.34969428386162</v>
      </c>
      <c r="D79" s="168">
        <v>243.34969428386162</v>
      </c>
      <c r="E79" s="168">
        <v>2</v>
      </c>
      <c r="F79" s="54">
        <v>2</v>
      </c>
    </row>
    <row r="80" spans="2:6" x14ac:dyDescent="0.2">
      <c r="B80" s="52">
        <v>77</v>
      </c>
      <c r="C80" s="168">
        <v>88.659542541809998</v>
      </c>
      <c r="D80" s="168">
        <v>88.659542541809998</v>
      </c>
      <c r="E80" s="168">
        <v>1</v>
      </c>
      <c r="F80" s="54">
        <v>1</v>
      </c>
    </row>
    <row r="81" spans="2:6" x14ac:dyDescent="0.2">
      <c r="B81" s="52">
        <v>78</v>
      </c>
      <c r="C81" s="168">
        <v>104.19378071273491</v>
      </c>
      <c r="D81" s="168">
        <v>104.19378071273491</v>
      </c>
      <c r="E81" s="168">
        <v>3</v>
      </c>
      <c r="F81" s="54">
        <v>3</v>
      </c>
    </row>
    <row r="82" spans="2:6" x14ac:dyDescent="0.2">
      <c r="B82" s="52">
        <v>79</v>
      </c>
      <c r="C82" s="168">
        <v>0</v>
      </c>
      <c r="D82" s="168">
        <v>0</v>
      </c>
      <c r="E82" s="168">
        <v>0</v>
      </c>
      <c r="F82" s="54">
        <v>0</v>
      </c>
    </row>
    <row r="83" spans="2:6" x14ac:dyDescent="0.2">
      <c r="B83" s="52">
        <v>80</v>
      </c>
      <c r="C83" s="168">
        <v>106.77339799854573</v>
      </c>
      <c r="D83" s="168">
        <v>106.77339799854573</v>
      </c>
      <c r="E83" s="168">
        <v>2</v>
      </c>
      <c r="F83" s="54">
        <v>2</v>
      </c>
    </row>
    <row r="84" spans="2:6" x14ac:dyDescent="0.2">
      <c r="B84" s="52">
        <v>81</v>
      </c>
      <c r="C84" s="168">
        <v>77.517284664488812</v>
      </c>
      <c r="D84" s="168">
        <v>77.517284664488812</v>
      </c>
      <c r="E84" s="168">
        <v>2</v>
      </c>
      <c r="F84" s="54">
        <v>2</v>
      </c>
    </row>
    <row r="85" spans="2:6" x14ac:dyDescent="0.2">
      <c r="B85" s="52">
        <v>82</v>
      </c>
      <c r="C85" s="168">
        <v>0</v>
      </c>
      <c r="D85" s="168">
        <v>0</v>
      </c>
      <c r="E85" s="168">
        <v>0</v>
      </c>
      <c r="F85" s="54">
        <v>0</v>
      </c>
    </row>
    <row r="86" spans="2:6" x14ac:dyDescent="0.2">
      <c r="B86" s="52">
        <v>83</v>
      </c>
      <c r="C86" s="168">
        <v>116.59909595927202</v>
      </c>
      <c r="D86" s="168">
        <v>116.59909595927202</v>
      </c>
      <c r="E86" s="168">
        <v>1</v>
      </c>
      <c r="F86" s="54">
        <v>1</v>
      </c>
    </row>
    <row r="87" spans="2:6" x14ac:dyDescent="0.2">
      <c r="B87" s="52">
        <v>84</v>
      </c>
      <c r="C87" s="168">
        <v>34.157976054340239</v>
      </c>
      <c r="D87" s="168">
        <v>34.157976054340239</v>
      </c>
      <c r="E87" s="168">
        <v>1</v>
      </c>
      <c r="F87" s="54">
        <v>1</v>
      </c>
    </row>
    <row r="88" spans="2:6" x14ac:dyDescent="0.2">
      <c r="B88" s="52">
        <v>85</v>
      </c>
      <c r="C88" s="168">
        <v>24.940971527088085</v>
      </c>
      <c r="D88" s="168">
        <v>24.940971527088085</v>
      </c>
      <c r="E88" s="168">
        <v>1</v>
      </c>
      <c r="F88" s="54">
        <v>1</v>
      </c>
    </row>
    <row r="89" spans="2:6" x14ac:dyDescent="0.2">
      <c r="B89" s="52">
        <v>86</v>
      </c>
      <c r="C89" s="168">
        <v>0</v>
      </c>
      <c r="D89" s="168">
        <v>0</v>
      </c>
      <c r="E89" s="168">
        <v>0</v>
      </c>
      <c r="F89" s="54">
        <v>0</v>
      </c>
    </row>
    <row r="90" spans="2:6" x14ac:dyDescent="0.2">
      <c r="B90" s="52">
        <v>87</v>
      </c>
      <c r="C90" s="168">
        <v>70.354712771304605</v>
      </c>
      <c r="D90" s="168">
        <v>70.354712771304605</v>
      </c>
      <c r="E90" s="168">
        <v>2</v>
      </c>
      <c r="F90" s="54">
        <v>2</v>
      </c>
    </row>
    <row r="91" spans="2:6" x14ac:dyDescent="0.2">
      <c r="B91" s="52">
        <v>88</v>
      </c>
      <c r="C91" s="168">
        <v>219.00205243688234</v>
      </c>
      <c r="D91" s="168">
        <v>219.00205243688234</v>
      </c>
      <c r="E91" s="168">
        <v>3</v>
      </c>
      <c r="F91" s="54">
        <v>3</v>
      </c>
    </row>
    <row r="92" spans="2:6" x14ac:dyDescent="0.2">
      <c r="B92" s="52">
        <v>89</v>
      </c>
      <c r="C92" s="168">
        <v>102.18290643353458</v>
      </c>
      <c r="D92" s="168">
        <v>102.18290643353458</v>
      </c>
      <c r="E92" s="168">
        <v>1</v>
      </c>
      <c r="F92" s="54">
        <v>1</v>
      </c>
    </row>
    <row r="93" spans="2:6" x14ac:dyDescent="0.2">
      <c r="B93" s="52">
        <v>90</v>
      </c>
      <c r="C93" s="168">
        <v>79.748137836338771</v>
      </c>
      <c r="D93" s="168">
        <v>79.748137836338771</v>
      </c>
      <c r="E93" s="168">
        <v>1</v>
      </c>
      <c r="F93" s="54">
        <v>1</v>
      </c>
    </row>
    <row r="94" spans="2:6" x14ac:dyDescent="0.2">
      <c r="B94" s="52">
        <v>91</v>
      </c>
      <c r="C94" s="168">
        <v>0</v>
      </c>
      <c r="D94" s="168">
        <v>0</v>
      </c>
      <c r="E94" s="168">
        <v>0</v>
      </c>
      <c r="F94" s="54">
        <v>0</v>
      </c>
    </row>
    <row r="95" spans="2:6" x14ac:dyDescent="0.2">
      <c r="B95" s="52">
        <v>92</v>
      </c>
      <c r="C95" s="168">
        <v>0</v>
      </c>
      <c r="D95" s="168">
        <v>0</v>
      </c>
      <c r="E95" s="168">
        <v>0</v>
      </c>
      <c r="F95" s="54">
        <v>0</v>
      </c>
    </row>
    <row r="96" spans="2:6" x14ac:dyDescent="0.2">
      <c r="B96" s="52">
        <v>93</v>
      </c>
      <c r="C96" s="168">
        <v>0</v>
      </c>
      <c r="D96" s="168">
        <v>0</v>
      </c>
      <c r="E96" s="168">
        <v>0</v>
      </c>
      <c r="F96" s="54">
        <v>0</v>
      </c>
    </row>
    <row r="97" spans="2:6" x14ac:dyDescent="0.2">
      <c r="B97" s="52">
        <v>94</v>
      </c>
      <c r="C97" s="168">
        <v>28.75233814427822</v>
      </c>
      <c r="D97" s="168">
        <v>28.75233814427822</v>
      </c>
      <c r="E97" s="168">
        <v>1</v>
      </c>
      <c r="F97" s="54">
        <v>1</v>
      </c>
    </row>
    <row r="98" spans="2:6" x14ac:dyDescent="0.2">
      <c r="B98" s="52">
        <v>95</v>
      </c>
      <c r="C98" s="168">
        <v>76.357328683069511</v>
      </c>
      <c r="D98" s="168">
        <v>76.357328683069511</v>
      </c>
      <c r="E98" s="168">
        <v>1</v>
      </c>
      <c r="F98" s="54">
        <v>1</v>
      </c>
    </row>
    <row r="99" spans="2:6" x14ac:dyDescent="0.2">
      <c r="B99" s="52">
        <v>96</v>
      </c>
      <c r="C99" s="168">
        <v>156.5081767722981</v>
      </c>
      <c r="D99" s="168">
        <v>156.5081767722981</v>
      </c>
      <c r="E99" s="168">
        <v>2</v>
      </c>
      <c r="F99" s="54">
        <v>2</v>
      </c>
    </row>
    <row r="100" spans="2:6" x14ac:dyDescent="0.2">
      <c r="B100" s="52">
        <v>97</v>
      </c>
      <c r="C100" s="168">
        <v>183.92117314649195</v>
      </c>
      <c r="D100" s="168">
        <v>183.92117314649195</v>
      </c>
      <c r="E100" s="168">
        <v>2</v>
      </c>
      <c r="F100" s="54">
        <v>2</v>
      </c>
    </row>
    <row r="101" spans="2:6" x14ac:dyDescent="0.2">
      <c r="B101" s="52">
        <v>98</v>
      </c>
      <c r="C101" s="168">
        <v>81.44895394644432</v>
      </c>
      <c r="D101" s="168">
        <v>81.44895394644432</v>
      </c>
      <c r="E101" s="168">
        <v>2</v>
      </c>
      <c r="F101" s="54">
        <v>2</v>
      </c>
    </row>
    <row r="102" spans="2:6" x14ac:dyDescent="0.2">
      <c r="B102" s="52">
        <v>99</v>
      </c>
      <c r="C102" s="168">
        <v>0</v>
      </c>
      <c r="D102" s="168">
        <v>0</v>
      </c>
      <c r="E102" s="168">
        <v>0</v>
      </c>
      <c r="F102" s="54">
        <v>0</v>
      </c>
    </row>
    <row r="103" spans="2:6" x14ac:dyDescent="0.2">
      <c r="B103" s="53">
        <v>100</v>
      </c>
      <c r="C103" s="171">
        <v>197.70384443823093</v>
      </c>
      <c r="D103" s="171">
        <v>197.70384443823093</v>
      </c>
      <c r="E103" s="171">
        <v>2</v>
      </c>
      <c r="F103" s="55">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E426"/>
  <sheetViews>
    <sheetView zoomScale="115" zoomScaleNormal="115" workbookViewId="0">
      <selection activeCell="G27" sqref="G27"/>
    </sheetView>
  </sheetViews>
  <sheetFormatPr baseColWidth="10" defaultColWidth="8.83203125" defaultRowHeight="16" outlineLevelRow="1" x14ac:dyDescent="0.2"/>
  <cols>
    <col min="1" max="1" width="14.33203125" bestFit="1" customWidth="1"/>
    <col min="2" max="2" width="13.33203125" customWidth="1"/>
    <col min="3" max="3" width="15" customWidth="1"/>
    <col min="4" max="4" width="25.33203125" customWidth="1"/>
    <col min="5" max="5" width="25.5" customWidth="1"/>
    <col min="12" max="12" width="11" customWidth="1"/>
  </cols>
  <sheetData>
    <row r="1" spans="1:31" ht="17" thickBot="1" x14ac:dyDescent="0.25">
      <c r="B1" t="s">
        <v>115</v>
      </c>
      <c r="C1" t="s">
        <v>116</v>
      </c>
      <c r="D1" t="s">
        <v>176</v>
      </c>
      <c r="E1" t="s">
        <v>177</v>
      </c>
      <c r="V1" t="s">
        <v>193</v>
      </c>
      <c r="X1" t="s">
        <v>194</v>
      </c>
      <c r="Z1" t="s">
        <v>196</v>
      </c>
    </row>
    <row r="2" spans="1:31" ht="17" thickBot="1" x14ac:dyDescent="0.25">
      <c r="A2" t="s">
        <v>3</v>
      </c>
      <c r="B2">
        <f>ROUND( AVERAGE( Risk ), $B$9 )</f>
        <v>96</v>
      </c>
      <c r="C2">
        <f>ROUND( AVERAGE( What_If ), $C$9 )</f>
        <v>96</v>
      </c>
      <c r="D2">
        <f>ROUND( AVERAGE( Current_Loss_Events ), $D$9 )</f>
        <v>1</v>
      </c>
      <c r="E2">
        <f>ROUND( AVERAGE( Proposed_Loss_Events ), $E$9 )</f>
        <v>1</v>
      </c>
      <c r="J2" s="215"/>
      <c r="K2" s="215"/>
      <c r="L2" s="215"/>
      <c r="M2" s="215"/>
      <c r="N2" s="215"/>
      <c r="O2" s="215"/>
      <c r="P2" s="215"/>
      <c r="S2" t="s">
        <v>192</v>
      </c>
      <c r="T2" s="310" t="b">
        <f>$AB$2=2</f>
        <v>0</v>
      </c>
      <c r="V2" s="307" t="s">
        <v>195</v>
      </c>
      <c r="W2" s="308"/>
      <c r="X2" s="307" t="str">
        <f>"Loss Magnitude/yr. "&amp;Risk!E26&amp;Risk!F26</f>
        <v>Loss Magnitude/yr. $000s</v>
      </c>
      <c r="Y2" s="308"/>
      <c r="Z2" s="309" t="str">
        <f>IF( PM_Toggle, V2, X2 )</f>
        <v>Loss Magnitude/yr. $000s</v>
      </c>
      <c r="AA2" s="309"/>
      <c r="AB2">
        <v>1</v>
      </c>
      <c r="AC2" t="s">
        <v>21</v>
      </c>
    </row>
    <row r="3" spans="1:31" x14ac:dyDescent="0.2">
      <c r="A3" t="s">
        <v>4</v>
      </c>
      <c r="B3" t="str">
        <f>$B$1 &amp; " EV " &amp; $B$2</f>
        <v>Current EV 96</v>
      </c>
      <c r="C3" t="str">
        <f>$C$1 &amp; " EV " &amp; $C$2</f>
        <v>Proposed EV 96</v>
      </c>
      <c r="D3" t="str">
        <f>$D$1 &amp; " EV " &amp; $D$2</f>
        <v>Current_Loss_Events EV 1</v>
      </c>
      <c r="E3" t="str">
        <f>$E$1 &amp; " EV " &amp; $E$2</f>
        <v>Proposed_Loss_Events EV 1</v>
      </c>
      <c r="J3" s="215"/>
      <c r="K3" s="215"/>
      <c r="L3" s="215"/>
      <c r="M3" s="215" t="str">
        <f>"Simulated "&amp;'SIPmath Chart Data'!AA5</f>
        <v>Simulated Loss</v>
      </c>
      <c r="N3" s="215"/>
      <c r="O3" s="215"/>
      <c r="P3" s="215"/>
      <c r="S3" s="215"/>
      <c r="T3" s="215"/>
      <c r="U3" s="215"/>
      <c r="V3" s="215"/>
      <c r="W3" s="215"/>
      <c r="X3" s="215"/>
      <c r="AC3" t="s">
        <v>207</v>
      </c>
    </row>
    <row r="4" spans="1:31" x14ac:dyDescent="0.2">
      <c r="A4" t="s">
        <v>5</v>
      </c>
      <c r="B4" s="56" t="b">
        <v>0</v>
      </c>
      <c r="C4" s="56" t="b">
        <v>0</v>
      </c>
      <c r="D4" s="56" t="b">
        <v>1</v>
      </c>
      <c r="E4" s="56" t="b">
        <v>1</v>
      </c>
      <c r="J4" s="215"/>
      <c r="K4" s="215"/>
      <c r="L4" s="215"/>
      <c r="M4" s="215"/>
      <c r="N4" s="215"/>
      <c r="O4" s="215"/>
      <c r="P4" s="215"/>
      <c r="S4" s="215"/>
      <c r="T4" s="215"/>
      <c r="U4" s="215"/>
      <c r="V4" s="215"/>
      <c r="W4" s="215"/>
      <c r="X4" s="215"/>
    </row>
    <row r="5" spans="1:31" x14ac:dyDescent="0.2">
      <c r="A5" t="s">
        <v>6</v>
      </c>
      <c r="B5" s="56" t="b">
        <v>1</v>
      </c>
      <c r="C5" s="56" t="b">
        <v>1</v>
      </c>
      <c r="D5" s="56" t="b">
        <v>1</v>
      </c>
      <c r="E5" s="56" t="b">
        <v>1</v>
      </c>
      <c r="J5" s="215"/>
      <c r="K5" s="215"/>
      <c r="L5" s="215"/>
      <c r="M5" s="215"/>
      <c r="N5" s="215"/>
      <c r="O5" s="215"/>
      <c r="P5" s="215"/>
      <c r="S5" s="215"/>
      <c r="T5" s="215"/>
      <c r="U5" s="215"/>
      <c r="V5" s="215"/>
      <c r="W5" s="215"/>
      <c r="X5" s="215"/>
      <c r="AA5" t="str">
        <f>INDEX(AB5:AB6,AB2)</f>
        <v>Loss</v>
      </c>
      <c r="AB5" t="s">
        <v>34</v>
      </c>
    </row>
    <row r="6" spans="1:31" x14ac:dyDescent="0.2">
      <c r="A6" t="s">
        <v>7</v>
      </c>
      <c r="B6" s="56">
        <f>'Loss Magnitude'!S26</f>
        <v>10</v>
      </c>
      <c r="C6" s="56">
        <f>B6</f>
        <v>10</v>
      </c>
      <c r="D6" s="56">
        <f>IF( $D$4, MIN( INT( MAX( Current_Loss_Events ) - MIN( Current_Loss_Events ) + 1 ), 10 ), 10 )</f>
        <v>5</v>
      </c>
      <c r="E6" s="56">
        <f>D6</f>
        <v>5</v>
      </c>
      <c r="J6" s="215"/>
      <c r="K6" s="215"/>
      <c r="L6" s="215"/>
      <c r="M6" s="215"/>
      <c r="N6" s="215"/>
      <c r="O6" s="215"/>
      <c r="P6" s="215"/>
      <c r="S6" s="215"/>
      <c r="T6" s="215"/>
      <c r="U6" s="215"/>
      <c r="V6" s="215"/>
      <c r="W6" s="215"/>
      <c r="X6" s="215"/>
      <c r="AB6" t="s">
        <v>207</v>
      </c>
    </row>
    <row r="7" spans="1:31" x14ac:dyDescent="0.2">
      <c r="A7" t="s">
        <v>8</v>
      </c>
      <c r="B7" s="56">
        <v>10</v>
      </c>
      <c r="C7" s="56">
        <f>B7</f>
        <v>10</v>
      </c>
      <c r="D7" s="56">
        <v>10</v>
      </c>
      <c r="E7" s="56">
        <v>10</v>
      </c>
      <c r="J7" s="215"/>
      <c r="K7" s="215"/>
      <c r="L7" s="215"/>
      <c r="M7" s="215"/>
      <c r="N7" s="215"/>
      <c r="O7" s="215"/>
      <c r="P7" s="215"/>
      <c r="S7" s="215"/>
      <c r="T7" s="215"/>
      <c r="U7" s="215"/>
      <c r="V7" s="215"/>
      <c r="W7" s="215"/>
      <c r="X7" s="215"/>
    </row>
    <row r="8" spans="1:31" x14ac:dyDescent="0.2">
      <c r="A8" t="s">
        <v>9</v>
      </c>
      <c r="B8" s="56">
        <f>'Loss Magnitude'!U26</f>
        <v>50</v>
      </c>
      <c r="C8" s="56">
        <f>B8</f>
        <v>50</v>
      </c>
      <c r="D8" s="56">
        <f>ROUNDUP(( MAX( Current_Loss_Events ) - $D$13 ) / $D$6, $D$9 )</f>
        <v>1</v>
      </c>
      <c r="E8" s="56">
        <f>D8</f>
        <v>1</v>
      </c>
      <c r="J8" s="215"/>
      <c r="K8" s="215"/>
      <c r="L8" s="215"/>
      <c r="M8" s="215"/>
      <c r="N8" s="215"/>
      <c r="O8" s="215"/>
      <c r="P8" s="215"/>
      <c r="S8" s="215"/>
      <c r="T8" s="215"/>
      <c r="U8" s="215"/>
      <c r="V8" s="215"/>
      <c r="W8" s="215"/>
      <c r="X8" s="215"/>
    </row>
    <row r="9" spans="1:31" x14ac:dyDescent="0.2">
      <c r="A9" t="s">
        <v>10</v>
      </c>
      <c r="B9" s="56">
        <v>0</v>
      </c>
      <c r="C9" s="56">
        <v>0</v>
      </c>
      <c r="D9" s="56">
        <v>0</v>
      </c>
      <c r="E9" s="56">
        <v>0</v>
      </c>
      <c r="J9" s="215"/>
      <c r="K9" s="215"/>
      <c r="L9" s="215"/>
      <c r="M9" s="215"/>
      <c r="N9" s="215"/>
      <c r="O9" s="215"/>
      <c r="P9" s="215"/>
      <c r="S9" s="215"/>
      <c r="T9" s="215"/>
      <c r="U9" s="215"/>
      <c r="V9" s="215"/>
      <c r="W9" s="215"/>
      <c r="X9" s="215"/>
    </row>
    <row r="10" spans="1:31" x14ac:dyDescent="0.2">
      <c r="A10" t="s">
        <v>11</v>
      </c>
      <c r="B10" s="56">
        <v>1</v>
      </c>
      <c r="C10" s="56">
        <v>1</v>
      </c>
      <c r="D10" s="56">
        <v>1</v>
      </c>
      <c r="E10" s="56">
        <v>1</v>
      </c>
      <c r="J10" s="215"/>
      <c r="K10" s="215"/>
      <c r="L10" s="215"/>
      <c r="M10" s="215"/>
      <c r="N10" s="215"/>
      <c r="O10" s="215"/>
      <c r="P10" s="215"/>
      <c r="S10" s="215"/>
      <c r="T10" s="215"/>
      <c r="U10" s="215"/>
      <c r="V10" s="215"/>
      <c r="W10" s="215"/>
      <c r="X10" s="215"/>
    </row>
    <row r="11" spans="1:31" x14ac:dyDescent="0.2">
      <c r="A11" t="s">
        <v>12</v>
      </c>
      <c r="B11" s="56" t="b">
        <v>0</v>
      </c>
      <c r="C11" s="56" t="b">
        <v>0</v>
      </c>
      <c r="D11" s="56" t="b">
        <v>0</v>
      </c>
      <c r="E11" s="56" t="b">
        <v>0</v>
      </c>
      <c r="J11" s="215"/>
      <c r="K11" s="215"/>
      <c r="L11" s="215"/>
      <c r="M11" s="215"/>
      <c r="N11" s="215"/>
      <c r="O11" s="215"/>
      <c r="P11" s="215"/>
      <c r="S11" s="215"/>
      <c r="T11" s="215"/>
      <c r="U11" s="215"/>
      <c r="V11" s="215"/>
      <c r="W11" s="215"/>
      <c r="X11" s="215"/>
    </row>
    <row r="12" spans="1:31" x14ac:dyDescent="0.2">
      <c r="A12" t="s">
        <v>13</v>
      </c>
      <c r="B12" s="56" t="str">
        <f>IF( AND( $B$11, $B$10 &gt; 1 ), MID( TEXT( $B$10, "#,##0" ), IF( MOD( LEN( TEXT( $B$10, "0" )), 3 ) = 1, 3, 2), 100 ) &amp; "s", "Axis Title" )</f>
        <v>Axis Title</v>
      </c>
      <c r="C12" s="56" t="str">
        <f>IF( AND( $C$11, $C$10 &gt; 1 ), MID( TEXT( $C$10, "#,##0" ), IF( MOD( LEN( TEXT( $C$10, "0" )), 3 ) = 1, 3, 2), 100 ) &amp; "s", "Axis Title" )</f>
        <v>Axis Title</v>
      </c>
      <c r="D12" s="56" t="str">
        <f>IF( AND( $D$11, $D$10 &gt; 1 ), MID( TEXT( $D$10, "#,##0" ), IF( MOD( LEN( TEXT( $D$10, "0" )), 3 ) = 1, 3, 2), 100 ) &amp; "s", "Axis Title" )</f>
        <v>Axis Title</v>
      </c>
      <c r="E12" s="56" t="str">
        <f>IF( AND( $E$11, $E$10 &gt; 1 ), MID( TEXT( $E$10, "#,##0" ), IF( MOD( LEN( TEXT( $E$10, "0" )), 3 ) = 1, 3, 2), 100 ) &amp; "s", "Axis Title" )</f>
        <v>Axis Title</v>
      </c>
      <c r="J12" s="215"/>
      <c r="K12" s="215"/>
      <c r="L12" s="215"/>
      <c r="M12" s="215"/>
      <c r="N12" s="215"/>
      <c r="O12" s="215"/>
      <c r="P12" s="215"/>
      <c r="S12" s="215"/>
      <c r="T12" s="215"/>
      <c r="U12" s="215"/>
      <c r="V12" s="215"/>
      <c r="W12" s="215"/>
      <c r="X12" s="215"/>
    </row>
    <row r="13" spans="1:31" x14ac:dyDescent="0.2">
      <c r="A13" t="s">
        <v>14</v>
      </c>
      <c r="B13" s="56">
        <v>0</v>
      </c>
      <c r="C13" s="56">
        <f>B13</f>
        <v>0</v>
      </c>
      <c r="D13" s="56">
        <f>ROUND( MIN( Current_Loss_Events ), $D$9 - LOG( $D$10 )) - IF( $D$4, 1, 0 )</f>
        <v>-1</v>
      </c>
      <c r="E13" s="56">
        <f>ROUND( MIN( Proposed_Loss_Events ), $E$9 - LOG( $E$10 )) - IF( $E$4, 1, 0 )</f>
        <v>-1</v>
      </c>
      <c r="J13" s="215"/>
      <c r="K13" s="215"/>
      <c r="L13" s="215"/>
      <c r="M13" s="215"/>
      <c r="N13" s="215"/>
      <c r="O13" s="215"/>
      <c r="P13" s="215"/>
      <c r="S13" s="215"/>
      <c r="T13" s="215"/>
      <c r="U13" s="215"/>
      <c r="V13" s="215"/>
      <c r="W13" s="215"/>
      <c r="X13" s="215"/>
    </row>
    <row r="14" spans="1:31" outlineLevel="1" x14ac:dyDescent="0.2">
      <c r="A14" s="2" t="s">
        <v>15</v>
      </c>
      <c r="B14" s="2">
        <f>ROUND( $B$13 + $B$8, $B$9 - LOG( $B$10 ))</f>
        <v>50</v>
      </c>
      <c r="C14" s="2">
        <f>ROUND( $C$13 + $C$8, $C$9 - LOG( $C$10 ))</f>
        <v>50</v>
      </c>
      <c r="D14" s="2">
        <f>ROUND( $D$13 + $D$8, $D$9 - LOG( $D$10 ))</f>
        <v>0</v>
      </c>
      <c r="E14" s="2">
        <f>ROUND( $E$13 + $E$8, $E$9 - LOG( $E$10 ))</f>
        <v>0</v>
      </c>
      <c r="J14" s="215"/>
      <c r="K14" s="215"/>
      <c r="L14" s="215"/>
      <c r="M14" s="215"/>
      <c r="N14" s="215"/>
      <c r="O14" s="215"/>
      <c r="P14" s="215"/>
      <c r="S14" s="215"/>
      <c r="T14" s="215"/>
      <c r="U14" s="215"/>
      <c r="V14" s="215"/>
      <c r="W14" s="215"/>
      <c r="X14" s="215"/>
      <c r="Z14" t="s">
        <v>193</v>
      </c>
      <c r="AB14" t="s">
        <v>197</v>
      </c>
      <c r="AD14" t="s">
        <v>196</v>
      </c>
    </row>
    <row r="15" spans="1:31" outlineLevel="1" x14ac:dyDescent="0.2">
      <c r="A15" s="3" t="s">
        <v>16</v>
      </c>
      <c r="B15" s="2">
        <f>ROUND( $B$14 + $B$8, $B$9 - LOG( $B$10 ))</f>
        <v>100</v>
      </c>
      <c r="C15" s="2">
        <f>ROUND( $C$14 + $C$8, $C$9 - LOG( $C$10 ))</f>
        <v>100</v>
      </c>
      <c r="D15" s="2">
        <f>ROUND( $D$14 + $D$8, $D$9 - LOG( $D$10 ))</f>
        <v>1</v>
      </c>
      <c r="E15" s="2">
        <f>ROUND( $E$14 + $E$8, $E$9 - LOG( $E$10 ))</f>
        <v>1</v>
      </c>
      <c r="J15" s="215"/>
      <c r="K15" s="215"/>
      <c r="L15" s="215"/>
      <c r="M15" s="215"/>
      <c r="N15" s="215"/>
      <c r="O15" s="215"/>
      <c r="P15" s="215"/>
      <c r="S15" s="215"/>
      <c r="T15" s="215"/>
      <c r="U15" s="215"/>
      <c r="V15" s="215"/>
      <c r="W15" s="215"/>
      <c r="X15" s="215"/>
      <c r="Z15" s="307" t="s">
        <v>198</v>
      </c>
      <c r="AA15" s="308"/>
      <c r="AB15" s="307" t="str">
        <f>"Chance of Exceeding Magnitude /yr. "&amp;Risk!E26&amp;Risk!F26</f>
        <v>Chance of Exceeding Magnitude /yr. $000s</v>
      </c>
      <c r="AC15" s="308"/>
      <c r="AD15" s="309" t="str">
        <f>IF( PM_Toggle, Z15, AB15 )</f>
        <v>Chance of Exceeding Magnitude /yr. $000s</v>
      </c>
      <c r="AE15" s="309"/>
    </row>
    <row r="16" spans="1:31" outlineLevel="1" x14ac:dyDescent="0.2">
      <c r="A16" s="4" t="s">
        <v>17</v>
      </c>
      <c r="B16" s="2">
        <f>ROUND( $B$15 + $B$8, $B$9 - LOG( $B$10 ))</f>
        <v>150</v>
      </c>
      <c r="C16" s="2">
        <f>ROUND( $C$15 + $C$8, $C$9 - LOG( $C$10 ))</f>
        <v>150</v>
      </c>
      <c r="D16" s="2">
        <f>ROUND( $D$15 + $D$8, $D$9 - LOG( $D$10 ))</f>
        <v>2</v>
      </c>
      <c r="E16" s="2">
        <f>ROUND( $E$15 + $E$8, $E$9 - LOG( $E$10 ))</f>
        <v>2</v>
      </c>
      <c r="S16" s="215"/>
      <c r="T16" s="215"/>
      <c r="U16" s="215"/>
      <c r="V16" s="215"/>
      <c r="W16" s="215"/>
      <c r="X16" s="215"/>
    </row>
    <row r="17" spans="1:24" outlineLevel="1" x14ac:dyDescent="0.2">
      <c r="A17" s="5" t="s">
        <v>18</v>
      </c>
      <c r="B17" s="2">
        <f>ROUND( $B$16 + $B$8, $B$9 - LOG( $B$10 ))</f>
        <v>200</v>
      </c>
      <c r="C17" s="2">
        <f>ROUND( $C$16 + $C$8, $C$9 - LOG( $C$10 ))</f>
        <v>200</v>
      </c>
      <c r="D17" s="2">
        <f>ROUND( $D$16 + $D$8, $D$9 - LOG( $D$10 ))</f>
        <v>3</v>
      </c>
      <c r="E17" s="2">
        <f>ROUND( $E$16 + $E$8, $E$9 - LOG( $E$10 ))</f>
        <v>3</v>
      </c>
      <c r="S17" s="215"/>
      <c r="T17" s="215"/>
      <c r="U17" s="215"/>
      <c r="V17" s="215"/>
      <c r="W17" s="215"/>
      <c r="X17" s="215"/>
    </row>
    <row r="18" spans="1:24" outlineLevel="1" x14ac:dyDescent="0.2">
      <c r="B18" s="2">
        <f>ROUND( $B$17 + $B$8, $B$9 - LOG( $B$10 ))</f>
        <v>250</v>
      </c>
      <c r="C18" s="2">
        <f>ROUND( $C$17 + $C$8, $C$9 - LOG( $C$10 ))</f>
        <v>250</v>
      </c>
      <c r="D18" s="2">
        <f>ROUND( $D$17 + $D$8, $D$9 - LOG( $D$10 ))</f>
        <v>4</v>
      </c>
      <c r="E18" s="2">
        <f>ROUND( $E$17 + $E$8, $E$9 - LOG( $E$10 ))</f>
        <v>4</v>
      </c>
      <c r="S18" s="215"/>
      <c r="T18" s="215"/>
      <c r="U18" s="215"/>
      <c r="V18" s="215"/>
      <c r="W18" s="215"/>
      <c r="X18" s="215"/>
    </row>
    <row r="19" spans="1:24" outlineLevel="1" x14ac:dyDescent="0.2">
      <c r="B19" s="2">
        <f>ROUND( $B$18 + $B$8, $B$9 - LOG( $B$10 ))</f>
        <v>300</v>
      </c>
      <c r="C19" s="2">
        <f>ROUND( $C$18 + $C$8, $C$9 - LOG( $C$10 ))</f>
        <v>300</v>
      </c>
      <c r="D19" s="2">
        <f>ROUND( $D$18 + $D$8, $D$9 - LOG( $D$10 ))</f>
        <v>5</v>
      </c>
      <c r="E19" s="2">
        <f>ROUND( $E$18 + $E$8, $E$9 - LOG( $E$10 ))</f>
        <v>5</v>
      </c>
      <c r="S19" s="215"/>
      <c r="T19" s="215"/>
      <c r="U19" s="215"/>
      <c r="V19" s="215"/>
      <c r="W19" s="215"/>
      <c r="X19" s="215"/>
    </row>
    <row r="20" spans="1:24" outlineLevel="1" x14ac:dyDescent="0.2">
      <c r="B20" s="2">
        <f>ROUND( $B$19 + $B$8, $B$9 - LOG( $B$10 ))</f>
        <v>350</v>
      </c>
      <c r="C20" s="2">
        <f>ROUND( $C$19 + $C$8, $C$9 - LOG( $C$10 ))</f>
        <v>350</v>
      </c>
      <c r="D20" s="2">
        <f>ROUND( $D$19 + $D$8, $D$9 - LOG( $D$10 ))</f>
        <v>6</v>
      </c>
      <c r="E20" s="2">
        <f>ROUND( $E$19 + $E$8, $E$9 - LOG( $E$10 ))</f>
        <v>6</v>
      </c>
      <c r="S20" s="215"/>
      <c r="T20" s="215"/>
      <c r="U20" s="215"/>
      <c r="V20" s="215"/>
      <c r="W20" s="215"/>
      <c r="X20" s="215"/>
    </row>
    <row r="21" spans="1:24" outlineLevel="1" x14ac:dyDescent="0.2">
      <c r="B21" s="2">
        <f>ROUND( $B$20 + $B$8, $B$9 - LOG( $B$10 ))</f>
        <v>400</v>
      </c>
      <c r="C21" s="2">
        <f>ROUND( $C$20 + $C$8, $C$9 - LOG( $C$10 ))</f>
        <v>400</v>
      </c>
      <c r="D21" s="2">
        <f>ROUND( $D$20 + $D$8, $D$9 - LOG( $D$10 ))</f>
        <v>7</v>
      </c>
      <c r="E21" s="2">
        <f>ROUND( $E$20 + $E$8, $E$9 - LOG( $E$10 ))</f>
        <v>7</v>
      </c>
      <c r="S21" s="215"/>
      <c r="T21" s="215"/>
      <c r="U21" s="215"/>
      <c r="V21" s="215"/>
      <c r="W21" s="215"/>
      <c r="X21" s="215"/>
    </row>
    <row r="22" spans="1:24" outlineLevel="1" x14ac:dyDescent="0.2">
      <c r="B22" s="2">
        <f>ROUND( $B$21 + $B$8, $B$9 - LOG( $B$10 ))</f>
        <v>450</v>
      </c>
      <c r="C22" s="2">
        <f>ROUND( $C$21 + $C$8, $C$9 - LOG( $C$10 ))</f>
        <v>450</v>
      </c>
      <c r="D22" s="2">
        <f>ROUND( $D$21 + $D$8, $D$9 - LOG( $D$10 ))</f>
        <v>8</v>
      </c>
      <c r="E22" s="2">
        <f>ROUND( $E$21 + $E$8, $E$9 - LOG( $E$10 ))</f>
        <v>8</v>
      </c>
      <c r="S22" s="215"/>
      <c r="T22" s="215"/>
      <c r="U22" s="215"/>
      <c r="V22" s="215"/>
      <c r="W22" s="215"/>
      <c r="X22" s="215"/>
    </row>
    <row r="23" spans="1:24" outlineLevel="1" x14ac:dyDescent="0.2">
      <c r="B23" s="2">
        <f>ROUND( $B$22 + $B$8, $B$9 - LOG( $B$10 ))</f>
        <v>500</v>
      </c>
      <c r="C23" s="2">
        <f>ROUND( $C$22 + $C$8, $C$9 - LOG( $C$10 ))</f>
        <v>500</v>
      </c>
      <c r="D23" s="2">
        <f>ROUND( $D$22 + $D$8, $D$9 - LOG( $D$10 ))</f>
        <v>9</v>
      </c>
      <c r="E23" s="2">
        <f>ROUND( $E$22 + $E$8, $E$9 - LOG( $E$10 ))</f>
        <v>9</v>
      </c>
      <c r="S23" s="215"/>
      <c r="T23" s="215"/>
      <c r="U23" s="215"/>
      <c r="V23" s="215"/>
      <c r="W23" s="215"/>
      <c r="X23" s="215"/>
    </row>
    <row r="24" spans="1:24" outlineLevel="1" x14ac:dyDescent="0.2">
      <c r="B24" s="2">
        <f>ROUND( $B$23 + $B$8, $B$9 - LOG( $B$10 ))</f>
        <v>550</v>
      </c>
      <c r="C24" s="2">
        <f>ROUND( $C$23 + $C$8, $C$9 - LOG( $C$10 ))</f>
        <v>550</v>
      </c>
      <c r="D24" s="2">
        <f>ROUND( $D$23 + $D$8, $D$9 - LOG( $D$10 ))</f>
        <v>10</v>
      </c>
      <c r="E24" s="2">
        <f>ROUND( $E$23 + $E$8, $E$9 - LOG( $E$10 ))</f>
        <v>10</v>
      </c>
      <c r="S24" s="215"/>
      <c r="T24" s="215"/>
      <c r="U24" s="215"/>
      <c r="V24" s="215"/>
      <c r="W24" s="215"/>
      <c r="X24" s="215"/>
    </row>
    <row r="25" spans="1:24" outlineLevel="1" x14ac:dyDescent="0.2">
      <c r="B25" s="2">
        <f>ROUND( $B$24 + $B$8, $B$9 - LOG( $B$10 ))</f>
        <v>600</v>
      </c>
      <c r="C25" s="2">
        <f>ROUND( $C$24 + $C$8, $C$9 - LOG( $C$10 ))</f>
        <v>600</v>
      </c>
      <c r="D25" s="2">
        <f>ROUND( $D$24 + $D$8, $D$9 - LOG( $D$10 ))</f>
        <v>11</v>
      </c>
      <c r="E25" s="2">
        <f>ROUND( $E$24 + $E$8, $E$9 - LOG( $E$10 ))</f>
        <v>11</v>
      </c>
    </row>
    <row r="26" spans="1:24" outlineLevel="1" x14ac:dyDescent="0.2">
      <c r="B26" s="2">
        <f>ROUND( $B$25 + $B$8, $B$9 - LOG( $B$10 ))</f>
        <v>650</v>
      </c>
      <c r="C26" s="2">
        <f>ROUND( $C$25 + $C$8, $C$9 - LOG( $C$10 ))</f>
        <v>650</v>
      </c>
      <c r="D26" s="2">
        <f>ROUND( $D$25 + $D$8, $D$9 - LOG( $D$10 ))</f>
        <v>12</v>
      </c>
      <c r="E26" s="2">
        <f>ROUND( $E$25 + $E$8, $E$9 - LOG( $E$10 ))</f>
        <v>12</v>
      </c>
    </row>
    <row r="27" spans="1:24" outlineLevel="1" x14ac:dyDescent="0.2">
      <c r="B27" s="2">
        <f>ROUND( $B$26 + $B$8, $B$9 - LOG( $B$10 ))</f>
        <v>700</v>
      </c>
      <c r="C27" s="2">
        <f>ROUND( $C$26 + $C$8, $C$9 - LOG( $C$10 ))</f>
        <v>700</v>
      </c>
      <c r="D27" s="2">
        <f>ROUND( $D$26 + $D$8, $D$9 - LOG( $D$10 ))</f>
        <v>13</v>
      </c>
      <c r="E27" s="2">
        <f>ROUND( $E$26 + $E$8, $E$9 - LOG( $E$10 ))</f>
        <v>13</v>
      </c>
      <c r="G27" s="317" t="s">
        <v>211</v>
      </c>
    </row>
    <row r="28" spans="1:24" outlineLevel="1" x14ac:dyDescent="0.2">
      <c r="B28" s="2">
        <f>ROUND( $B$27 + $B$8, $B$9 - LOG( $B$10 ))</f>
        <v>750</v>
      </c>
      <c r="C28" s="2">
        <f>ROUND( $C$27 + $C$8, $C$9 - LOG( $C$10 ))</f>
        <v>750</v>
      </c>
      <c r="D28" s="2">
        <f>ROUND( $D$27 + $D$8, $D$9 - LOG( $D$10 ))</f>
        <v>14</v>
      </c>
      <c r="E28" s="2">
        <f>ROUND( $E$27 + $E$8, $E$9 - LOG( $E$10 ))</f>
        <v>14</v>
      </c>
    </row>
    <row r="29" spans="1:24" outlineLevel="1" x14ac:dyDescent="0.2">
      <c r="B29" s="2">
        <f>ROUND( $B$28 + $B$8, $B$9 - LOG( $B$10 ))</f>
        <v>800</v>
      </c>
      <c r="C29" s="2">
        <f>ROUND( $C$28 + $C$8, $C$9 - LOG( $C$10 ))</f>
        <v>800</v>
      </c>
      <c r="D29" s="2">
        <f>ROUND( $D$28 + $D$8, $D$9 - LOG( $D$10 ))</f>
        <v>15</v>
      </c>
      <c r="E29" s="2">
        <f>ROUND( $E$28 + $E$8, $E$9 - LOG( $E$10 ))</f>
        <v>15</v>
      </c>
    </row>
    <row r="30" spans="1:24" outlineLevel="1" x14ac:dyDescent="0.2">
      <c r="B30" s="2">
        <f>ROUND( $B$29 + $B$8, $B$9 - LOG( $B$10 ))</f>
        <v>850</v>
      </c>
      <c r="C30" s="2">
        <f>ROUND( $C$29 + $C$8, $C$9 - LOG( $C$10 ))</f>
        <v>850</v>
      </c>
      <c r="D30" s="2">
        <f>ROUND( $D$29 + $D$8, $D$9 - LOG( $D$10 ))</f>
        <v>16</v>
      </c>
      <c r="E30" s="2">
        <f>ROUND( $E$29 + $E$8, $E$9 - LOG( $E$10 ))</f>
        <v>16</v>
      </c>
    </row>
    <row r="31" spans="1:24" outlineLevel="1" x14ac:dyDescent="0.2">
      <c r="B31" s="2">
        <f>ROUND( $B$30 + $B$8, $B$9 - LOG( $B$10 ))</f>
        <v>900</v>
      </c>
      <c r="C31" s="2">
        <f>ROUND( $C$30 + $C$8, $C$9 - LOG( $C$10 ))</f>
        <v>900</v>
      </c>
      <c r="D31" s="2">
        <f>ROUND( $D$30 + $D$8, $D$9 - LOG( $D$10 ))</f>
        <v>17</v>
      </c>
      <c r="E31" s="2">
        <f>ROUND( $E$30 + $E$8, $E$9 - LOG( $E$10 ))</f>
        <v>17</v>
      </c>
    </row>
    <row r="32" spans="1:24" outlineLevel="1" x14ac:dyDescent="0.2">
      <c r="B32" s="2">
        <f>ROUND( $B$31 + $B$8, $B$9 - LOG( $B$10 ))</f>
        <v>950</v>
      </c>
      <c r="C32" s="2">
        <f>ROUND( $C$31 + $C$8, $C$9 - LOG( $C$10 ))</f>
        <v>950</v>
      </c>
      <c r="D32" s="2">
        <f>ROUND( $D$31 + $D$8, $D$9 - LOG( $D$10 ))</f>
        <v>18</v>
      </c>
      <c r="E32" s="2">
        <f>ROUND( $E$31 + $E$8, $E$9 - LOG( $E$10 ))</f>
        <v>18</v>
      </c>
    </row>
    <row r="33" spans="2:5" outlineLevel="1" x14ac:dyDescent="0.2">
      <c r="B33" s="2">
        <f>ROUND( $B$32 + $B$8, $B$9 - LOG( $B$10 ))</f>
        <v>1000</v>
      </c>
      <c r="C33" s="2">
        <f>ROUND( $C$32 + $C$8, $C$9 - LOG( $C$10 ))</f>
        <v>1000</v>
      </c>
      <c r="D33" s="2">
        <f>ROUND( $D$32 + $D$8, $D$9 - LOG( $D$10 ))</f>
        <v>19</v>
      </c>
      <c r="E33" s="2">
        <f>ROUND( $E$32 + $E$8, $E$9 - LOG( $E$10 ))</f>
        <v>19</v>
      </c>
    </row>
    <row r="34" spans="2:5" outlineLevel="1" x14ac:dyDescent="0.2">
      <c r="B34" s="2">
        <f>ROUND( $B$33 + $B$8, $B$9 - LOG( $B$10 ))</f>
        <v>1050</v>
      </c>
      <c r="C34" s="2">
        <f>ROUND( $C$33 + $C$8, $C$9 - LOG( $C$10 ))</f>
        <v>1050</v>
      </c>
      <c r="D34" s="2">
        <f>ROUND( $D$33 + $D$8, $D$9 - LOG( $D$10 ))</f>
        <v>20</v>
      </c>
      <c r="E34" s="2">
        <f>ROUND( $E$33 + $E$8, $E$9 - LOG( $E$10 ))</f>
        <v>20</v>
      </c>
    </row>
    <row r="35" spans="2:5" outlineLevel="1" x14ac:dyDescent="0.2">
      <c r="B35" s="2">
        <f>ROUND( $B$34 + $B$8, $B$9 - LOG( $B$10 ))</f>
        <v>1100</v>
      </c>
      <c r="C35" s="2">
        <f>ROUND( $C$34 + $C$8, $C$9 - LOG( $C$10 ))</f>
        <v>1100</v>
      </c>
      <c r="D35" s="2">
        <f>ROUND( $D$34 + $D$8, $D$9 - LOG( $D$10 ))</f>
        <v>21</v>
      </c>
      <c r="E35" s="2">
        <f>ROUND( $E$34 + $E$8, $E$9 - LOG( $E$10 ))</f>
        <v>21</v>
      </c>
    </row>
    <row r="36" spans="2:5" outlineLevel="1" x14ac:dyDescent="0.2">
      <c r="B36" s="2">
        <f>ROUND( $B$35 + $B$8, $B$9 - LOG( $B$10 ))</f>
        <v>1150</v>
      </c>
      <c r="C36" s="2">
        <f>ROUND( $C$35 + $C$8, $C$9 - LOG( $C$10 ))</f>
        <v>1150</v>
      </c>
      <c r="D36" s="2">
        <f>ROUND( $D$35 + $D$8, $D$9 - LOG( $D$10 ))</f>
        <v>22</v>
      </c>
      <c r="E36" s="2">
        <f>ROUND( $E$35 + $E$8, $E$9 - LOG( $E$10 ))</f>
        <v>22</v>
      </c>
    </row>
    <row r="37" spans="2:5" outlineLevel="1" x14ac:dyDescent="0.2">
      <c r="B37" s="2">
        <f>ROUND( $B$36 + $B$8, $B$9 - LOG( $B$10 ))</f>
        <v>1200</v>
      </c>
      <c r="C37" s="2">
        <f>ROUND( $C$36 + $C$8, $C$9 - LOG( $C$10 ))</f>
        <v>1200</v>
      </c>
      <c r="D37" s="2">
        <f>ROUND( $D$36 + $D$8, $D$9 - LOG( $D$10 ))</f>
        <v>23</v>
      </c>
      <c r="E37" s="2">
        <f>ROUND( $E$36 + $E$8, $E$9 - LOG( $E$10 ))</f>
        <v>23</v>
      </c>
    </row>
    <row r="38" spans="2:5" outlineLevel="1" x14ac:dyDescent="0.2">
      <c r="B38" s="2">
        <f>ROUND( $B$37 + $B$8, $B$9 - LOG( $B$10 ))</f>
        <v>1250</v>
      </c>
      <c r="C38" s="2">
        <f>ROUND( $C$37 + $C$8, $C$9 - LOG( $C$10 ))</f>
        <v>1250</v>
      </c>
      <c r="D38" s="2">
        <f>ROUND( $D$37 + $D$8, $D$9 - LOG( $D$10 ))</f>
        <v>24</v>
      </c>
      <c r="E38" s="2">
        <f>ROUND( $E$37 + $E$8, $E$9 - LOG( $E$10 ))</f>
        <v>24</v>
      </c>
    </row>
    <row r="39" spans="2:5" outlineLevel="1" x14ac:dyDescent="0.2">
      <c r="B39" s="2">
        <f>ROUND( $B$38 + $B$8, $B$9 - LOG( $B$10 ))</f>
        <v>1300</v>
      </c>
      <c r="C39" s="2">
        <f>ROUND( $C$38 + $C$8, $C$9 - LOG( $C$10 ))</f>
        <v>1300</v>
      </c>
      <c r="D39" s="2">
        <f>ROUND( $D$38 + $D$8, $D$9 - LOG( $D$10 ))</f>
        <v>25</v>
      </c>
      <c r="E39" s="2">
        <f>ROUND( $E$38 + $E$8, $E$9 - LOG( $E$10 ))</f>
        <v>25</v>
      </c>
    </row>
    <row r="40" spans="2:5" outlineLevel="1" x14ac:dyDescent="0.2">
      <c r="B40" s="2">
        <f>ROUND( $B$39 + $B$8, $B$9 - LOG( $B$10 ))</f>
        <v>1350</v>
      </c>
      <c r="C40" s="2">
        <f>ROUND( $C$39 + $C$8, $C$9 - LOG( $C$10 ))</f>
        <v>1350</v>
      </c>
      <c r="D40" s="2">
        <f>ROUND( $D$39 + $D$8, $D$9 - LOG( $D$10 ))</f>
        <v>26</v>
      </c>
      <c r="E40" s="2">
        <f>ROUND( $E$39 + $E$8, $E$9 - LOG( $E$10 ))</f>
        <v>26</v>
      </c>
    </row>
    <row r="41" spans="2:5" outlineLevel="1" x14ac:dyDescent="0.2">
      <c r="B41" s="2">
        <f>ROUND( $B$40 + $B$8, $B$9 - LOG( $B$10 ))</f>
        <v>1400</v>
      </c>
      <c r="C41" s="2">
        <f>ROUND( $C$40 + $C$8, $C$9 - LOG( $C$10 ))</f>
        <v>1400</v>
      </c>
      <c r="D41" s="2">
        <f>ROUND( $D$40 + $D$8, $D$9 - LOG( $D$10 ))</f>
        <v>27</v>
      </c>
      <c r="E41" s="2">
        <f>ROUND( $E$40 + $E$8, $E$9 - LOG( $E$10 ))</f>
        <v>27</v>
      </c>
    </row>
    <row r="42" spans="2:5" outlineLevel="1" x14ac:dyDescent="0.2">
      <c r="B42" s="2">
        <f>ROUND( $B$41 + $B$8, $B$9 - LOG( $B$10 ))</f>
        <v>1450</v>
      </c>
      <c r="C42" s="2">
        <f>ROUND( $C$41 + $C$8, $C$9 - LOG( $C$10 ))</f>
        <v>1450</v>
      </c>
      <c r="D42" s="2">
        <f>ROUND( $D$41 + $D$8, $D$9 - LOG( $D$10 ))</f>
        <v>28</v>
      </c>
      <c r="E42" s="2">
        <f>ROUND( $E$41 + $E$8, $E$9 - LOG( $E$10 ))</f>
        <v>28</v>
      </c>
    </row>
    <row r="43" spans="2:5" outlineLevel="1" x14ac:dyDescent="0.2">
      <c r="B43" s="2">
        <f>ROUND( $B$42 + $B$8, $B$9 - LOG( $B$10 ))</f>
        <v>1500</v>
      </c>
      <c r="C43" s="2">
        <f>ROUND( $C$42 + $C$8, $C$9 - LOG( $C$10 ))</f>
        <v>1500</v>
      </c>
      <c r="D43" s="2">
        <f>ROUND( $D$42 + $D$8, $D$9 - LOG( $D$10 ))</f>
        <v>29</v>
      </c>
      <c r="E43" s="2">
        <f>ROUND( $E$42 + $E$8, $E$9 - LOG( $E$10 ))</f>
        <v>29</v>
      </c>
    </row>
    <row r="44" spans="2:5" outlineLevel="1" x14ac:dyDescent="0.2">
      <c r="B44" s="2">
        <f>ROUND( $B$43 + $B$8, $B$9 - LOG( $B$10 ))</f>
        <v>1550</v>
      </c>
      <c r="C44" s="2">
        <f>ROUND( $C$43 + $C$8, $C$9 - LOG( $C$10 ))</f>
        <v>1550</v>
      </c>
      <c r="D44" s="2">
        <f>ROUND( $D$43 + $D$8, $D$9 - LOG( $D$10 ))</f>
        <v>30</v>
      </c>
      <c r="E44" s="2">
        <f>ROUND( $E$43 + $E$8, $E$9 - LOG( $E$10 ))</f>
        <v>30</v>
      </c>
    </row>
    <row r="45" spans="2:5" outlineLevel="1" x14ac:dyDescent="0.2">
      <c r="B45" s="2">
        <f>ROUND( $B$44 + $B$8, $B$9 - LOG( $B$10 ))</f>
        <v>1600</v>
      </c>
      <c r="C45" s="2">
        <f>ROUND( $C$44 + $C$8, $C$9 - LOG( $C$10 ))</f>
        <v>1600</v>
      </c>
      <c r="D45" s="2">
        <f>ROUND( $D$44 + $D$8, $D$9 - LOG( $D$10 ))</f>
        <v>31</v>
      </c>
      <c r="E45" s="2">
        <f>ROUND( $E$44 + $E$8, $E$9 - LOG( $E$10 ))</f>
        <v>31</v>
      </c>
    </row>
    <row r="46" spans="2:5" outlineLevel="1" x14ac:dyDescent="0.2">
      <c r="B46" s="2">
        <f>ROUND( $B$45 + $B$8, $B$9 - LOG( $B$10 ))</f>
        <v>1650</v>
      </c>
      <c r="C46" s="2">
        <f>ROUND( $C$45 + $C$8, $C$9 - LOG( $C$10 ))</f>
        <v>1650</v>
      </c>
      <c r="D46" s="2">
        <f>ROUND( $D$45 + $D$8, $D$9 - LOG( $D$10 ))</f>
        <v>32</v>
      </c>
      <c r="E46" s="2">
        <f>ROUND( $E$45 + $E$8, $E$9 - LOG( $E$10 ))</f>
        <v>32</v>
      </c>
    </row>
    <row r="47" spans="2:5" outlineLevel="1" x14ac:dyDescent="0.2">
      <c r="B47" s="2">
        <f>ROUND( $B$46 + $B$8, $B$9 - LOG( $B$10 ))</f>
        <v>1700</v>
      </c>
      <c r="C47" s="2">
        <f>ROUND( $C$46 + $C$8, $C$9 - LOG( $C$10 ))</f>
        <v>1700</v>
      </c>
      <c r="D47" s="2">
        <f>ROUND( $D$46 + $D$8, $D$9 - LOG( $D$10 ))</f>
        <v>33</v>
      </c>
      <c r="E47" s="2">
        <f>ROUND( $E$46 + $E$8, $E$9 - LOG( $E$10 ))</f>
        <v>33</v>
      </c>
    </row>
    <row r="48" spans="2:5" outlineLevel="1" x14ac:dyDescent="0.2">
      <c r="B48" s="2">
        <f>ROUND( $B$47 + $B$8, $B$9 - LOG( $B$10 ))</f>
        <v>1750</v>
      </c>
      <c r="C48" s="2">
        <f>ROUND( $C$47 + $C$8, $C$9 - LOG( $C$10 ))</f>
        <v>1750</v>
      </c>
      <c r="D48" s="2">
        <f>ROUND( $D$47 + $D$8, $D$9 - LOG( $D$10 ))</f>
        <v>34</v>
      </c>
      <c r="E48" s="2">
        <f>ROUND( $E$47 + $E$8, $E$9 - LOG( $E$10 ))</f>
        <v>34</v>
      </c>
    </row>
    <row r="49" spans="2:5" outlineLevel="1" x14ac:dyDescent="0.2">
      <c r="B49" s="2">
        <f>ROUND( $B$48 + $B$8, $B$9 - LOG( $B$10 ))</f>
        <v>1800</v>
      </c>
      <c r="C49" s="2">
        <f>ROUND( $C$48 + $C$8, $C$9 - LOG( $C$10 ))</f>
        <v>1800</v>
      </c>
      <c r="D49" s="2">
        <f>ROUND( $D$48 + $D$8, $D$9 - LOG( $D$10 ))</f>
        <v>35</v>
      </c>
      <c r="E49" s="2">
        <f>ROUND( $E$48 + $E$8, $E$9 - LOG( $E$10 ))</f>
        <v>35</v>
      </c>
    </row>
    <row r="50" spans="2:5" outlineLevel="1" x14ac:dyDescent="0.2">
      <c r="B50" s="2">
        <f>ROUND( $B$49 + $B$8, $B$9 - LOG( $B$10 ))</f>
        <v>1850</v>
      </c>
      <c r="C50" s="2">
        <f>ROUND( $C$49 + $C$8, $C$9 - LOG( $C$10 ))</f>
        <v>1850</v>
      </c>
      <c r="D50" s="2">
        <f>ROUND( $D$49 + $D$8, $D$9 - LOG( $D$10 ))</f>
        <v>36</v>
      </c>
      <c r="E50" s="2">
        <f>ROUND( $E$49 + $E$8, $E$9 - LOG( $E$10 ))</f>
        <v>36</v>
      </c>
    </row>
    <row r="51" spans="2:5" outlineLevel="1" x14ac:dyDescent="0.2">
      <c r="B51" s="2">
        <f>ROUND( $B$50 + $B$8, $B$9 - LOG( $B$10 ))</f>
        <v>1900</v>
      </c>
      <c r="C51" s="2">
        <f>ROUND( $C$50 + $C$8, $C$9 - LOG( $C$10 ))</f>
        <v>1900</v>
      </c>
      <c r="D51" s="2">
        <f>ROUND( $D$50 + $D$8, $D$9 - LOG( $D$10 ))</f>
        <v>37</v>
      </c>
      <c r="E51" s="2">
        <f>ROUND( $E$50 + $E$8, $E$9 - LOG( $E$10 ))</f>
        <v>37</v>
      </c>
    </row>
    <row r="52" spans="2:5" outlineLevel="1" x14ac:dyDescent="0.2">
      <c r="B52" s="2">
        <f>ROUND( $B$51 + $B$8, $B$9 - LOG( $B$10 ))</f>
        <v>1950</v>
      </c>
      <c r="C52" s="2">
        <f>ROUND( $C$51 + $C$8, $C$9 - LOG( $C$10 ))</f>
        <v>1950</v>
      </c>
      <c r="D52" s="2">
        <f>ROUND( $D$51 + $D$8, $D$9 - LOG( $D$10 ))</f>
        <v>38</v>
      </c>
      <c r="E52" s="2">
        <f>ROUND( $E$51 + $E$8, $E$9 - LOG( $E$10 ))</f>
        <v>38</v>
      </c>
    </row>
    <row r="53" spans="2:5" outlineLevel="1" x14ac:dyDescent="0.2">
      <c r="B53" s="2">
        <f>ROUND( $B$52 + $B$8, $B$9 - LOG( $B$10 ))</f>
        <v>2000</v>
      </c>
      <c r="C53" s="2">
        <f>ROUND( $C$52 + $C$8, $C$9 - LOG( $C$10 ))</f>
        <v>2000</v>
      </c>
      <c r="D53" s="2">
        <f>ROUND( $D$52 + $D$8, $D$9 - LOG( $D$10 ))</f>
        <v>39</v>
      </c>
      <c r="E53" s="2">
        <f>ROUND( $E$52 + $E$8, $E$9 - LOG( $E$10 ))</f>
        <v>39</v>
      </c>
    </row>
    <row r="54" spans="2:5" outlineLevel="1" x14ac:dyDescent="0.2">
      <c r="B54" s="2">
        <f>ROUND( $B$53 + $B$8, $B$9 - LOG( $B$10 ))</f>
        <v>2050</v>
      </c>
      <c r="C54" s="2">
        <f>ROUND( $C$53 + $C$8, $C$9 - LOG( $C$10 ))</f>
        <v>2050</v>
      </c>
      <c r="D54" s="2">
        <f>ROUND( $D$53 + $D$8, $D$9 - LOG( $D$10 ))</f>
        <v>40</v>
      </c>
      <c r="E54" s="2">
        <f>ROUND( $E$53 + $E$8, $E$9 - LOG( $E$10 ))</f>
        <v>40</v>
      </c>
    </row>
    <row r="55" spans="2:5" outlineLevel="1" x14ac:dyDescent="0.2">
      <c r="B55" s="2">
        <f>ROUND( $B$54 + $B$8, $B$9 - LOG( $B$10 ))</f>
        <v>2100</v>
      </c>
      <c r="C55" s="2">
        <f>ROUND( $C$54 + $C$8, $C$9 - LOG( $C$10 ))</f>
        <v>2100</v>
      </c>
      <c r="D55" s="2">
        <f>ROUND( $D$54 + $D$8, $D$9 - LOG( $D$10 ))</f>
        <v>41</v>
      </c>
      <c r="E55" s="2">
        <f>ROUND( $E$54 + $E$8, $E$9 - LOG( $E$10 ))</f>
        <v>41</v>
      </c>
    </row>
    <row r="56" spans="2:5" outlineLevel="1" x14ac:dyDescent="0.2">
      <c r="B56" s="2">
        <f>ROUND( $B$55 + $B$8, $B$9 - LOG( $B$10 ))</f>
        <v>2150</v>
      </c>
      <c r="C56" s="2">
        <f>ROUND( $C$55 + $C$8, $C$9 - LOG( $C$10 ))</f>
        <v>2150</v>
      </c>
      <c r="D56" s="2">
        <f>ROUND( $D$55 + $D$8, $D$9 - LOG( $D$10 ))</f>
        <v>42</v>
      </c>
      <c r="E56" s="2">
        <f>ROUND( $E$55 + $E$8, $E$9 - LOG( $E$10 ))</f>
        <v>42</v>
      </c>
    </row>
    <row r="57" spans="2:5" outlineLevel="1" x14ac:dyDescent="0.2">
      <c r="B57" s="2">
        <f>ROUND( $B$56 + $B$8, $B$9 - LOG( $B$10 ))</f>
        <v>2200</v>
      </c>
      <c r="C57" s="2">
        <f>ROUND( $C$56 + $C$8, $C$9 - LOG( $C$10 ))</f>
        <v>2200</v>
      </c>
      <c r="D57" s="2">
        <f>ROUND( $D$56 + $D$8, $D$9 - LOG( $D$10 ))</f>
        <v>43</v>
      </c>
      <c r="E57" s="2">
        <f>ROUND( $E$56 + $E$8, $E$9 - LOG( $E$10 ))</f>
        <v>43</v>
      </c>
    </row>
    <row r="58" spans="2:5" outlineLevel="1" x14ac:dyDescent="0.2">
      <c r="B58" s="2">
        <f>ROUND( $B$57 + $B$8, $B$9 - LOG( $B$10 ))</f>
        <v>2250</v>
      </c>
      <c r="C58" s="2">
        <f>ROUND( $C$57 + $C$8, $C$9 - LOG( $C$10 ))</f>
        <v>2250</v>
      </c>
      <c r="D58" s="2">
        <f>ROUND( $D$57 + $D$8, $D$9 - LOG( $D$10 ))</f>
        <v>44</v>
      </c>
      <c r="E58" s="2">
        <f>ROUND( $E$57 + $E$8, $E$9 - LOG( $E$10 ))</f>
        <v>44</v>
      </c>
    </row>
    <row r="59" spans="2:5" outlineLevel="1" x14ac:dyDescent="0.2">
      <c r="B59" s="2">
        <f>ROUND( $B$58 + $B$8, $B$9 - LOG( $B$10 ))</f>
        <v>2300</v>
      </c>
      <c r="C59" s="2">
        <f>ROUND( $C$58 + $C$8, $C$9 - LOG( $C$10 ))</f>
        <v>2300</v>
      </c>
      <c r="D59" s="2">
        <f>ROUND( $D$58 + $D$8, $D$9 - LOG( $D$10 ))</f>
        <v>45</v>
      </c>
      <c r="E59" s="2">
        <f>ROUND( $E$58 + $E$8, $E$9 - LOG( $E$10 ))</f>
        <v>45</v>
      </c>
    </row>
    <row r="60" spans="2:5" outlineLevel="1" x14ac:dyDescent="0.2">
      <c r="B60" s="2">
        <f>ROUND( $B$59 + $B$8, $B$9 - LOG( $B$10 ))</f>
        <v>2350</v>
      </c>
      <c r="C60" s="2">
        <f>ROUND( $C$59 + $C$8, $C$9 - LOG( $C$10 ))</f>
        <v>2350</v>
      </c>
      <c r="D60" s="2">
        <f>ROUND( $D$59 + $D$8, $D$9 - LOG( $D$10 ))</f>
        <v>46</v>
      </c>
      <c r="E60" s="2">
        <f>ROUND( $E$59 + $E$8, $E$9 - LOG( $E$10 ))</f>
        <v>46</v>
      </c>
    </row>
    <row r="61" spans="2:5" outlineLevel="1" x14ac:dyDescent="0.2">
      <c r="B61" s="2">
        <f>ROUND( $B$60 + $B$8, $B$9 - LOG( $B$10 ))</f>
        <v>2400</v>
      </c>
      <c r="C61" s="2">
        <f>ROUND( $C$60 + $C$8, $C$9 - LOG( $C$10 ))</f>
        <v>2400</v>
      </c>
      <c r="D61" s="2">
        <f>ROUND( $D$60 + $D$8, $D$9 - LOG( $D$10 ))</f>
        <v>47</v>
      </c>
      <c r="E61" s="2">
        <f>ROUND( $E$60 + $E$8, $E$9 - LOG( $E$10 ))</f>
        <v>47</v>
      </c>
    </row>
    <row r="62" spans="2:5" outlineLevel="1" x14ac:dyDescent="0.2">
      <c r="B62" s="2">
        <f>ROUND( $B$61 + $B$8, $B$9 - LOG( $B$10 ))</f>
        <v>2450</v>
      </c>
      <c r="C62" s="2">
        <f>ROUND( $C$61 + $C$8, $C$9 - LOG( $C$10 ))</f>
        <v>2450</v>
      </c>
      <c r="D62" s="2">
        <f>ROUND( $D$61 + $D$8, $D$9 - LOG( $D$10 ))</f>
        <v>48</v>
      </c>
      <c r="E62" s="2">
        <f>ROUND( $E$61 + $E$8, $E$9 - LOG( $E$10 ))</f>
        <v>48</v>
      </c>
    </row>
    <row r="63" spans="2:5" outlineLevel="1" x14ac:dyDescent="0.2">
      <c r="B63" s="2">
        <f>ROUND( $B$62 + $B$8, $B$9 - LOG( $B$10 ))</f>
        <v>2500</v>
      </c>
      <c r="C63" s="2">
        <f>ROUND( $C$62 + $C$8, $C$9 - LOG( $C$10 ))</f>
        <v>2500</v>
      </c>
      <c r="D63" s="2">
        <f>ROUND( $D$62 + $D$8, $D$9 - LOG( $D$10 ))</f>
        <v>49</v>
      </c>
      <c r="E63" s="2">
        <f>ROUND( $E$62 + $E$8, $E$9 - LOG( $E$10 ))</f>
        <v>49</v>
      </c>
    </row>
    <row r="64" spans="2:5" outlineLevel="1" x14ac:dyDescent="0.2">
      <c r="B64" s="2">
        <f>ROUND( $B$63 + $B$8, $B$9 - LOG( $B$10 ))</f>
        <v>2550</v>
      </c>
      <c r="C64" s="2">
        <f>ROUND( $C$63 + $C$8, $C$9 - LOG( $C$10 ))</f>
        <v>2550</v>
      </c>
      <c r="D64" s="2">
        <f>ROUND( $D$63 + $D$8, $D$9 - LOG( $D$10 ))</f>
        <v>50</v>
      </c>
      <c r="E64" s="2">
        <f>ROUND( $E$63 + $E$8, $E$9 - LOG( $E$10 ))</f>
        <v>50</v>
      </c>
    </row>
    <row r="65" spans="2:17" outlineLevel="1" x14ac:dyDescent="0.2">
      <c r="B65" s="2">
        <f>ROUND( $B$64 + $B$8, $B$9 - LOG( $B$10 ))</f>
        <v>2600</v>
      </c>
      <c r="C65" s="2">
        <f>ROUND( $C$64 + $C$8, $C$9 - LOG( $C$10 ))</f>
        <v>2600</v>
      </c>
      <c r="D65" s="2">
        <f>ROUND( $D$64 + $D$8, $D$9 - LOG( $D$10 ))</f>
        <v>51</v>
      </c>
      <c r="E65" s="2">
        <f>ROUND( $E$64 + $E$8, $E$9 - LOG( $E$10 ))</f>
        <v>51</v>
      </c>
    </row>
    <row r="66" spans="2:17" outlineLevel="1" x14ac:dyDescent="0.2">
      <c r="B66" s="2">
        <f>ROUND( $B$65 + $B$8, $B$9 - LOG( $B$10 ))</f>
        <v>2650</v>
      </c>
      <c r="C66" s="2">
        <f>ROUND( $C$65 + $C$8, $C$9 - LOG( $C$10 ))</f>
        <v>2650</v>
      </c>
      <c r="D66" s="2">
        <f>ROUND( $D$65 + $D$8, $D$9 - LOG( $D$10 ))</f>
        <v>52</v>
      </c>
      <c r="E66" s="2">
        <f>ROUND( $E$65 + $E$8, $E$9 - LOG( $E$10 ))</f>
        <v>52</v>
      </c>
    </row>
    <row r="67" spans="2:17" outlineLevel="1" x14ac:dyDescent="0.2">
      <c r="B67" s="2">
        <f>ROUND( $B$66 + $B$8, $B$9 - LOG( $B$10 ))</f>
        <v>2700</v>
      </c>
      <c r="C67" s="2">
        <f>ROUND( $C$66 + $C$8, $C$9 - LOG( $C$10 ))</f>
        <v>2700</v>
      </c>
      <c r="D67" s="2">
        <f>ROUND( $D$66 + $D$8, $D$9 - LOG( $D$10 ))</f>
        <v>53</v>
      </c>
      <c r="E67" s="2">
        <f>ROUND( $E$66 + $E$8, $E$9 - LOG( $E$10 ))</f>
        <v>53</v>
      </c>
    </row>
    <row r="68" spans="2:17" outlineLevel="1" x14ac:dyDescent="0.2">
      <c r="B68" s="2">
        <f>ROUND( $B$67 + $B$8, $B$9 - LOG( $B$10 ))</f>
        <v>2750</v>
      </c>
      <c r="C68" s="2">
        <f>ROUND( $C$67 + $C$8, $C$9 - LOG( $C$10 ))</f>
        <v>2750</v>
      </c>
      <c r="D68" s="2">
        <f>ROUND( $D$67 + $D$8, $D$9 - LOG( $D$10 ))</f>
        <v>54</v>
      </c>
      <c r="E68" s="2">
        <f>ROUND( $E$67 + $E$8, $E$9 - LOG( $E$10 ))</f>
        <v>54</v>
      </c>
    </row>
    <row r="69" spans="2:17" outlineLevel="1" x14ac:dyDescent="0.2">
      <c r="B69" s="2">
        <f>ROUND( $B$68 + $B$8, $B$9 - LOG( $B$10 ))</f>
        <v>2800</v>
      </c>
      <c r="C69" s="2">
        <f>ROUND( $C$68 + $C$8, $C$9 - LOG( $C$10 ))</f>
        <v>2800</v>
      </c>
      <c r="D69" s="2">
        <f>ROUND( $D$68 + $D$8, $D$9 - LOG( $D$10 ))</f>
        <v>55</v>
      </c>
      <c r="E69" s="2">
        <f>ROUND( $E$68 + $E$8, $E$9 - LOG( $E$10 ))</f>
        <v>55</v>
      </c>
    </row>
    <row r="70" spans="2:17" outlineLevel="1" x14ac:dyDescent="0.2">
      <c r="B70" s="2">
        <f>ROUND( $B$69 + $B$8, $B$9 - LOG( $B$10 ))</f>
        <v>2850</v>
      </c>
      <c r="C70" s="2">
        <f>ROUND( $C$69 + $C$8, $C$9 - LOG( $C$10 ))</f>
        <v>2850</v>
      </c>
      <c r="D70" s="2">
        <f>ROUND( $D$69 + $D$8, $D$9 - LOG( $D$10 ))</f>
        <v>56</v>
      </c>
      <c r="E70" s="2">
        <f>ROUND( $E$69 + $E$8, $E$9 - LOG( $E$10 ))</f>
        <v>56</v>
      </c>
    </row>
    <row r="71" spans="2:17" outlineLevel="1" x14ac:dyDescent="0.2">
      <c r="B71" s="2">
        <f>ROUND( $B$70 + $B$8, $B$9 - LOG( $B$10 ))</f>
        <v>2900</v>
      </c>
      <c r="C71" s="2">
        <f>ROUND( $C$70 + $C$8, $C$9 - LOG( $C$10 ))</f>
        <v>2900</v>
      </c>
      <c r="D71" s="2">
        <f>ROUND( $D$70 + $D$8, $D$9 - LOG( $D$10 ))</f>
        <v>57</v>
      </c>
      <c r="E71" s="2">
        <f>ROUND( $E$70 + $E$8, $E$9 - LOG( $E$10 ))</f>
        <v>57</v>
      </c>
    </row>
    <row r="72" spans="2:17" outlineLevel="1" x14ac:dyDescent="0.2">
      <c r="B72" s="2">
        <f>ROUND( $B$71 + $B$8, $B$9 - LOG( $B$10 ))</f>
        <v>2950</v>
      </c>
      <c r="C72" s="2">
        <f>ROUND( $C$71 + $C$8, $C$9 - LOG( $C$10 ))</f>
        <v>2950</v>
      </c>
      <c r="D72" s="2">
        <f>ROUND( $D$71 + $D$8, $D$9 - LOG( $D$10 ))</f>
        <v>58</v>
      </c>
      <c r="E72" s="2">
        <f>ROUND( $E$71 + $E$8, $E$9 - LOG( $E$10 ))</f>
        <v>58</v>
      </c>
    </row>
    <row r="73" spans="2:17" outlineLevel="1" x14ac:dyDescent="0.2">
      <c r="B73" s="2">
        <f>ROUND( $B$72 + $B$8, $B$9 - LOG( $B$10 ))</f>
        <v>3000</v>
      </c>
      <c r="C73" s="2">
        <f>ROUND( $C$72 + $C$8, $C$9 - LOG( $C$10 ))</f>
        <v>3000</v>
      </c>
      <c r="D73" s="2">
        <f>ROUND( $D$72 + $D$8, $D$9 - LOG( $D$10 ))</f>
        <v>59</v>
      </c>
      <c r="E73" s="2">
        <f>ROUND( $E$72 + $E$8, $E$9 - LOG( $E$10 ))</f>
        <v>59</v>
      </c>
    </row>
    <row r="74" spans="2:17" outlineLevel="1" x14ac:dyDescent="0.2">
      <c r="B74" s="2">
        <f>ROUND( $B$73 + $B$8, $B$9 - LOG( $B$10 ))</f>
        <v>3050</v>
      </c>
      <c r="C74" s="2">
        <f>ROUND( $C$73 + $C$8, $C$9 - LOG( $C$10 ))</f>
        <v>3050</v>
      </c>
      <c r="D74" s="2">
        <f>ROUND( $D$73 + $D$8, $D$9 - LOG( $D$10 ))</f>
        <v>60</v>
      </c>
      <c r="E74" s="2">
        <f>ROUND( $E$73 + $E$8, $E$9 - LOG( $E$10 ))</f>
        <v>60</v>
      </c>
      <c r="Q74">
        <f t="array" aca="1" ref="Q74" ca="1">OFFSET( 'SIPmath Chart Data'!$C$116, 0, IF( PM_Toggle, 2, 0 ), 'SIPmath Chart Data'!$C$6 )</f>
        <v>0.42</v>
      </c>
    </row>
    <row r="75" spans="2:17" outlineLevel="1" x14ac:dyDescent="0.2">
      <c r="B75" s="2">
        <f>ROUND( $B$74 + $B$8, $B$9 - LOG( $B$10 ))</f>
        <v>3100</v>
      </c>
      <c r="C75" s="2">
        <f>ROUND( $C$74 + $C$8, $C$9 - LOG( $C$10 ))</f>
        <v>3100</v>
      </c>
      <c r="D75" s="2">
        <f>ROUND( $D$74 + $D$8, $D$9 - LOG( $D$10 ))</f>
        <v>61</v>
      </c>
      <c r="E75" s="2">
        <f>ROUND( $E$74 + $E$8, $E$9 - LOG( $E$10 ))</f>
        <v>61</v>
      </c>
    </row>
    <row r="76" spans="2:17" outlineLevel="1" x14ac:dyDescent="0.2">
      <c r="B76" s="2">
        <f>ROUND( $B$75 + $B$8, $B$9 - LOG( $B$10 ))</f>
        <v>3150</v>
      </c>
      <c r="C76" s="2">
        <f>ROUND( $C$75 + $C$8, $C$9 - LOG( $C$10 ))</f>
        <v>3150</v>
      </c>
      <c r="D76" s="2">
        <f>ROUND( $D$75 + $D$8, $D$9 - LOG( $D$10 ))</f>
        <v>62</v>
      </c>
      <c r="E76" s="2">
        <f>ROUND( $E$75 + $E$8, $E$9 - LOG( $E$10 ))</f>
        <v>62</v>
      </c>
    </row>
    <row r="77" spans="2:17" outlineLevel="1" x14ac:dyDescent="0.2">
      <c r="B77" s="2">
        <f>ROUND( $B$76 + $B$8, $B$9 - LOG( $B$10 ))</f>
        <v>3200</v>
      </c>
      <c r="C77" s="2">
        <f>ROUND( $C$76 + $C$8, $C$9 - LOG( $C$10 ))</f>
        <v>3200</v>
      </c>
      <c r="D77" s="2">
        <f>ROUND( $D$76 + $D$8, $D$9 - LOG( $D$10 ))</f>
        <v>63</v>
      </c>
      <c r="E77" s="2">
        <f>ROUND( $E$76 + $E$8, $E$9 - LOG( $E$10 ))</f>
        <v>63</v>
      </c>
    </row>
    <row r="78" spans="2:17" outlineLevel="1" x14ac:dyDescent="0.2">
      <c r="B78" s="2">
        <f>ROUND( $B$77 + $B$8, $B$9 - LOG( $B$10 ))</f>
        <v>3250</v>
      </c>
      <c r="C78" s="2">
        <f>ROUND( $C$77 + $C$8, $C$9 - LOG( $C$10 ))</f>
        <v>3250</v>
      </c>
      <c r="D78" s="2">
        <f>ROUND( $D$77 + $D$8, $D$9 - LOG( $D$10 ))</f>
        <v>64</v>
      </c>
      <c r="E78" s="2">
        <f>ROUND( $E$77 + $E$8, $E$9 - LOG( $E$10 ))</f>
        <v>64</v>
      </c>
    </row>
    <row r="79" spans="2:17" outlineLevel="1" x14ac:dyDescent="0.2">
      <c r="B79" s="2">
        <f>ROUND( $B$78 + $B$8, $B$9 - LOG( $B$10 ))</f>
        <v>3300</v>
      </c>
      <c r="C79" s="2">
        <f>ROUND( $C$78 + $C$8, $C$9 - LOG( $C$10 ))</f>
        <v>3300</v>
      </c>
      <c r="D79" s="2">
        <f>ROUND( $D$78 + $D$8, $D$9 - LOG( $D$10 ))</f>
        <v>65</v>
      </c>
      <c r="E79" s="2">
        <f>ROUND( $E$78 + $E$8, $E$9 - LOG( $E$10 ))</f>
        <v>65</v>
      </c>
    </row>
    <row r="80" spans="2:17" outlineLevel="1" x14ac:dyDescent="0.2">
      <c r="B80" s="2">
        <f>ROUND( $B$79 + $B$8, $B$9 - LOG( $B$10 ))</f>
        <v>3350</v>
      </c>
      <c r="C80" s="2">
        <f>ROUND( $C$79 + $C$8, $C$9 - LOG( $C$10 ))</f>
        <v>3350</v>
      </c>
      <c r="D80" s="2">
        <f>ROUND( $D$79 + $D$8, $D$9 - LOG( $D$10 ))</f>
        <v>66</v>
      </c>
      <c r="E80" s="2">
        <f>ROUND( $E$79 + $E$8, $E$9 - LOG( $E$10 ))</f>
        <v>66</v>
      </c>
    </row>
    <row r="81" spans="2:5" outlineLevel="1" x14ac:dyDescent="0.2">
      <c r="B81" s="2">
        <f>ROUND( $B$80 + $B$8, $B$9 - LOG( $B$10 ))</f>
        <v>3400</v>
      </c>
      <c r="C81" s="2">
        <f>ROUND( $C$80 + $C$8, $C$9 - LOG( $C$10 ))</f>
        <v>3400</v>
      </c>
      <c r="D81" s="2">
        <f>ROUND( $D$80 + $D$8, $D$9 - LOG( $D$10 ))</f>
        <v>67</v>
      </c>
      <c r="E81" s="2">
        <f>ROUND( $E$80 + $E$8, $E$9 - LOG( $E$10 ))</f>
        <v>67</v>
      </c>
    </row>
    <row r="82" spans="2:5" outlineLevel="1" x14ac:dyDescent="0.2">
      <c r="B82" s="2">
        <f>ROUND( $B$81 + $B$8, $B$9 - LOG( $B$10 ))</f>
        <v>3450</v>
      </c>
      <c r="C82" s="2">
        <f>ROUND( $C$81 + $C$8, $C$9 - LOG( $C$10 ))</f>
        <v>3450</v>
      </c>
      <c r="D82" s="2">
        <f>ROUND( $D$81 + $D$8, $D$9 - LOG( $D$10 ))</f>
        <v>68</v>
      </c>
      <c r="E82" s="2">
        <f>ROUND( $E$81 + $E$8, $E$9 - LOG( $E$10 ))</f>
        <v>68</v>
      </c>
    </row>
    <row r="83" spans="2:5" outlineLevel="1" x14ac:dyDescent="0.2">
      <c r="B83" s="2">
        <f>ROUND( $B$82 + $B$8, $B$9 - LOG( $B$10 ))</f>
        <v>3500</v>
      </c>
      <c r="C83" s="2">
        <f>ROUND( $C$82 + $C$8, $C$9 - LOG( $C$10 ))</f>
        <v>3500</v>
      </c>
      <c r="D83" s="2">
        <f>ROUND( $D$82 + $D$8, $D$9 - LOG( $D$10 ))</f>
        <v>69</v>
      </c>
      <c r="E83" s="2">
        <f>ROUND( $E$82 + $E$8, $E$9 - LOG( $E$10 ))</f>
        <v>69</v>
      </c>
    </row>
    <row r="84" spans="2:5" outlineLevel="1" x14ac:dyDescent="0.2">
      <c r="B84" s="2">
        <f>ROUND( $B$83 + $B$8, $B$9 - LOG( $B$10 ))</f>
        <v>3550</v>
      </c>
      <c r="C84" s="2">
        <f>ROUND( $C$83 + $C$8, $C$9 - LOG( $C$10 ))</f>
        <v>3550</v>
      </c>
      <c r="D84" s="2">
        <f>ROUND( $D$83 + $D$8, $D$9 - LOG( $D$10 ))</f>
        <v>70</v>
      </c>
      <c r="E84" s="2">
        <f>ROUND( $E$83 + $E$8, $E$9 - LOG( $E$10 ))</f>
        <v>70</v>
      </c>
    </row>
    <row r="85" spans="2:5" outlineLevel="1" x14ac:dyDescent="0.2">
      <c r="B85" s="2">
        <f>ROUND( $B$84 + $B$8, $B$9 - LOG( $B$10 ))</f>
        <v>3600</v>
      </c>
      <c r="C85" s="2">
        <f>ROUND( $C$84 + $C$8, $C$9 - LOG( $C$10 ))</f>
        <v>3600</v>
      </c>
      <c r="D85" s="2">
        <f>ROUND( $D$84 + $D$8, $D$9 - LOG( $D$10 ))</f>
        <v>71</v>
      </c>
      <c r="E85" s="2">
        <f>ROUND( $E$84 + $E$8, $E$9 - LOG( $E$10 ))</f>
        <v>71</v>
      </c>
    </row>
    <row r="86" spans="2:5" outlineLevel="1" x14ac:dyDescent="0.2">
      <c r="B86" s="2">
        <f>ROUND( $B$85 + $B$8, $B$9 - LOG( $B$10 ))</f>
        <v>3650</v>
      </c>
      <c r="C86" s="2">
        <f>ROUND( $C$85 + $C$8, $C$9 - LOG( $C$10 ))</f>
        <v>3650</v>
      </c>
      <c r="D86" s="2">
        <f>ROUND( $D$85 + $D$8, $D$9 - LOG( $D$10 ))</f>
        <v>72</v>
      </c>
      <c r="E86" s="2">
        <f>ROUND( $E$85 + $E$8, $E$9 - LOG( $E$10 ))</f>
        <v>72</v>
      </c>
    </row>
    <row r="87" spans="2:5" outlineLevel="1" x14ac:dyDescent="0.2">
      <c r="B87" s="2">
        <f>ROUND( $B$86 + $B$8, $B$9 - LOG( $B$10 ))</f>
        <v>3700</v>
      </c>
      <c r="C87" s="2">
        <f>ROUND( $C$86 + $C$8, $C$9 - LOG( $C$10 ))</f>
        <v>3700</v>
      </c>
      <c r="D87" s="2">
        <f>ROUND( $D$86 + $D$8, $D$9 - LOG( $D$10 ))</f>
        <v>73</v>
      </c>
      <c r="E87" s="2">
        <f>ROUND( $E$86 + $E$8, $E$9 - LOG( $E$10 ))</f>
        <v>73</v>
      </c>
    </row>
    <row r="88" spans="2:5" outlineLevel="1" x14ac:dyDescent="0.2">
      <c r="B88" s="2">
        <f>ROUND( $B$87 + $B$8, $B$9 - LOG( $B$10 ))</f>
        <v>3750</v>
      </c>
      <c r="C88" s="2">
        <f>ROUND( $C$87 + $C$8, $C$9 - LOG( $C$10 ))</f>
        <v>3750</v>
      </c>
      <c r="D88" s="2">
        <f>ROUND( $D$87 + $D$8, $D$9 - LOG( $D$10 ))</f>
        <v>74</v>
      </c>
      <c r="E88" s="2">
        <f>ROUND( $E$87 + $E$8, $E$9 - LOG( $E$10 ))</f>
        <v>74</v>
      </c>
    </row>
    <row r="89" spans="2:5" outlineLevel="1" x14ac:dyDescent="0.2">
      <c r="B89" s="2">
        <f>ROUND( $B$88 + $B$8, $B$9 - LOG( $B$10 ))</f>
        <v>3800</v>
      </c>
      <c r="C89" s="2">
        <f>ROUND( $C$88 + $C$8, $C$9 - LOG( $C$10 ))</f>
        <v>3800</v>
      </c>
      <c r="D89" s="2">
        <f>ROUND( $D$88 + $D$8, $D$9 - LOG( $D$10 ))</f>
        <v>75</v>
      </c>
      <c r="E89" s="2">
        <f>ROUND( $E$88 + $E$8, $E$9 - LOG( $E$10 ))</f>
        <v>75</v>
      </c>
    </row>
    <row r="90" spans="2:5" outlineLevel="1" x14ac:dyDescent="0.2">
      <c r="B90" s="2">
        <f>ROUND( $B$89 + $B$8, $B$9 - LOG( $B$10 ))</f>
        <v>3850</v>
      </c>
      <c r="C90" s="2">
        <f>ROUND( $C$89 + $C$8, $C$9 - LOG( $C$10 ))</f>
        <v>3850</v>
      </c>
      <c r="D90" s="2">
        <f>ROUND( $D$89 + $D$8, $D$9 - LOG( $D$10 ))</f>
        <v>76</v>
      </c>
      <c r="E90" s="2">
        <f>ROUND( $E$89 + $E$8, $E$9 - LOG( $E$10 ))</f>
        <v>76</v>
      </c>
    </row>
    <row r="91" spans="2:5" outlineLevel="1" x14ac:dyDescent="0.2">
      <c r="B91" s="2">
        <f>ROUND( $B$90 + $B$8, $B$9 - LOG( $B$10 ))</f>
        <v>3900</v>
      </c>
      <c r="C91" s="2">
        <f>ROUND( $C$90 + $C$8, $C$9 - LOG( $C$10 ))</f>
        <v>3900</v>
      </c>
      <c r="D91" s="2">
        <f>ROUND( $D$90 + $D$8, $D$9 - LOG( $D$10 ))</f>
        <v>77</v>
      </c>
      <c r="E91" s="2">
        <f>ROUND( $E$90 + $E$8, $E$9 - LOG( $E$10 ))</f>
        <v>77</v>
      </c>
    </row>
    <row r="92" spans="2:5" outlineLevel="1" x14ac:dyDescent="0.2">
      <c r="B92" s="2">
        <f>ROUND( $B$91 + $B$8, $B$9 - LOG( $B$10 ))</f>
        <v>3950</v>
      </c>
      <c r="C92" s="2">
        <f>ROUND( $C$91 + $C$8, $C$9 - LOG( $C$10 ))</f>
        <v>3950</v>
      </c>
      <c r="D92" s="2">
        <f>ROUND( $D$91 + $D$8, $D$9 - LOG( $D$10 ))</f>
        <v>78</v>
      </c>
      <c r="E92" s="2">
        <f>ROUND( $E$91 + $E$8, $E$9 - LOG( $E$10 ))</f>
        <v>78</v>
      </c>
    </row>
    <row r="93" spans="2:5" outlineLevel="1" x14ac:dyDescent="0.2">
      <c r="B93" s="2">
        <f>ROUND( $B$92 + $B$8, $B$9 - LOG( $B$10 ))</f>
        <v>4000</v>
      </c>
      <c r="C93" s="2">
        <f>ROUND( $C$92 + $C$8, $C$9 - LOG( $C$10 ))</f>
        <v>4000</v>
      </c>
      <c r="D93" s="2">
        <f>ROUND( $D$92 + $D$8, $D$9 - LOG( $D$10 ))</f>
        <v>79</v>
      </c>
      <c r="E93" s="2">
        <f>ROUND( $E$92 + $E$8, $E$9 - LOG( $E$10 ))</f>
        <v>79</v>
      </c>
    </row>
    <row r="94" spans="2:5" outlineLevel="1" x14ac:dyDescent="0.2">
      <c r="B94" s="2">
        <f>ROUND( $B$93 + $B$8, $B$9 - LOG( $B$10 ))</f>
        <v>4050</v>
      </c>
      <c r="C94" s="2">
        <f>ROUND( $C$93 + $C$8, $C$9 - LOG( $C$10 ))</f>
        <v>4050</v>
      </c>
      <c r="D94" s="2">
        <f>ROUND( $D$93 + $D$8, $D$9 - LOG( $D$10 ))</f>
        <v>80</v>
      </c>
      <c r="E94" s="2">
        <f>ROUND( $E$93 + $E$8, $E$9 - LOG( $E$10 ))</f>
        <v>80</v>
      </c>
    </row>
    <row r="95" spans="2:5" outlineLevel="1" x14ac:dyDescent="0.2">
      <c r="B95" s="2">
        <f>ROUND( $B$94 + $B$8, $B$9 - LOG( $B$10 ))</f>
        <v>4100</v>
      </c>
      <c r="C95" s="2">
        <f>ROUND( $C$94 + $C$8, $C$9 - LOG( $C$10 ))</f>
        <v>4100</v>
      </c>
      <c r="D95" s="2">
        <f>ROUND( $D$94 + $D$8, $D$9 - LOG( $D$10 ))</f>
        <v>81</v>
      </c>
      <c r="E95" s="2">
        <f>ROUND( $E$94 + $E$8, $E$9 - LOG( $E$10 ))</f>
        <v>81</v>
      </c>
    </row>
    <row r="96" spans="2:5" outlineLevel="1" x14ac:dyDescent="0.2">
      <c r="B96" s="2">
        <f>ROUND( $B$95 + $B$8, $B$9 - LOG( $B$10 ))</f>
        <v>4150</v>
      </c>
      <c r="C96" s="2">
        <f>ROUND( $C$95 + $C$8, $C$9 - LOG( $C$10 ))</f>
        <v>4150</v>
      </c>
      <c r="D96" s="2">
        <f>ROUND( $D$95 + $D$8, $D$9 - LOG( $D$10 ))</f>
        <v>82</v>
      </c>
      <c r="E96" s="2">
        <f>ROUND( $E$95 + $E$8, $E$9 - LOG( $E$10 ))</f>
        <v>82</v>
      </c>
    </row>
    <row r="97" spans="2:5" outlineLevel="1" x14ac:dyDescent="0.2">
      <c r="B97" s="2">
        <f>ROUND( $B$96 + $B$8, $B$9 - LOG( $B$10 ))</f>
        <v>4200</v>
      </c>
      <c r="C97" s="2">
        <f>ROUND( $C$96 + $C$8, $C$9 - LOG( $C$10 ))</f>
        <v>4200</v>
      </c>
      <c r="D97" s="2">
        <f>ROUND( $D$96 + $D$8, $D$9 - LOG( $D$10 ))</f>
        <v>83</v>
      </c>
      <c r="E97" s="2">
        <f>ROUND( $E$96 + $E$8, $E$9 - LOG( $E$10 ))</f>
        <v>83</v>
      </c>
    </row>
    <row r="98" spans="2:5" outlineLevel="1" x14ac:dyDescent="0.2">
      <c r="B98" s="2">
        <f>ROUND( $B$97 + $B$8, $B$9 - LOG( $B$10 ))</f>
        <v>4250</v>
      </c>
      <c r="C98" s="2">
        <f>ROUND( $C$97 + $C$8, $C$9 - LOG( $C$10 ))</f>
        <v>4250</v>
      </c>
      <c r="D98" s="2">
        <f>ROUND( $D$97 + $D$8, $D$9 - LOG( $D$10 ))</f>
        <v>84</v>
      </c>
      <c r="E98" s="2">
        <f>ROUND( $E$97 + $E$8, $E$9 - LOG( $E$10 ))</f>
        <v>84</v>
      </c>
    </row>
    <row r="99" spans="2:5" outlineLevel="1" x14ac:dyDescent="0.2">
      <c r="B99" s="2">
        <f>ROUND( $B$98 + $B$8, $B$9 - LOG( $B$10 ))</f>
        <v>4300</v>
      </c>
      <c r="C99" s="2">
        <f>ROUND( $C$98 + $C$8, $C$9 - LOG( $C$10 ))</f>
        <v>4300</v>
      </c>
      <c r="D99" s="2">
        <f>ROUND( $D$98 + $D$8, $D$9 - LOG( $D$10 ))</f>
        <v>85</v>
      </c>
      <c r="E99" s="2">
        <f>ROUND( $E$98 + $E$8, $E$9 - LOG( $E$10 ))</f>
        <v>85</v>
      </c>
    </row>
    <row r="100" spans="2:5" outlineLevel="1" x14ac:dyDescent="0.2">
      <c r="B100" s="2">
        <f>ROUND( $B$99 + $B$8, $B$9 - LOG( $B$10 ))</f>
        <v>4350</v>
      </c>
      <c r="C100" s="2">
        <f>ROUND( $C$99 + $C$8, $C$9 - LOG( $C$10 ))</f>
        <v>4350</v>
      </c>
      <c r="D100" s="2">
        <f>ROUND( $D$99 + $D$8, $D$9 - LOG( $D$10 ))</f>
        <v>86</v>
      </c>
      <c r="E100" s="2">
        <f>ROUND( $E$99 + $E$8, $E$9 - LOG( $E$10 ))</f>
        <v>86</v>
      </c>
    </row>
    <row r="101" spans="2:5" outlineLevel="1" x14ac:dyDescent="0.2">
      <c r="B101" s="2">
        <f>ROUND( $B$100 + $B$8, $B$9 - LOG( $B$10 ))</f>
        <v>4400</v>
      </c>
      <c r="C101" s="2">
        <f>ROUND( $C$100 + $C$8, $C$9 - LOG( $C$10 ))</f>
        <v>4400</v>
      </c>
      <c r="D101" s="2">
        <f>ROUND( $D$100 + $D$8, $D$9 - LOG( $D$10 ))</f>
        <v>87</v>
      </c>
      <c r="E101" s="2">
        <f>ROUND( $E$100 + $E$8, $E$9 - LOG( $E$10 ))</f>
        <v>87</v>
      </c>
    </row>
    <row r="102" spans="2:5" outlineLevel="1" x14ac:dyDescent="0.2">
      <c r="B102" s="2">
        <f>ROUND( $B$101 + $B$8, $B$9 - LOG( $B$10 ))</f>
        <v>4450</v>
      </c>
      <c r="C102" s="2">
        <f>ROUND( $C$101 + $C$8, $C$9 - LOG( $C$10 ))</f>
        <v>4450</v>
      </c>
      <c r="D102" s="2">
        <f>ROUND( $D$101 + $D$8, $D$9 - LOG( $D$10 ))</f>
        <v>88</v>
      </c>
      <c r="E102" s="2">
        <f>ROUND( $E$101 + $E$8, $E$9 - LOG( $E$10 ))</f>
        <v>88</v>
      </c>
    </row>
    <row r="103" spans="2:5" outlineLevel="1" x14ac:dyDescent="0.2">
      <c r="B103" s="2">
        <f>ROUND( $B$102 + $B$8, $B$9 - LOG( $B$10 ))</f>
        <v>4500</v>
      </c>
      <c r="C103" s="2">
        <f>ROUND( $C$102 + $C$8, $C$9 - LOG( $C$10 ))</f>
        <v>4500</v>
      </c>
      <c r="D103" s="2">
        <f>ROUND( $D$102 + $D$8, $D$9 - LOG( $D$10 ))</f>
        <v>89</v>
      </c>
      <c r="E103" s="2">
        <f>ROUND( $E$102 + $E$8, $E$9 - LOG( $E$10 ))</f>
        <v>89</v>
      </c>
    </row>
    <row r="104" spans="2:5" outlineLevel="1" x14ac:dyDescent="0.2">
      <c r="B104" s="2">
        <f>ROUND( $B$103 + $B$8, $B$9 - LOG( $B$10 ))</f>
        <v>4550</v>
      </c>
      <c r="C104" s="2">
        <f>ROUND( $C$103 + $C$8, $C$9 - LOG( $C$10 ))</f>
        <v>4550</v>
      </c>
      <c r="D104" s="2">
        <f>ROUND( $D$103 + $D$8, $D$9 - LOG( $D$10 ))</f>
        <v>90</v>
      </c>
      <c r="E104" s="2">
        <f>ROUND( $E$103 + $E$8, $E$9 - LOG( $E$10 ))</f>
        <v>90</v>
      </c>
    </row>
    <row r="105" spans="2:5" outlineLevel="1" x14ac:dyDescent="0.2">
      <c r="B105" s="2">
        <f>ROUND( $B$104 + $B$8, $B$9 - LOG( $B$10 ))</f>
        <v>4600</v>
      </c>
      <c r="C105" s="2">
        <f>ROUND( $C$104 + $C$8, $C$9 - LOG( $C$10 ))</f>
        <v>4600</v>
      </c>
      <c r="D105" s="2">
        <f>ROUND( $D$104 + $D$8, $D$9 - LOG( $D$10 ))</f>
        <v>91</v>
      </c>
      <c r="E105" s="2">
        <f>ROUND( $E$104 + $E$8, $E$9 - LOG( $E$10 ))</f>
        <v>91</v>
      </c>
    </row>
    <row r="106" spans="2:5" outlineLevel="1" x14ac:dyDescent="0.2">
      <c r="B106" s="2">
        <f>ROUND( $B$105 + $B$8, $B$9 - LOG( $B$10 ))</f>
        <v>4650</v>
      </c>
      <c r="C106" s="2">
        <f>ROUND( $C$105 + $C$8, $C$9 - LOG( $C$10 ))</f>
        <v>4650</v>
      </c>
      <c r="D106" s="2">
        <f>ROUND( $D$105 + $D$8, $D$9 - LOG( $D$10 ))</f>
        <v>92</v>
      </c>
      <c r="E106" s="2">
        <f>ROUND( $E$105 + $E$8, $E$9 - LOG( $E$10 ))</f>
        <v>92</v>
      </c>
    </row>
    <row r="107" spans="2:5" outlineLevel="1" x14ac:dyDescent="0.2">
      <c r="B107" s="2">
        <f>ROUND( $B$106 + $B$8, $B$9 - LOG( $B$10 ))</f>
        <v>4700</v>
      </c>
      <c r="C107" s="2">
        <f>ROUND( $C$106 + $C$8, $C$9 - LOG( $C$10 ))</f>
        <v>4700</v>
      </c>
      <c r="D107" s="2">
        <f>ROUND( $D$106 + $D$8, $D$9 - LOG( $D$10 ))</f>
        <v>93</v>
      </c>
      <c r="E107" s="2">
        <f>ROUND( $E$106 + $E$8, $E$9 - LOG( $E$10 ))</f>
        <v>93</v>
      </c>
    </row>
    <row r="108" spans="2:5" outlineLevel="1" x14ac:dyDescent="0.2">
      <c r="B108" s="2">
        <f>ROUND( $B$107 + $B$8, $B$9 - LOG( $B$10 ))</f>
        <v>4750</v>
      </c>
      <c r="C108" s="2">
        <f>ROUND( $C$107 + $C$8, $C$9 - LOG( $C$10 ))</f>
        <v>4750</v>
      </c>
      <c r="D108" s="2">
        <f>ROUND( $D$107 + $D$8, $D$9 - LOG( $D$10 ))</f>
        <v>94</v>
      </c>
      <c r="E108" s="2">
        <f>ROUND( $E$107 + $E$8, $E$9 - LOG( $E$10 ))</f>
        <v>94</v>
      </c>
    </row>
    <row r="109" spans="2:5" outlineLevel="1" x14ac:dyDescent="0.2">
      <c r="B109" s="2">
        <f>ROUND( $B$108 + $B$8, $B$9 - LOG( $B$10 ))</f>
        <v>4800</v>
      </c>
      <c r="C109" s="2">
        <f>ROUND( $C$108 + $C$8, $C$9 - LOG( $C$10 ))</f>
        <v>4800</v>
      </c>
      <c r="D109" s="2">
        <f>ROUND( $D$108 + $D$8, $D$9 - LOG( $D$10 ))</f>
        <v>95</v>
      </c>
      <c r="E109" s="2">
        <f>ROUND( $E$108 + $E$8, $E$9 - LOG( $E$10 ))</f>
        <v>95</v>
      </c>
    </row>
    <row r="110" spans="2:5" outlineLevel="1" x14ac:dyDescent="0.2">
      <c r="B110" s="2">
        <f>ROUND( $B$109 + $B$8, $B$9 - LOG( $B$10 ))</f>
        <v>4850</v>
      </c>
      <c r="C110" s="2">
        <f>ROUND( $C$109 + $C$8, $C$9 - LOG( $C$10 ))</f>
        <v>4850</v>
      </c>
      <c r="D110" s="2">
        <f>ROUND( $D$109 + $D$8, $D$9 - LOG( $D$10 ))</f>
        <v>96</v>
      </c>
      <c r="E110" s="2">
        <f>ROUND( $E$109 + $E$8, $E$9 - LOG( $E$10 ))</f>
        <v>96</v>
      </c>
    </row>
    <row r="111" spans="2:5" outlineLevel="1" x14ac:dyDescent="0.2">
      <c r="B111" s="2">
        <f>ROUND( $B$110 + $B$8, $B$9 - LOG( $B$10 ))</f>
        <v>4900</v>
      </c>
      <c r="C111" s="2">
        <f>ROUND( $C$110 + $C$8, $C$9 - LOG( $C$10 ))</f>
        <v>4900</v>
      </c>
      <c r="D111" s="2">
        <f>ROUND( $D$110 + $D$8, $D$9 - LOG( $D$10 ))</f>
        <v>97</v>
      </c>
      <c r="E111" s="2">
        <f>ROUND( $E$110 + $E$8, $E$9 - LOG( $E$10 ))</f>
        <v>97</v>
      </c>
    </row>
    <row r="112" spans="2:5" outlineLevel="1" x14ac:dyDescent="0.2">
      <c r="B112" s="2">
        <f>ROUND( $B$111 + $B$8, $B$9 - LOG( $B$10 ))</f>
        <v>4950</v>
      </c>
      <c r="C112" s="2">
        <f>ROUND( $C$111 + $C$8, $C$9 - LOG( $C$10 ))</f>
        <v>4950</v>
      </c>
      <c r="D112" s="2">
        <f>ROUND( $D$111 + $D$8, $D$9 - LOG( $D$10 ))</f>
        <v>98</v>
      </c>
      <c r="E112" s="2">
        <f>ROUND( $E$111 + $E$8, $E$9 - LOG( $E$10 ))</f>
        <v>98</v>
      </c>
    </row>
    <row r="113" spans="2:5" outlineLevel="1" x14ac:dyDescent="0.2">
      <c r="B113" s="2">
        <f>ROUND( $B$112 + $B$8, $B$9 - LOG( $B$10 ))</f>
        <v>5000</v>
      </c>
      <c r="C113" s="2">
        <f>ROUND( $C$112 + $C$8, $C$9 - LOG( $C$10 ))</f>
        <v>5000</v>
      </c>
      <c r="D113" s="2">
        <f>ROUND( $D$112 + $D$8, $D$9 - LOG( $D$10 ))</f>
        <v>99</v>
      </c>
      <c r="E113" s="2">
        <f>ROUND( $E$112 + $E$8, $E$9 - LOG( $E$10 ))</f>
        <v>99</v>
      </c>
    </row>
    <row r="114" spans="2:5" outlineLevel="1" x14ac:dyDescent="0.2">
      <c r="B114" s="2">
        <f>ROUND( $B$113 + $B$8, $B$9 - LOG( $B$10 ))</f>
        <v>5050</v>
      </c>
      <c r="C114" s="2">
        <f>ROUND( $C$113 + $C$8, $C$9 - LOG( $C$10 ))</f>
        <v>5050</v>
      </c>
      <c r="D114" s="2">
        <f>ROUND( $D$113 + $D$8, $D$9 - LOG( $D$10 ))</f>
        <v>100</v>
      </c>
      <c r="E114" s="2">
        <f>ROUND( $E$113 + $E$8, $E$9 - LOG( $E$10 ))</f>
        <v>100</v>
      </c>
    </row>
    <row r="115" spans="2:5" x14ac:dyDescent="0.2">
      <c r="B115">
        <f>ROUND( $B$114 + $B$8, $B$9 - LOG( $B$10 ))</f>
        <v>5100</v>
      </c>
      <c r="C115">
        <f>ROUND( $C$114 + $C$8, $C$9 - LOG( $C$10 ))</f>
        <v>5100</v>
      </c>
      <c r="D115">
        <f>ROUND( $D$114 + $D$8, $D$9 - LOG( $D$10 ))</f>
        <v>101</v>
      </c>
      <c r="E115">
        <f>ROUND( $E$114 + $E$8, $E$9 - LOG( $E$10 ))</f>
        <v>101</v>
      </c>
    </row>
    <row r="116" spans="2:5" outlineLevel="1" x14ac:dyDescent="0.2">
      <c r="B116" s="3">
        <f t="array" ref="B116:B217">FREQUENCY( Risk, PM_Risk_bins ) / COUNT( Risk )</f>
        <v>0.42</v>
      </c>
      <c r="C116" s="3">
        <f t="array" ref="C116:C217">FREQUENCY( What_If, PM_What_If_bins ) / COUNT( What_If )</f>
        <v>0.42</v>
      </c>
      <c r="D116" s="3">
        <f t="array" ref="D116:D217">FREQUENCY( Current_Loss_Events, PM_Current_Loss_Events_bins ) / COUNT( Current_Loss_Events )</f>
        <v>0.27</v>
      </c>
      <c r="E116" s="3">
        <f t="array" ref="E116:E217">FREQUENCY( Proposed_Loss_Events, PM_Proposed_Loss_Events_bins ) / COUNT( Proposed_Loss_Events )</f>
        <v>0.27</v>
      </c>
    </row>
    <row r="117" spans="2:5" outlineLevel="1" x14ac:dyDescent="0.2">
      <c r="B117" s="3">
        <v>0.14000000000000001</v>
      </c>
      <c r="C117" s="3">
        <v>0.14000000000000001</v>
      </c>
      <c r="D117" s="3">
        <v>0.3</v>
      </c>
      <c r="E117" s="3">
        <v>0.3</v>
      </c>
    </row>
    <row r="118" spans="2:5" outlineLevel="1" x14ac:dyDescent="0.2">
      <c r="B118" s="3">
        <v>0.16</v>
      </c>
      <c r="C118" s="3">
        <v>0.16</v>
      </c>
      <c r="D118" s="3">
        <v>0.25</v>
      </c>
      <c r="E118" s="3">
        <v>0.25</v>
      </c>
    </row>
    <row r="119" spans="2:5" outlineLevel="1" x14ac:dyDescent="0.2">
      <c r="B119" s="3">
        <v>0.16</v>
      </c>
      <c r="C119" s="3">
        <v>0.16</v>
      </c>
      <c r="D119" s="3">
        <v>0.11</v>
      </c>
      <c r="E119" s="3">
        <v>0.11</v>
      </c>
    </row>
    <row r="120" spans="2:5" outlineLevel="1" x14ac:dyDescent="0.2">
      <c r="B120" s="3">
        <v>0.06</v>
      </c>
      <c r="C120" s="3">
        <v>0.06</v>
      </c>
      <c r="D120" s="3">
        <v>7.0000000000000007E-2</v>
      </c>
      <c r="E120" s="3">
        <v>7.0000000000000007E-2</v>
      </c>
    </row>
    <row r="121" spans="2:5" outlineLevel="1" x14ac:dyDescent="0.2">
      <c r="B121" s="3">
        <v>0.01</v>
      </c>
      <c r="C121" s="3">
        <v>0.01</v>
      </c>
      <c r="D121" s="3">
        <v>0</v>
      </c>
      <c r="E121" s="3">
        <v>0</v>
      </c>
    </row>
    <row r="122" spans="2:5" outlineLevel="1" x14ac:dyDescent="0.2">
      <c r="B122" s="3">
        <v>0.02</v>
      </c>
      <c r="C122" s="3">
        <v>0.02</v>
      </c>
      <c r="D122" s="3">
        <v>0</v>
      </c>
      <c r="E122" s="3">
        <v>0</v>
      </c>
    </row>
    <row r="123" spans="2:5" outlineLevel="1" x14ac:dyDescent="0.2">
      <c r="B123" s="3">
        <v>0.02</v>
      </c>
      <c r="C123" s="3">
        <v>0.02</v>
      </c>
      <c r="D123" s="3">
        <v>0</v>
      </c>
      <c r="E123" s="3">
        <v>0</v>
      </c>
    </row>
    <row r="124" spans="2:5" outlineLevel="1" x14ac:dyDescent="0.2">
      <c r="B124" s="3">
        <v>0</v>
      </c>
      <c r="C124" s="3">
        <v>0</v>
      </c>
      <c r="D124" s="3">
        <v>0</v>
      </c>
      <c r="E124" s="3">
        <v>0</v>
      </c>
    </row>
    <row r="125" spans="2:5" outlineLevel="1" x14ac:dyDescent="0.2">
      <c r="B125" s="3">
        <v>0.01</v>
      </c>
      <c r="C125" s="3">
        <v>0.01</v>
      </c>
      <c r="D125" s="3">
        <v>0</v>
      </c>
      <c r="E125" s="3">
        <v>0</v>
      </c>
    </row>
    <row r="126" spans="2:5" outlineLevel="1" x14ac:dyDescent="0.2">
      <c r="B126" s="3">
        <v>0</v>
      </c>
      <c r="C126" s="3">
        <v>0</v>
      </c>
      <c r="D126" s="3">
        <v>0</v>
      </c>
      <c r="E126" s="3">
        <v>0</v>
      </c>
    </row>
    <row r="127" spans="2:5" outlineLevel="1" x14ac:dyDescent="0.2">
      <c r="B127" s="3">
        <v>0</v>
      </c>
      <c r="C127" s="3">
        <v>0</v>
      </c>
      <c r="D127" s="3">
        <v>0</v>
      </c>
      <c r="E127" s="3">
        <v>0</v>
      </c>
    </row>
    <row r="128" spans="2:5" outlineLevel="1" x14ac:dyDescent="0.2">
      <c r="B128" s="3">
        <v>0</v>
      </c>
      <c r="C128" s="3">
        <v>0</v>
      </c>
      <c r="D128" s="3">
        <v>0</v>
      </c>
      <c r="E128" s="3">
        <v>0</v>
      </c>
    </row>
    <row r="129" spans="2:5" outlineLevel="1" x14ac:dyDescent="0.2">
      <c r="B129" s="3">
        <v>0</v>
      </c>
      <c r="C129" s="3">
        <v>0</v>
      </c>
      <c r="D129" s="3">
        <v>0</v>
      </c>
      <c r="E129" s="3">
        <v>0</v>
      </c>
    </row>
    <row r="130" spans="2:5" outlineLevel="1" x14ac:dyDescent="0.2">
      <c r="B130" s="3">
        <v>0</v>
      </c>
      <c r="C130" s="3">
        <v>0</v>
      </c>
      <c r="D130" s="3">
        <v>0</v>
      </c>
      <c r="E130" s="3">
        <v>0</v>
      </c>
    </row>
    <row r="131" spans="2:5" outlineLevel="1" x14ac:dyDescent="0.2">
      <c r="B131" s="3">
        <v>0</v>
      </c>
      <c r="C131" s="3">
        <v>0</v>
      </c>
      <c r="D131" s="3">
        <v>0</v>
      </c>
      <c r="E131" s="3">
        <v>0</v>
      </c>
    </row>
    <row r="132" spans="2:5" outlineLevel="1" x14ac:dyDescent="0.2">
      <c r="B132" s="3">
        <v>0</v>
      </c>
      <c r="C132" s="3">
        <v>0</v>
      </c>
      <c r="D132" s="3">
        <v>0</v>
      </c>
      <c r="E132" s="3">
        <v>0</v>
      </c>
    </row>
    <row r="133" spans="2:5" outlineLevel="1" x14ac:dyDescent="0.2">
      <c r="B133" s="3">
        <v>0</v>
      </c>
      <c r="C133" s="3">
        <v>0</v>
      </c>
      <c r="D133" s="3">
        <v>0</v>
      </c>
      <c r="E133" s="3">
        <v>0</v>
      </c>
    </row>
    <row r="134" spans="2:5" outlineLevel="1" x14ac:dyDescent="0.2">
      <c r="B134" s="3">
        <v>0</v>
      </c>
      <c r="C134" s="3">
        <v>0</v>
      </c>
      <c r="D134" s="3">
        <v>0</v>
      </c>
      <c r="E134" s="3">
        <v>0</v>
      </c>
    </row>
    <row r="135" spans="2:5" outlineLevel="1" x14ac:dyDescent="0.2">
      <c r="B135" s="3">
        <v>0</v>
      </c>
      <c r="C135" s="3">
        <v>0</v>
      </c>
      <c r="D135" s="3">
        <v>0</v>
      </c>
      <c r="E135" s="3">
        <v>0</v>
      </c>
    </row>
    <row r="136" spans="2:5" outlineLevel="1" x14ac:dyDescent="0.2">
      <c r="B136" s="3">
        <v>0</v>
      </c>
      <c r="C136" s="3">
        <v>0</v>
      </c>
      <c r="D136" s="3">
        <v>0</v>
      </c>
      <c r="E136" s="3">
        <v>0</v>
      </c>
    </row>
    <row r="137" spans="2:5" outlineLevel="1" x14ac:dyDescent="0.2">
      <c r="B137" s="3">
        <v>0</v>
      </c>
      <c r="C137" s="3">
        <v>0</v>
      </c>
      <c r="D137" s="3">
        <v>0</v>
      </c>
      <c r="E137" s="3">
        <v>0</v>
      </c>
    </row>
    <row r="138" spans="2:5" outlineLevel="1" x14ac:dyDescent="0.2">
      <c r="B138" s="3">
        <v>0</v>
      </c>
      <c r="C138" s="3">
        <v>0</v>
      </c>
      <c r="D138" s="3">
        <v>0</v>
      </c>
      <c r="E138" s="3">
        <v>0</v>
      </c>
    </row>
    <row r="139" spans="2:5" outlineLevel="1" x14ac:dyDescent="0.2">
      <c r="B139" s="3">
        <v>0</v>
      </c>
      <c r="C139" s="3">
        <v>0</v>
      </c>
      <c r="D139" s="3">
        <v>0</v>
      </c>
      <c r="E139" s="3">
        <v>0</v>
      </c>
    </row>
    <row r="140" spans="2:5" outlineLevel="1" x14ac:dyDescent="0.2">
      <c r="B140" s="3">
        <v>0</v>
      </c>
      <c r="C140" s="3">
        <v>0</v>
      </c>
      <c r="D140" s="3">
        <v>0</v>
      </c>
      <c r="E140" s="3">
        <v>0</v>
      </c>
    </row>
    <row r="141" spans="2:5" outlineLevel="1" x14ac:dyDescent="0.2">
      <c r="B141" s="3">
        <v>0</v>
      </c>
      <c r="C141" s="3">
        <v>0</v>
      </c>
      <c r="D141" s="3">
        <v>0</v>
      </c>
      <c r="E141" s="3">
        <v>0</v>
      </c>
    </row>
    <row r="142" spans="2:5" outlineLevel="1" x14ac:dyDescent="0.2">
      <c r="B142" s="3">
        <v>0</v>
      </c>
      <c r="C142" s="3">
        <v>0</v>
      </c>
      <c r="D142" s="3">
        <v>0</v>
      </c>
      <c r="E142" s="3">
        <v>0</v>
      </c>
    </row>
    <row r="143" spans="2:5" outlineLevel="1" x14ac:dyDescent="0.2">
      <c r="B143" s="3">
        <v>0</v>
      </c>
      <c r="C143" s="3">
        <v>0</v>
      </c>
      <c r="D143" s="3">
        <v>0</v>
      </c>
      <c r="E143" s="3">
        <v>0</v>
      </c>
    </row>
    <row r="144" spans="2:5" outlineLevel="1" x14ac:dyDescent="0.2">
      <c r="B144" s="3">
        <v>0</v>
      </c>
      <c r="C144" s="3">
        <v>0</v>
      </c>
      <c r="D144" s="3">
        <v>0</v>
      </c>
      <c r="E144" s="3">
        <v>0</v>
      </c>
    </row>
    <row r="145" spans="2:5" outlineLevel="1" x14ac:dyDescent="0.2">
      <c r="B145" s="3">
        <v>0</v>
      </c>
      <c r="C145" s="3">
        <v>0</v>
      </c>
      <c r="D145" s="3">
        <v>0</v>
      </c>
      <c r="E145" s="3">
        <v>0</v>
      </c>
    </row>
    <row r="146" spans="2:5" outlineLevel="1" x14ac:dyDescent="0.2">
      <c r="B146" s="3">
        <v>0</v>
      </c>
      <c r="C146" s="3">
        <v>0</v>
      </c>
      <c r="D146" s="3">
        <v>0</v>
      </c>
      <c r="E146" s="3">
        <v>0</v>
      </c>
    </row>
    <row r="147" spans="2:5" outlineLevel="1" x14ac:dyDescent="0.2">
      <c r="B147" s="3">
        <v>0</v>
      </c>
      <c r="C147" s="3">
        <v>0</v>
      </c>
      <c r="D147" s="3">
        <v>0</v>
      </c>
      <c r="E147" s="3">
        <v>0</v>
      </c>
    </row>
    <row r="148" spans="2:5" outlineLevel="1" x14ac:dyDescent="0.2">
      <c r="B148" s="3">
        <v>0</v>
      </c>
      <c r="C148" s="3">
        <v>0</v>
      </c>
      <c r="D148" s="3">
        <v>0</v>
      </c>
      <c r="E148" s="3">
        <v>0</v>
      </c>
    </row>
    <row r="149" spans="2:5" outlineLevel="1" x14ac:dyDescent="0.2">
      <c r="B149" s="3">
        <v>0</v>
      </c>
      <c r="C149" s="3">
        <v>0</v>
      </c>
      <c r="D149" s="3">
        <v>0</v>
      </c>
      <c r="E149" s="3">
        <v>0</v>
      </c>
    </row>
    <row r="150" spans="2:5" outlineLevel="1" x14ac:dyDescent="0.2">
      <c r="B150" s="3">
        <v>0</v>
      </c>
      <c r="C150" s="3">
        <v>0</v>
      </c>
      <c r="D150" s="3">
        <v>0</v>
      </c>
      <c r="E150" s="3">
        <v>0</v>
      </c>
    </row>
    <row r="151" spans="2:5" outlineLevel="1" x14ac:dyDescent="0.2">
      <c r="B151" s="3">
        <v>0</v>
      </c>
      <c r="C151" s="3">
        <v>0</v>
      </c>
      <c r="D151" s="3">
        <v>0</v>
      </c>
      <c r="E151" s="3">
        <v>0</v>
      </c>
    </row>
    <row r="152" spans="2:5" outlineLevel="1" x14ac:dyDescent="0.2">
      <c r="B152" s="3">
        <v>0</v>
      </c>
      <c r="C152" s="3">
        <v>0</v>
      </c>
      <c r="D152" s="3">
        <v>0</v>
      </c>
      <c r="E152" s="3">
        <v>0</v>
      </c>
    </row>
    <row r="153" spans="2:5" outlineLevel="1" x14ac:dyDescent="0.2">
      <c r="B153" s="3">
        <v>0</v>
      </c>
      <c r="C153" s="3">
        <v>0</v>
      </c>
      <c r="D153" s="3">
        <v>0</v>
      </c>
      <c r="E153" s="3">
        <v>0</v>
      </c>
    </row>
    <row r="154" spans="2:5" outlineLevel="1" x14ac:dyDescent="0.2">
      <c r="B154" s="3">
        <v>0</v>
      </c>
      <c r="C154" s="3">
        <v>0</v>
      </c>
      <c r="D154" s="3">
        <v>0</v>
      </c>
      <c r="E154" s="3">
        <v>0</v>
      </c>
    </row>
    <row r="155" spans="2:5" outlineLevel="1" x14ac:dyDescent="0.2">
      <c r="B155" s="3">
        <v>0</v>
      </c>
      <c r="C155" s="3">
        <v>0</v>
      </c>
      <c r="D155" s="3">
        <v>0</v>
      </c>
      <c r="E155" s="3">
        <v>0</v>
      </c>
    </row>
    <row r="156" spans="2:5" outlineLevel="1" x14ac:dyDescent="0.2">
      <c r="B156" s="3">
        <v>0</v>
      </c>
      <c r="C156" s="3">
        <v>0</v>
      </c>
      <c r="D156" s="3">
        <v>0</v>
      </c>
      <c r="E156" s="3">
        <v>0</v>
      </c>
    </row>
    <row r="157" spans="2:5" outlineLevel="1" x14ac:dyDescent="0.2">
      <c r="B157" s="3">
        <v>0</v>
      </c>
      <c r="C157" s="3">
        <v>0</v>
      </c>
      <c r="D157" s="3">
        <v>0</v>
      </c>
      <c r="E157" s="3">
        <v>0</v>
      </c>
    </row>
    <row r="158" spans="2:5" outlineLevel="1" x14ac:dyDescent="0.2">
      <c r="B158" s="3">
        <v>0</v>
      </c>
      <c r="C158" s="3">
        <v>0</v>
      </c>
      <c r="D158" s="3">
        <v>0</v>
      </c>
      <c r="E158" s="3">
        <v>0</v>
      </c>
    </row>
    <row r="159" spans="2:5" outlineLevel="1" x14ac:dyDescent="0.2">
      <c r="B159" s="3">
        <v>0</v>
      </c>
      <c r="C159" s="3">
        <v>0</v>
      </c>
      <c r="D159" s="3">
        <v>0</v>
      </c>
      <c r="E159" s="3">
        <v>0</v>
      </c>
    </row>
    <row r="160" spans="2:5" outlineLevel="1" x14ac:dyDescent="0.2">
      <c r="B160" s="3">
        <v>0</v>
      </c>
      <c r="C160" s="3">
        <v>0</v>
      </c>
      <c r="D160" s="3">
        <v>0</v>
      </c>
      <c r="E160" s="3">
        <v>0</v>
      </c>
    </row>
    <row r="161" spans="2:5" outlineLevel="1" x14ac:dyDescent="0.2">
      <c r="B161" s="3">
        <v>0</v>
      </c>
      <c r="C161" s="3">
        <v>0</v>
      </c>
      <c r="D161" s="3">
        <v>0</v>
      </c>
      <c r="E161" s="3">
        <v>0</v>
      </c>
    </row>
    <row r="162" spans="2:5" outlineLevel="1" x14ac:dyDescent="0.2">
      <c r="B162" s="3">
        <v>0</v>
      </c>
      <c r="C162" s="3">
        <v>0</v>
      </c>
      <c r="D162" s="3">
        <v>0</v>
      </c>
      <c r="E162" s="3">
        <v>0</v>
      </c>
    </row>
    <row r="163" spans="2:5" outlineLevel="1" x14ac:dyDescent="0.2">
      <c r="B163" s="3">
        <v>0</v>
      </c>
      <c r="C163" s="3">
        <v>0</v>
      </c>
      <c r="D163" s="3">
        <v>0</v>
      </c>
      <c r="E163" s="3">
        <v>0</v>
      </c>
    </row>
    <row r="164" spans="2:5" outlineLevel="1" x14ac:dyDescent="0.2">
      <c r="B164" s="3">
        <v>0</v>
      </c>
      <c r="C164" s="3">
        <v>0</v>
      </c>
      <c r="D164" s="3">
        <v>0</v>
      </c>
      <c r="E164" s="3">
        <v>0</v>
      </c>
    </row>
    <row r="165" spans="2:5" outlineLevel="1" x14ac:dyDescent="0.2">
      <c r="B165" s="3">
        <v>0</v>
      </c>
      <c r="C165" s="3">
        <v>0</v>
      </c>
      <c r="D165" s="3">
        <v>0</v>
      </c>
      <c r="E165" s="3">
        <v>0</v>
      </c>
    </row>
    <row r="166" spans="2:5" outlineLevel="1" x14ac:dyDescent="0.2">
      <c r="B166" s="3">
        <v>0</v>
      </c>
      <c r="C166" s="3">
        <v>0</v>
      </c>
      <c r="D166" s="3">
        <v>0</v>
      </c>
      <c r="E166" s="3">
        <v>0</v>
      </c>
    </row>
    <row r="167" spans="2:5" outlineLevel="1" x14ac:dyDescent="0.2">
      <c r="B167" s="3">
        <v>0</v>
      </c>
      <c r="C167" s="3">
        <v>0</v>
      </c>
      <c r="D167" s="3">
        <v>0</v>
      </c>
      <c r="E167" s="3">
        <v>0</v>
      </c>
    </row>
    <row r="168" spans="2:5" outlineLevel="1" x14ac:dyDescent="0.2">
      <c r="B168" s="3">
        <v>0</v>
      </c>
      <c r="C168" s="3">
        <v>0</v>
      </c>
      <c r="D168" s="3">
        <v>0</v>
      </c>
      <c r="E168" s="3">
        <v>0</v>
      </c>
    </row>
    <row r="169" spans="2:5" outlineLevel="1" x14ac:dyDescent="0.2">
      <c r="B169" s="3">
        <v>0</v>
      </c>
      <c r="C169" s="3">
        <v>0</v>
      </c>
      <c r="D169" s="3">
        <v>0</v>
      </c>
      <c r="E169" s="3">
        <v>0</v>
      </c>
    </row>
    <row r="170" spans="2:5" outlineLevel="1" x14ac:dyDescent="0.2">
      <c r="B170" s="3">
        <v>0</v>
      </c>
      <c r="C170" s="3">
        <v>0</v>
      </c>
      <c r="D170" s="3">
        <v>0</v>
      </c>
      <c r="E170" s="3">
        <v>0</v>
      </c>
    </row>
    <row r="171" spans="2:5" outlineLevel="1" x14ac:dyDescent="0.2">
      <c r="B171" s="3">
        <v>0</v>
      </c>
      <c r="C171" s="3">
        <v>0</v>
      </c>
      <c r="D171" s="3">
        <v>0</v>
      </c>
      <c r="E171" s="3">
        <v>0</v>
      </c>
    </row>
    <row r="172" spans="2:5" outlineLevel="1" x14ac:dyDescent="0.2">
      <c r="B172" s="3">
        <v>0</v>
      </c>
      <c r="C172" s="3">
        <v>0</v>
      </c>
      <c r="D172" s="3">
        <v>0</v>
      </c>
      <c r="E172" s="3">
        <v>0</v>
      </c>
    </row>
    <row r="173" spans="2:5" outlineLevel="1" x14ac:dyDescent="0.2">
      <c r="B173" s="3">
        <v>0</v>
      </c>
      <c r="C173" s="3">
        <v>0</v>
      </c>
      <c r="D173" s="3">
        <v>0</v>
      </c>
      <c r="E173" s="3">
        <v>0</v>
      </c>
    </row>
    <row r="174" spans="2:5" outlineLevel="1" x14ac:dyDescent="0.2">
      <c r="B174" s="3">
        <v>0</v>
      </c>
      <c r="C174" s="3">
        <v>0</v>
      </c>
      <c r="D174" s="3">
        <v>0</v>
      </c>
      <c r="E174" s="3">
        <v>0</v>
      </c>
    </row>
    <row r="175" spans="2:5" outlineLevel="1" x14ac:dyDescent="0.2">
      <c r="B175" s="3">
        <v>0</v>
      </c>
      <c r="C175" s="3">
        <v>0</v>
      </c>
      <c r="D175" s="3">
        <v>0</v>
      </c>
      <c r="E175" s="3">
        <v>0</v>
      </c>
    </row>
    <row r="176" spans="2:5" outlineLevel="1" x14ac:dyDescent="0.2">
      <c r="B176" s="3">
        <v>0</v>
      </c>
      <c r="C176" s="3">
        <v>0</v>
      </c>
      <c r="D176" s="3">
        <v>0</v>
      </c>
      <c r="E176" s="3">
        <v>0</v>
      </c>
    </row>
    <row r="177" spans="2:5" outlineLevel="1" x14ac:dyDescent="0.2">
      <c r="B177" s="3">
        <v>0</v>
      </c>
      <c r="C177" s="3">
        <v>0</v>
      </c>
      <c r="D177" s="3">
        <v>0</v>
      </c>
      <c r="E177" s="3">
        <v>0</v>
      </c>
    </row>
    <row r="178" spans="2:5" outlineLevel="1" x14ac:dyDescent="0.2">
      <c r="B178" s="3">
        <v>0</v>
      </c>
      <c r="C178" s="3">
        <v>0</v>
      </c>
      <c r="D178" s="3">
        <v>0</v>
      </c>
      <c r="E178" s="3">
        <v>0</v>
      </c>
    </row>
    <row r="179" spans="2:5" outlineLevel="1" x14ac:dyDescent="0.2">
      <c r="B179" s="3">
        <v>0</v>
      </c>
      <c r="C179" s="3">
        <v>0</v>
      </c>
      <c r="D179" s="3">
        <v>0</v>
      </c>
      <c r="E179" s="3">
        <v>0</v>
      </c>
    </row>
    <row r="180" spans="2:5" outlineLevel="1" x14ac:dyDescent="0.2">
      <c r="B180" s="3">
        <v>0</v>
      </c>
      <c r="C180" s="3">
        <v>0</v>
      </c>
      <c r="D180" s="3">
        <v>0</v>
      </c>
      <c r="E180" s="3">
        <v>0</v>
      </c>
    </row>
    <row r="181" spans="2:5" outlineLevel="1" x14ac:dyDescent="0.2">
      <c r="B181" s="3">
        <v>0</v>
      </c>
      <c r="C181" s="3">
        <v>0</v>
      </c>
      <c r="D181" s="3">
        <v>0</v>
      </c>
      <c r="E181" s="3">
        <v>0</v>
      </c>
    </row>
    <row r="182" spans="2:5" outlineLevel="1" x14ac:dyDescent="0.2">
      <c r="B182" s="3">
        <v>0</v>
      </c>
      <c r="C182" s="3">
        <v>0</v>
      </c>
      <c r="D182" s="3">
        <v>0</v>
      </c>
      <c r="E182" s="3">
        <v>0</v>
      </c>
    </row>
    <row r="183" spans="2:5" outlineLevel="1" x14ac:dyDescent="0.2">
      <c r="B183" s="3">
        <v>0</v>
      </c>
      <c r="C183" s="3">
        <v>0</v>
      </c>
      <c r="D183" s="3">
        <v>0</v>
      </c>
      <c r="E183" s="3">
        <v>0</v>
      </c>
    </row>
    <row r="184" spans="2:5" outlineLevel="1" x14ac:dyDescent="0.2">
      <c r="B184" s="3">
        <v>0</v>
      </c>
      <c r="C184" s="3">
        <v>0</v>
      </c>
      <c r="D184" s="3">
        <v>0</v>
      </c>
      <c r="E184" s="3">
        <v>0</v>
      </c>
    </row>
    <row r="185" spans="2:5" outlineLevel="1" x14ac:dyDescent="0.2">
      <c r="B185" s="3">
        <v>0</v>
      </c>
      <c r="C185" s="3">
        <v>0</v>
      </c>
      <c r="D185" s="3">
        <v>0</v>
      </c>
      <c r="E185" s="3">
        <v>0</v>
      </c>
    </row>
    <row r="186" spans="2:5" outlineLevel="1" x14ac:dyDescent="0.2">
      <c r="B186" s="3">
        <v>0</v>
      </c>
      <c r="C186" s="3">
        <v>0</v>
      </c>
      <c r="D186" s="3">
        <v>0</v>
      </c>
      <c r="E186" s="3">
        <v>0</v>
      </c>
    </row>
    <row r="187" spans="2:5" outlineLevel="1" x14ac:dyDescent="0.2">
      <c r="B187" s="3">
        <v>0</v>
      </c>
      <c r="C187" s="3">
        <v>0</v>
      </c>
      <c r="D187" s="3">
        <v>0</v>
      </c>
      <c r="E187" s="3">
        <v>0</v>
      </c>
    </row>
    <row r="188" spans="2:5" outlineLevel="1" x14ac:dyDescent="0.2">
      <c r="B188" s="3">
        <v>0</v>
      </c>
      <c r="C188" s="3">
        <v>0</v>
      </c>
      <c r="D188" s="3">
        <v>0</v>
      </c>
      <c r="E188" s="3">
        <v>0</v>
      </c>
    </row>
    <row r="189" spans="2:5" outlineLevel="1" x14ac:dyDescent="0.2">
      <c r="B189" s="3">
        <v>0</v>
      </c>
      <c r="C189" s="3">
        <v>0</v>
      </c>
      <c r="D189" s="3">
        <v>0</v>
      </c>
      <c r="E189" s="3">
        <v>0</v>
      </c>
    </row>
    <row r="190" spans="2:5" outlineLevel="1" x14ac:dyDescent="0.2">
      <c r="B190" s="3">
        <v>0</v>
      </c>
      <c r="C190" s="3">
        <v>0</v>
      </c>
      <c r="D190" s="3">
        <v>0</v>
      </c>
      <c r="E190" s="3">
        <v>0</v>
      </c>
    </row>
    <row r="191" spans="2:5" outlineLevel="1" x14ac:dyDescent="0.2">
      <c r="B191" s="3">
        <v>0</v>
      </c>
      <c r="C191" s="3">
        <v>0</v>
      </c>
      <c r="D191" s="3">
        <v>0</v>
      </c>
      <c r="E191" s="3">
        <v>0</v>
      </c>
    </row>
    <row r="192" spans="2:5" outlineLevel="1" x14ac:dyDescent="0.2">
      <c r="B192" s="3">
        <v>0</v>
      </c>
      <c r="C192" s="3">
        <v>0</v>
      </c>
      <c r="D192" s="3">
        <v>0</v>
      </c>
      <c r="E192" s="3">
        <v>0</v>
      </c>
    </row>
    <row r="193" spans="2:5" outlineLevel="1" x14ac:dyDescent="0.2">
      <c r="B193" s="3">
        <v>0</v>
      </c>
      <c r="C193" s="3">
        <v>0</v>
      </c>
      <c r="D193" s="3">
        <v>0</v>
      </c>
      <c r="E193" s="3">
        <v>0</v>
      </c>
    </row>
    <row r="194" spans="2:5" outlineLevel="1" x14ac:dyDescent="0.2">
      <c r="B194" s="3">
        <v>0</v>
      </c>
      <c r="C194" s="3">
        <v>0</v>
      </c>
      <c r="D194" s="3">
        <v>0</v>
      </c>
      <c r="E194" s="3">
        <v>0</v>
      </c>
    </row>
    <row r="195" spans="2:5" outlineLevel="1" x14ac:dyDescent="0.2">
      <c r="B195" s="3">
        <v>0</v>
      </c>
      <c r="C195" s="3">
        <v>0</v>
      </c>
      <c r="D195" s="3">
        <v>0</v>
      </c>
      <c r="E195" s="3">
        <v>0</v>
      </c>
    </row>
    <row r="196" spans="2:5" outlineLevel="1" x14ac:dyDescent="0.2">
      <c r="B196" s="3">
        <v>0</v>
      </c>
      <c r="C196" s="3">
        <v>0</v>
      </c>
      <c r="D196" s="3">
        <v>0</v>
      </c>
      <c r="E196" s="3">
        <v>0</v>
      </c>
    </row>
    <row r="197" spans="2:5" outlineLevel="1" x14ac:dyDescent="0.2">
      <c r="B197" s="3">
        <v>0</v>
      </c>
      <c r="C197" s="3">
        <v>0</v>
      </c>
      <c r="D197" s="3">
        <v>0</v>
      </c>
      <c r="E197" s="3">
        <v>0</v>
      </c>
    </row>
    <row r="198" spans="2:5" outlineLevel="1" x14ac:dyDescent="0.2">
      <c r="B198" s="3">
        <v>0</v>
      </c>
      <c r="C198" s="3">
        <v>0</v>
      </c>
      <c r="D198" s="3">
        <v>0</v>
      </c>
      <c r="E198" s="3">
        <v>0</v>
      </c>
    </row>
    <row r="199" spans="2:5" outlineLevel="1" x14ac:dyDescent="0.2">
      <c r="B199" s="3">
        <v>0</v>
      </c>
      <c r="C199" s="3">
        <v>0</v>
      </c>
      <c r="D199" s="3">
        <v>0</v>
      </c>
      <c r="E199" s="3">
        <v>0</v>
      </c>
    </row>
    <row r="200" spans="2:5" outlineLevel="1" x14ac:dyDescent="0.2">
      <c r="B200" s="3">
        <v>0</v>
      </c>
      <c r="C200" s="3">
        <v>0</v>
      </c>
      <c r="D200" s="3">
        <v>0</v>
      </c>
      <c r="E200" s="3">
        <v>0</v>
      </c>
    </row>
    <row r="201" spans="2:5" outlineLevel="1" x14ac:dyDescent="0.2">
      <c r="B201" s="3">
        <v>0</v>
      </c>
      <c r="C201" s="3">
        <v>0</v>
      </c>
      <c r="D201" s="3">
        <v>0</v>
      </c>
      <c r="E201" s="3">
        <v>0</v>
      </c>
    </row>
    <row r="202" spans="2:5" outlineLevel="1" x14ac:dyDescent="0.2">
      <c r="B202" s="3">
        <v>0</v>
      </c>
      <c r="C202" s="3">
        <v>0</v>
      </c>
      <c r="D202" s="3">
        <v>0</v>
      </c>
      <c r="E202" s="3">
        <v>0</v>
      </c>
    </row>
    <row r="203" spans="2:5" outlineLevel="1" x14ac:dyDescent="0.2">
      <c r="B203" s="3">
        <v>0</v>
      </c>
      <c r="C203" s="3">
        <v>0</v>
      </c>
      <c r="D203" s="3">
        <v>0</v>
      </c>
      <c r="E203" s="3">
        <v>0</v>
      </c>
    </row>
    <row r="204" spans="2:5" outlineLevel="1" x14ac:dyDescent="0.2">
      <c r="B204" s="3">
        <v>0</v>
      </c>
      <c r="C204" s="3">
        <v>0</v>
      </c>
      <c r="D204" s="3">
        <v>0</v>
      </c>
      <c r="E204" s="3">
        <v>0</v>
      </c>
    </row>
    <row r="205" spans="2:5" outlineLevel="1" x14ac:dyDescent="0.2">
      <c r="B205" s="3">
        <v>0</v>
      </c>
      <c r="C205" s="3">
        <v>0</v>
      </c>
      <c r="D205" s="3">
        <v>0</v>
      </c>
      <c r="E205" s="3">
        <v>0</v>
      </c>
    </row>
    <row r="206" spans="2:5" outlineLevel="1" x14ac:dyDescent="0.2">
      <c r="B206" s="3">
        <v>0</v>
      </c>
      <c r="C206" s="3">
        <v>0</v>
      </c>
      <c r="D206" s="3">
        <v>0</v>
      </c>
      <c r="E206" s="3">
        <v>0</v>
      </c>
    </row>
    <row r="207" spans="2:5" outlineLevel="1" x14ac:dyDescent="0.2">
      <c r="B207" s="3">
        <v>0</v>
      </c>
      <c r="C207" s="3">
        <v>0</v>
      </c>
      <c r="D207" s="3">
        <v>0</v>
      </c>
      <c r="E207" s="3">
        <v>0</v>
      </c>
    </row>
    <row r="208" spans="2:5" outlineLevel="1" x14ac:dyDescent="0.2">
      <c r="B208" s="3">
        <v>0</v>
      </c>
      <c r="C208" s="3">
        <v>0</v>
      </c>
      <c r="D208" s="3">
        <v>0</v>
      </c>
      <c r="E208" s="3">
        <v>0</v>
      </c>
    </row>
    <row r="209" spans="2:5" outlineLevel="1" x14ac:dyDescent="0.2">
      <c r="B209" s="3">
        <v>0</v>
      </c>
      <c r="C209" s="3">
        <v>0</v>
      </c>
      <c r="D209" s="3">
        <v>0</v>
      </c>
      <c r="E209" s="3">
        <v>0</v>
      </c>
    </row>
    <row r="210" spans="2:5" outlineLevel="1" x14ac:dyDescent="0.2">
      <c r="B210" s="3">
        <v>0</v>
      </c>
      <c r="C210" s="3">
        <v>0</v>
      </c>
      <c r="D210" s="3">
        <v>0</v>
      </c>
      <c r="E210" s="3">
        <v>0</v>
      </c>
    </row>
    <row r="211" spans="2:5" outlineLevel="1" x14ac:dyDescent="0.2">
      <c r="B211" s="3">
        <v>0</v>
      </c>
      <c r="C211" s="3">
        <v>0</v>
      </c>
      <c r="D211" s="3">
        <v>0</v>
      </c>
      <c r="E211" s="3">
        <v>0</v>
      </c>
    </row>
    <row r="212" spans="2:5" outlineLevel="1" x14ac:dyDescent="0.2">
      <c r="B212" s="3">
        <v>0</v>
      </c>
      <c r="C212" s="3">
        <v>0</v>
      </c>
      <c r="D212" s="3">
        <v>0</v>
      </c>
      <c r="E212" s="3">
        <v>0</v>
      </c>
    </row>
    <row r="213" spans="2:5" outlineLevel="1" x14ac:dyDescent="0.2">
      <c r="B213" s="3">
        <v>0</v>
      </c>
      <c r="C213" s="3">
        <v>0</v>
      </c>
      <c r="D213" s="3">
        <v>0</v>
      </c>
      <c r="E213" s="3">
        <v>0</v>
      </c>
    </row>
    <row r="214" spans="2:5" outlineLevel="1" x14ac:dyDescent="0.2">
      <c r="B214" s="3">
        <v>0</v>
      </c>
      <c r="C214" s="3">
        <v>0</v>
      </c>
      <c r="D214" s="3">
        <v>0</v>
      </c>
      <c r="E214" s="3">
        <v>0</v>
      </c>
    </row>
    <row r="215" spans="2:5" outlineLevel="1" x14ac:dyDescent="0.2">
      <c r="B215" s="3">
        <v>0</v>
      </c>
      <c r="C215" s="3">
        <v>0</v>
      </c>
      <c r="D215" s="3">
        <v>0</v>
      </c>
      <c r="E215" s="3">
        <v>0</v>
      </c>
    </row>
    <row r="216" spans="2:5" outlineLevel="1" x14ac:dyDescent="0.2">
      <c r="B216" s="3">
        <v>0</v>
      </c>
      <c r="C216" s="3">
        <v>0</v>
      </c>
      <c r="D216" s="3">
        <v>0</v>
      </c>
      <c r="E216" s="3">
        <v>0</v>
      </c>
    </row>
    <row r="217" spans="2:5" outlineLevel="1" x14ac:dyDescent="0.2">
      <c r="B217" s="3">
        <v>0</v>
      </c>
      <c r="C217" s="3">
        <v>0</v>
      </c>
      <c r="D217" s="3">
        <v>0</v>
      </c>
      <c r="E217" s="3">
        <v>0</v>
      </c>
    </row>
    <row r="219" spans="2:5" outlineLevel="1" x14ac:dyDescent="0.2">
      <c r="B219" s="4" t="str">
        <f>C219</f>
        <v xml:space="preserve">0          </v>
      </c>
      <c r="C219" s="4" t="str">
        <f t="shared" ref="C219:C250" si="0">IF($C$4, $C14, $C13 / $C$10 &amp; REPT( " ", $C$7 ))</f>
        <v xml:space="preserve">0          </v>
      </c>
      <c r="D219" s="4">
        <f t="shared" ref="D219:D250" si="1">IF($D$4, $D14, $D13 / $D$10 &amp; REPT( " ", $D$7 ))</f>
        <v>0</v>
      </c>
      <c r="E219" s="4">
        <f t="shared" ref="E219:E250" si="2">IF($E$4, $E14, $E13 / $E$10 &amp; REPT( " ", $E$7 ))</f>
        <v>0</v>
      </c>
    </row>
    <row r="220" spans="2:5" outlineLevel="1" x14ac:dyDescent="0.2">
      <c r="B220" s="4" t="str">
        <f t="shared" ref="B220:B283" si="3">C220</f>
        <v xml:space="preserve">50          </v>
      </c>
      <c r="C220" s="4" t="str">
        <f t="shared" si="0"/>
        <v xml:space="preserve">50          </v>
      </c>
      <c r="D220" s="4">
        <f t="shared" si="1"/>
        <v>1</v>
      </c>
      <c r="E220" s="4">
        <f t="shared" si="2"/>
        <v>1</v>
      </c>
    </row>
    <row r="221" spans="2:5" outlineLevel="1" x14ac:dyDescent="0.2">
      <c r="B221" s="4" t="str">
        <f t="shared" si="3"/>
        <v xml:space="preserve">100          </v>
      </c>
      <c r="C221" s="4" t="str">
        <f t="shared" si="0"/>
        <v xml:space="preserve">100          </v>
      </c>
      <c r="D221" s="4">
        <f t="shared" si="1"/>
        <v>2</v>
      </c>
      <c r="E221" s="4">
        <f t="shared" si="2"/>
        <v>2</v>
      </c>
    </row>
    <row r="222" spans="2:5" outlineLevel="1" x14ac:dyDescent="0.2">
      <c r="B222" s="4" t="str">
        <f t="shared" si="3"/>
        <v xml:space="preserve">150          </v>
      </c>
      <c r="C222" s="4" t="str">
        <f t="shared" si="0"/>
        <v xml:space="preserve">150          </v>
      </c>
      <c r="D222" s="4">
        <f t="shared" si="1"/>
        <v>3</v>
      </c>
      <c r="E222" s="4">
        <f t="shared" si="2"/>
        <v>3</v>
      </c>
    </row>
    <row r="223" spans="2:5" outlineLevel="1" x14ac:dyDescent="0.2">
      <c r="B223" s="4" t="str">
        <f t="shared" si="3"/>
        <v xml:space="preserve">200          </v>
      </c>
      <c r="C223" s="4" t="str">
        <f t="shared" si="0"/>
        <v xml:space="preserve">200          </v>
      </c>
      <c r="D223" s="4">
        <f t="shared" si="1"/>
        <v>4</v>
      </c>
      <c r="E223" s="4">
        <f t="shared" si="2"/>
        <v>4</v>
      </c>
    </row>
    <row r="224" spans="2:5" outlineLevel="1" x14ac:dyDescent="0.2">
      <c r="B224" s="4" t="str">
        <f t="shared" si="3"/>
        <v xml:space="preserve">250          </v>
      </c>
      <c r="C224" s="4" t="str">
        <f t="shared" si="0"/>
        <v xml:space="preserve">250          </v>
      </c>
      <c r="D224" s="4">
        <f t="shared" si="1"/>
        <v>5</v>
      </c>
      <c r="E224" s="4">
        <f t="shared" si="2"/>
        <v>5</v>
      </c>
    </row>
    <row r="225" spans="2:5" outlineLevel="1" x14ac:dyDescent="0.2">
      <c r="B225" s="4" t="str">
        <f t="shared" si="3"/>
        <v xml:space="preserve">300          </v>
      </c>
      <c r="C225" s="4" t="str">
        <f t="shared" si="0"/>
        <v xml:space="preserve">300          </v>
      </c>
      <c r="D225" s="4">
        <f t="shared" si="1"/>
        <v>6</v>
      </c>
      <c r="E225" s="4">
        <f t="shared" si="2"/>
        <v>6</v>
      </c>
    </row>
    <row r="226" spans="2:5" outlineLevel="1" x14ac:dyDescent="0.2">
      <c r="B226" s="4" t="str">
        <f t="shared" si="3"/>
        <v xml:space="preserve">350          </v>
      </c>
      <c r="C226" s="4" t="str">
        <f t="shared" si="0"/>
        <v xml:space="preserve">350          </v>
      </c>
      <c r="D226" s="4">
        <f t="shared" si="1"/>
        <v>7</v>
      </c>
      <c r="E226" s="4">
        <f t="shared" si="2"/>
        <v>7</v>
      </c>
    </row>
    <row r="227" spans="2:5" outlineLevel="1" x14ac:dyDescent="0.2">
      <c r="B227" s="4" t="str">
        <f t="shared" si="3"/>
        <v xml:space="preserve">400          </v>
      </c>
      <c r="C227" s="4" t="str">
        <f t="shared" si="0"/>
        <v xml:space="preserve">400          </v>
      </c>
      <c r="D227" s="4">
        <f t="shared" si="1"/>
        <v>8</v>
      </c>
      <c r="E227" s="4">
        <f t="shared" si="2"/>
        <v>8</v>
      </c>
    </row>
    <row r="228" spans="2:5" outlineLevel="1" x14ac:dyDescent="0.2">
      <c r="B228" s="4" t="str">
        <f t="shared" si="3"/>
        <v xml:space="preserve">450          </v>
      </c>
      <c r="C228" s="4" t="str">
        <f t="shared" si="0"/>
        <v xml:space="preserve">450          </v>
      </c>
      <c r="D228" s="4">
        <f t="shared" si="1"/>
        <v>9</v>
      </c>
      <c r="E228" s="4">
        <f t="shared" si="2"/>
        <v>9</v>
      </c>
    </row>
    <row r="229" spans="2:5" outlineLevel="1" x14ac:dyDescent="0.2">
      <c r="B229" s="4" t="str">
        <f t="shared" si="3"/>
        <v xml:space="preserve">500          </v>
      </c>
      <c r="C229" s="4" t="str">
        <f t="shared" si="0"/>
        <v xml:space="preserve">500          </v>
      </c>
      <c r="D229" s="4">
        <f t="shared" si="1"/>
        <v>10</v>
      </c>
      <c r="E229" s="4">
        <f t="shared" si="2"/>
        <v>10</v>
      </c>
    </row>
    <row r="230" spans="2:5" outlineLevel="1" x14ac:dyDescent="0.2">
      <c r="B230" s="4" t="str">
        <f t="shared" si="3"/>
        <v xml:space="preserve">550          </v>
      </c>
      <c r="C230" s="4" t="str">
        <f t="shared" si="0"/>
        <v xml:space="preserve">550          </v>
      </c>
      <c r="D230" s="4">
        <f t="shared" si="1"/>
        <v>11</v>
      </c>
      <c r="E230" s="4">
        <f t="shared" si="2"/>
        <v>11</v>
      </c>
    </row>
    <row r="231" spans="2:5" outlineLevel="1" x14ac:dyDescent="0.2">
      <c r="B231" s="4" t="str">
        <f t="shared" si="3"/>
        <v xml:space="preserve">600          </v>
      </c>
      <c r="C231" s="4" t="str">
        <f t="shared" si="0"/>
        <v xml:space="preserve">600          </v>
      </c>
      <c r="D231" s="4">
        <f t="shared" si="1"/>
        <v>12</v>
      </c>
      <c r="E231" s="4">
        <f t="shared" si="2"/>
        <v>12</v>
      </c>
    </row>
    <row r="232" spans="2:5" outlineLevel="1" x14ac:dyDescent="0.2">
      <c r="B232" s="4" t="str">
        <f t="shared" si="3"/>
        <v xml:space="preserve">650          </v>
      </c>
      <c r="C232" s="4" t="str">
        <f t="shared" si="0"/>
        <v xml:space="preserve">650          </v>
      </c>
      <c r="D232" s="4">
        <f t="shared" si="1"/>
        <v>13</v>
      </c>
      <c r="E232" s="4">
        <f t="shared" si="2"/>
        <v>13</v>
      </c>
    </row>
    <row r="233" spans="2:5" outlineLevel="1" x14ac:dyDescent="0.2">
      <c r="B233" s="4" t="str">
        <f t="shared" si="3"/>
        <v xml:space="preserve">700          </v>
      </c>
      <c r="C233" s="4" t="str">
        <f t="shared" si="0"/>
        <v xml:space="preserve">700          </v>
      </c>
      <c r="D233" s="4">
        <f t="shared" si="1"/>
        <v>14</v>
      </c>
      <c r="E233" s="4">
        <f t="shared" si="2"/>
        <v>14</v>
      </c>
    </row>
    <row r="234" spans="2:5" outlineLevel="1" x14ac:dyDescent="0.2">
      <c r="B234" s="4" t="str">
        <f t="shared" si="3"/>
        <v xml:space="preserve">750          </v>
      </c>
      <c r="C234" s="4" t="str">
        <f t="shared" si="0"/>
        <v xml:space="preserve">750          </v>
      </c>
      <c r="D234" s="4">
        <f t="shared" si="1"/>
        <v>15</v>
      </c>
      <c r="E234" s="4">
        <f t="shared" si="2"/>
        <v>15</v>
      </c>
    </row>
    <row r="235" spans="2:5" outlineLevel="1" x14ac:dyDescent="0.2">
      <c r="B235" s="4" t="str">
        <f t="shared" si="3"/>
        <v xml:space="preserve">800          </v>
      </c>
      <c r="C235" s="4" t="str">
        <f t="shared" si="0"/>
        <v xml:space="preserve">800          </v>
      </c>
      <c r="D235" s="4">
        <f t="shared" si="1"/>
        <v>16</v>
      </c>
      <c r="E235" s="4">
        <f t="shared" si="2"/>
        <v>16</v>
      </c>
    </row>
    <row r="236" spans="2:5" outlineLevel="1" x14ac:dyDescent="0.2">
      <c r="B236" s="4" t="str">
        <f t="shared" si="3"/>
        <v xml:space="preserve">850          </v>
      </c>
      <c r="C236" s="4" t="str">
        <f t="shared" si="0"/>
        <v xml:space="preserve">850          </v>
      </c>
      <c r="D236" s="4">
        <f t="shared" si="1"/>
        <v>17</v>
      </c>
      <c r="E236" s="4">
        <f t="shared" si="2"/>
        <v>17</v>
      </c>
    </row>
    <row r="237" spans="2:5" outlineLevel="1" x14ac:dyDescent="0.2">
      <c r="B237" s="4" t="str">
        <f t="shared" si="3"/>
        <v xml:space="preserve">900          </v>
      </c>
      <c r="C237" s="4" t="str">
        <f t="shared" si="0"/>
        <v xml:space="preserve">900          </v>
      </c>
      <c r="D237" s="4">
        <f t="shared" si="1"/>
        <v>18</v>
      </c>
      <c r="E237" s="4">
        <f t="shared" si="2"/>
        <v>18</v>
      </c>
    </row>
    <row r="238" spans="2:5" outlineLevel="1" x14ac:dyDescent="0.2">
      <c r="B238" s="4" t="str">
        <f t="shared" si="3"/>
        <v xml:space="preserve">950          </v>
      </c>
      <c r="C238" s="4" t="str">
        <f t="shared" si="0"/>
        <v xml:space="preserve">950          </v>
      </c>
      <c r="D238" s="4">
        <f t="shared" si="1"/>
        <v>19</v>
      </c>
      <c r="E238" s="4">
        <f t="shared" si="2"/>
        <v>19</v>
      </c>
    </row>
    <row r="239" spans="2:5" outlineLevel="1" x14ac:dyDescent="0.2">
      <c r="B239" s="4" t="str">
        <f t="shared" si="3"/>
        <v xml:space="preserve">1000          </v>
      </c>
      <c r="C239" s="4" t="str">
        <f t="shared" si="0"/>
        <v xml:space="preserve">1000          </v>
      </c>
      <c r="D239" s="4">
        <f t="shared" si="1"/>
        <v>20</v>
      </c>
      <c r="E239" s="4">
        <f t="shared" si="2"/>
        <v>20</v>
      </c>
    </row>
    <row r="240" spans="2:5" outlineLevel="1" x14ac:dyDescent="0.2">
      <c r="B240" s="4" t="str">
        <f t="shared" si="3"/>
        <v xml:space="preserve">1050          </v>
      </c>
      <c r="C240" s="4" t="str">
        <f t="shared" si="0"/>
        <v xml:space="preserve">1050          </v>
      </c>
      <c r="D240" s="4">
        <f t="shared" si="1"/>
        <v>21</v>
      </c>
      <c r="E240" s="4">
        <f t="shared" si="2"/>
        <v>21</v>
      </c>
    </row>
    <row r="241" spans="2:5" outlineLevel="1" x14ac:dyDescent="0.2">
      <c r="B241" s="4" t="str">
        <f t="shared" si="3"/>
        <v xml:space="preserve">1100          </v>
      </c>
      <c r="C241" s="4" t="str">
        <f t="shared" si="0"/>
        <v xml:space="preserve">1100          </v>
      </c>
      <c r="D241" s="4">
        <f t="shared" si="1"/>
        <v>22</v>
      </c>
      <c r="E241" s="4">
        <f t="shared" si="2"/>
        <v>22</v>
      </c>
    </row>
    <row r="242" spans="2:5" outlineLevel="1" x14ac:dyDescent="0.2">
      <c r="B242" s="4" t="str">
        <f t="shared" si="3"/>
        <v xml:space="preserve">1150          </v>
      </c>
      <c r="C242" s="4" t="str">
        <f t="shared" si="0"/>
        <v xml:space="preserve">1150          </v>
      </c>
      <c r="D242" s="4">
        <f t="shared" si="1"/>
        <v>23</v>
      </c>
      <c r="E242" s="4">
        <f t="shared" si="2"/>
        <v>23</v>
      </c>
    </row>
    <row r="243" spans="2:5" outlineLevel="1" x14ac:dyDescent="0.2">
      <c r="B243" s="4" t="str">
        <f t="shared" si="3"/>
        <v xml:space="preserve">1200          </v>
      </c>
      <c r="C243" s="4" t="str">
        <f t="shared" si="0"/>
        <v xml:space="preserve">1200          </v>
      </c>
      <c r="D243" s="4">
        <f t="shared" si="1"/>
        <v>24</v>
      </c>
      <c r="E243" s="4">
        <f t="shared" si="2"/>
        <v>24</v>
      </c>
    </row>
    <row r="244" spans="2:5" outlineLevel="1" x14ac:dyDescent="0.2">
      <c r="B244" s="4" t="str">
        <f t="shared" si="3"/>
        <v xml:space="preserve">1250          </v>
      </c>
      <c r="C244" s="4" t="str">
        <f t="shared" si="0"/>
        <v xml:space="preserve">1250          </v>
      </c>
      <c r="D244" s="4">
        <f t="shared" si="1"/>
        <v>25</v>
      </c>
      <c r="E244" s="4">
        <f t="shared" si="2"/>
        <v>25</v>
      </c>
    </row>
    <row r="245" spans="2:5" outlineLevel="1" x14ac:dyDescent="0.2">
      <c r="B245" s="4" t="str">
        <f t="shared" si="3"/>
        <v xml:space="preserve">1300          </v>
      </c>
      <c r="C245" s="4" t="str">
        <f t="shared" si="0"/>
        <v xml:space="preserve">1300          </v>
      </c>
      <c r="D245" s="4">
        <f t="shared" si="1"/>
        <v>26</v>
      </c>
      <c r="E245" s="4">
        <f t="shared" si="2"/>
        <v>26</v>
      </c>
    </row>
    <row r="246" spans="2:5" outlineLevel="1" x14ac:dyDescent="0.2">
      <c r="B246" s="4" t="str">
        <f t="shared" si="3"/>
        <v xml:space="preserve">1350          </v>
      </c>
      <c r="C246" s="4" t="str">
        <f t="shared" si="0"/>
        <v xml:space="preserve">1350          </v>
      </c>
      <c r="D246" s="4">
        <f t="shared" si="1"/>
        <v>27</v>
      </c>
      <c r="E246" s="4">
        <f t="shared" si="2"/>
        <v>27</v>
      </c>
    </row>
    <row r="247" spans="2:5" outlineLevel="1" x14ac:dyDescent="0.2">
      <c r="B247" s="4" t="str">
        <f t="shared" si="3"/>
        <v xml:space="preserve">1400          </v>
      </c>
      <c r="C247" s="4" t="str">
        <f t="shared" si="0"/>
        <v xml:space="preserve">1400          </v>
      </c>
      <c r="D247" s="4">
        <f t="shared" si="1"/>
        <v>28</v>
      </c>
      <c r="E247" s="4">
        <f t="shared" si="2"/>
        <v>28</v>
      </c>
    </row>
    <row r="248" spans="2:5" outlineLevel="1" x14ac:dyDescent="0.2">
      <c r="B248" s="4" t="str">
        <f t="shared" si="3"/>
        <v xml:space="preserve">1450          </v>
      </c>
      <c r="C248" s="4" t="str">
        <f t="shared" si="0"/>
        <v xml:space="preserve">1450          </v>
      </c>
      <c r="D248" s="4">
        <f t="shared" si="1"/>
        <v>29</v>
      </c>
      <c r="E248" s="4">
        <f t="shared" si="2"/>
        <v>29</v>
      </c>
    </row>
    <row r="249" spans="2:5" outlineLevel="1" x14ac:dyDescent="0.2">
      <c r="B249" s="4" t="str">
        <f t="shared" si="3"/>
        <v xml:space="preserve">1500          </v>
      </c>
      <c r="C249" s="4" t="str">
        <f t="shared" si="0"/>
        <v xml:space="preserve">1500          </v>
      </c>
      <c r="D249" s="4">
        <f t="shared" si="1"/>
        <v>30</v>
      </c>
      <c r="E249" s="4">
        <f t="shared" si="2"/>
        <v>30</v>
      </c>
    </row>
    <row r="250" spans="2:5" outlineLevel="1" x14ac:dyDescent="0.2">
      <c r="B250" s="4" t="str">
        <f t="shared" si="3"/>
        <v xml:space="preserve">1550          </v>
      </c>
      <c r="C250" s="4" t="str">
        <f t="shared" si="0"/>
        <v xml:space="preserve">1550          </v>
      </c>
      <c r="D250" s="4">
        <f t="shared" si="1"/>
        <v>31</v>
      </c>
      <c r="E250" s="4">
        <f t="shared" si="2"/>
        <v>31</v>
      </c>
    </row>
    <row r="251" spans="2:5" outlineLevel="1" x14ac:dyDescent="0.2">
      <c r="B251" s="4" t="str">
        <f t="shared" si="3"/>
        <v xml:space="preserve">1600          </v>
      </c>
      <c r="C251" s="4" t="str">
        <f t="shared" ref="C251:C282" si="4">IF($C$4, $C46, $C45 / $C$10 &amp; REPT( " ", $C$7 ))</f>
        <v xml:space="preserve">1600          </v>
      </c>
      <c r="D251" s="4">
        <f t="shared" ref="D251:D282" si="5">IF($D$4, $D46, $D45 / $D$10 &amp; REPT( " ", $D$7 ))</f>
        <v>32</v>
      </c>
      <c r="E251" s="4">
        <f t="shared" ref="E251:E282" si="6">IF($E$4, $E46, $E45 / $E$10 &amp; REPT( " ", $E$7 ))</f>
        <v>32</v>
      </c>
    </row>
    <row r="252" spans="2:5" outlineLevel="1" x14ac:dyDescent="0.2">
      <c r="B252" s="4" t="str">
        <f t="shared" si="3"/>
        <v xml:space="preserve">1650          </v>
      </c>
      <c r="C252" s="4" t="str">
        <f t="shared" si="4"/>
        <v xml:space="preserve">1650          </v>
      </c>
      <c r="D252" s="4">
        <f t="shared" si="5"/>
        <v>33</v>
      </c>
      <c r="E252" s="4">
        <f t="shared" si="6"/>
        <v>33</v>
      </c>
    </row>
    <row r="253" spans="2:5" outlineLevel="1" x14ac:dyDescent="0.2">
      <c r="B253" s="4" t="str">
        <f t="shared" si="3"/>
        <v xml:space="preserve">1700          </v>
      </c>
      <c r="C253" s="4" t="str">
        <f t="shared" si="4"/>
        <v xml:space="preserve">1700          </v>
      </c>
      <c r="D253" s="4">
        <f t="shared" si="5"/>
        <v>34</v>
      </c>
      <c r="E253" s="4">
        <f t="shared" si="6"/>
        <v>34</v>
      </c>
    </row>
    <row r="254" spans="2:5" outlineLevel="1" x14ac:dyDescent="0.2">
      <c r="B254" s="4" t="str">
        <f t="shared" si="3"/>
        <v xml:space="preserve">1750          </v>
      </c>
      <c r="C254" s="4" t="str">
        <f t="shared" si="4"/>
        <v xml:space="preserve">1750          </v>
      </c>
      <c r="D254" s="4">
        <f t="shared" si="5"/>
        <v>35</v>
      </c>
      <c r="E254" s="4">
        <f t="shared" si="6"/>
        <v>35</v>
      </c>
    </row>
    <row r="255" spans="2:5" outlineLevel="1" x14ac:dyDescent="0.2">
      <c r="B255" s="4" t="str">
        <f t="shared" si="3"/>
        <v xml:space="preserve">1800          </v>
      </c>
      <c r="C255" s="4" t="str">
        <f t="shared" si="4"/>
        <v xml:space="preserve">1800          </v>
      </c>
      <c r="D255" s="4">
        <f t="shared" si="5"/>
        <v>36</v>
      </c>
      <c r="E255" s="4">
        <f t="shared" si="6"/>
        <v>36</v>
      </c>
    </row>
    <row r="256" spans="2:5" outlineLevel="1" x14ac:dyDescent="0.2">
      <c r="B256" s="4" t="str">
        <f t="shared" si="3"/>
        <v xml:space="preserve">1850          </v>
      </c>
      <c r="C256" s="4" t="str">
        <f t="shared" si="4"/>
        <v xml:space="preserve">1850          </v>
      </c>
      <c r="D256" s="4">
        <f t="shared" si="5"/>
        <v>37</v>
      </c>
      <c r="E256" s="4">
        <f t="shared" si="6"/>
        <v>37</v>
      </c>
    </row>
    <row r="257" spans="2:5" outlineLevel="1" x14ac:dyDescent="0.2">
      <c r="B257" s="4" t="str">
        <f t="shared" si="3"/>
        <v xml:space="preserve">1900          </v>
      </c>
      <c r="C257" s="4" t="str">
        <f t="shared" si="4"/>
        <v xml:space="preserve">1900          </v>
      </c>
      <c r="D257" s="4">
        <f t="shared" si="5"/>
        <v>38</v>
      </c>
      <c r="E257" s="4">
        <f t="shared" si="6"/>
        <v>38</v>
      </c>
    </row>
    <row r="258" spans="2:5" outlineLevel="1" x14ac:dyDescent="0.2">
      <c r="B258" s="4" t="str">
        <f t="shared" si="3"/>
        <v xml:space="preserve">1950          </v>
      </c>
      <c r="C258" s="4" t="str">
        <f t="shared" si="4"/>
        <v xml:space="preserve">1950          </v>
      </c>
      <c r="D258" s="4">
        <f t="shared" si="5"/>
        <v>39</v>
      </c>
      <c r="E258" s="4">
        <f t="shared" si="6"/>
        <v>39</v>
      </c>
    </row>
    <row r="259" spans="2:5" outlineLevel="1" x14ac:dyDescent="0.2">
      <c r="B259" s="4" t="str">
        <f t="shared" si="3"/>
        <v xml:space="preserve">2000          </v>
      </c>
      <c r="C259" s="4" t="str">
        <f t="shared" si="4"/>
        <v xml:space="preserve">2000          </v>
      </c>
      <c r="D259" s="4">
        <f t="shared" si="5"/>
        <v>40</v>
      </c>
      <c r="E259" s="4">
        <f t="shared" si="6"/>
        <v>40</v>
      </c>
    </row>
    <row r="260" spans="2:5" outlineLevel="1" x14ac:dyDescent="0.2">
      <c r="B260" s="4" t="str">
        <f t="shared" si="3"/>
        <v xml:space="preserve">2050          </v>
      </c>
      <c r="C260" s="4" t="str">
        <f t="shared" si="4"/>
        <v xml:space="preserve">2050          </v>
      </c>
      <c r="D260" s="4">
        <f t="shared" si="5"/>
        <v>41</v>
      </c>
      <c r="E260" s="4">
        <f t="shared" si="6"/>
        <v>41</v>
      </c>
    </row>
    <row r="261" spans="2:5" outlineLevel="1" x14ac:dyDescent="0.2">
      <c r="B261" s="4" t="str">
        <f t="shared" si="3"/>
        <v xml:space="preserve">2100          </v>
      </c>
      <c r="C261" s="4" t="str">
        <f t="shared" si="4"/>
        <v xml:space="preserve">2100          </v>
      </c>
      <c r="D261" s="4">
        <f t="shared" si="5"/>
        <v>42</v>
      </c>
      <c r="E261" s="4">
        <f t="shared" si="6"/>
        <v>42</v>
      </c>
    </row>
    <row r="262" spans="2:5" outlineLevel="1" x14ac:dyDescent="0.2">
      <c r="B262" s="4" t="str">
        <f t="shared" si="3"/>
        <v xml:space="preserve">2150          </v>
      </c>
      <c r="C262" s="4" t="str">
        <f t="shared" si="4"/>
        <v xml:space="preserve">2150          </v>
      </c>
      <c r="D262" s="4">
        <f t="shared" si="5"/>
        <v>43</v>
      </c>
      <c r="E262" s="4">
        <f t="shared" si="6"/>
        <v>43</v>
      </c>
    </row>
    <row r="263" spans="2:5" outlineLevel="1" x14ac:dyDescent="0.2">
      <c r="B263" s="4" t="str">
        <f t="shared" si="3"/>
        <v xml:space="preserve">2200          </v>
      </c>
      <c r="C263" s="4" t="str">
        <f t="shared" si="4"/>
        <v xml:space="preserve">2200          </v>
      </c>
      <c r="D263" s="4">
        <f t="shared" si="5"/>
        <v>44</v>
      </c>
      <c r="E263" s="4">
        <f t="shared" si="6"/>
        <v>44</v>
      </c>
    </row>
    <row r="264" spans="2:5" outlineLevel="1" x14ac:dyDescent="0.2">
      <c r="B264" s="4" t="str">
        <f t="shared" si="3"/>
        <v xml:space="preserve">2250          </v>
      </c>
      <c r="C264" s="4" t="str">
        <f t="shared" si="4"/>
        <v xml:space="preserve">2250          </v>
      </c>
      <c r="D264" s="4">
        <f t="shared" si="5"/>
        <v>45</v>
      </c>
      <c r="E264" s="4">
        <f t="shared" si="6"/>
        <v>45</v>
      </c>
    </row>
    <row r="265" spans="2:5" outlineLevel="1" x14ac:dyDescent="0.2">
      <c r="B265" s="4" t="str">
        <f t="shared" si="3"/>
        <v xml:space="preserve">2300          </v>
      </c>
      <c r="C265" s="4" t="str">
        <f t="shared" si="4"/>
        <v xml:space="preserve">2300          </v>
      </c>
      <c r="D265" s="4">
        <f t="shared" si="5"/>
        <v>46</v>
      </c>
      <c r="E265" s="4">
        <f t="shared" si="6"/>
        <v>46</v>
      </c>
    </row>
    <row r="266" spans="2:5" outlineLevel="1" x14ac:dyDescent="0.2">
      <c r="B266" s="4" t="str">
        <f t="shared" si="3"/>
        <v xml:space="preserve">2350          </v>
      </c>
      <c r="C266" s="4" t="str">
        <f t="shared" si="4"/>
        <v xml:space="preserve">2350          </v>
      </c>
      <c r="D266" s="4">
        <f t="shared" si="5"/>
        <v>47</v>
      </c>
      <c r="E266" s="4">
        <f t="shared" si="6"/>
        <v>47</v>
      </c>
    </row>
    <row r="267" spans="2:5" outlineLevel="1" x14ac:dyDescent="0.2">
      <c r="B267" s="4" t="str">
        <f t="shared" si="3"/>
        <v xml:space="preserve">2400          </v>
      </c>
      <c r="C267" s="4" t="str">
        <f t="shared" si="4"/>
        <v xml:space="preserve">2400          </v>
      </c>
      <c r="D267" s="4">
        <f t="shared" si="5"/>
        <v>48</v>
      </c>
      <c r="E267" s="4">
        <f t="shared" si="6"/>
        <v>48</v>
      </c>
    </row>
    <row r="268" spans="2:5" outlineLevel="1" x14ac:dyDescent="0.2">
      <c r="B268" s="4" t="str">
        <f t="shared" si="3"/>
        <v xml:space="preserve">2450          </v>
      </c>
      <c r="C268" s="4" t="str">
        <f t="shared" si="4"/>
        <v xml:space="preserve">2450          </v>
      </c>
      <c r="D268" s="4">
        <f t="shared" si="5"/>
        <v>49</v>
      </c>
      <c r="E268" s="4">
        <f t="shared" si="6"/>
        <v>49</v>
      </c>
    </row>
    <row r="269" spans="2:5" outlineLevel="1" x14ac:dyDescent="0.2">
      <c r="B269" s="4" t="str">
        <f t="shared" si="3"/>
        <v xml:space="preserve">2500          </v>
      </c>
      <c r="C269" s="4" t="str">
        <f t="shared" si="4"/>
        <v xml:space="preserve">2500          </v>
      </c>
      <c r="D269" s="4">
        <f t="shared" si="5"/>
        <v>50</v>
      </c>
      <c r="E269" s="4">
        <f t="shared" si="6"/>
        <v>50</v>
      </c>
    </row>
    <row r="270" spans="2:5" outlineLevel="1" x14ac:dyDescent="0.2">
      <c r="B270" s="4" t="str">
        <f t="shared" si="3"/>
        <v xml:space="preserve">2550          </v>
      </c>
      <c r="C270" s="4" t="str">
        <f t="shared" si="4"/>
        <v xml:space="preserve">2550          </v>
      </c>
      <c r="D270" s="4">
        <f t="shared" si="5"/>
        <v>51</v>
      </c>
      <c r="E270" s="4">
        <f t="shared" si="6"/>
        <v>51</v>
      </c>
    </row>
    <row r="271" spans="2:5" outlineLevel="1" x14ac:dyDescent="0.2">
      <c r="B271" s="4" t="str">
        <f t="shared" si="3"/>
        <v xml:space="preserve">2600          </v>
      </c>
      <c r="C271" s="4" t="str">
        <f t="shared" si="4"/>
        <v xml:space="preserve">2600          </v>
      </c>
      <c r="D271" s="4">
        <f t="shared" si="5"/>
        <v>52</v>
      </c>
      <c r="E271" s="4">
        <f t="shared" si="6"/>
        <v>52</v>
      </c>
    </row>
    <row r="272" spans="2:5" outlineLevel="1" x14ac:dyDescent="0.2">
      <c r="B272" s="4" t="str">
        <f t="shared" si="3"/>
        <v xml:space="preserve">2650          </v>
      </c>
      <c r="C272" s="4" t="str">
        <f t="shared" si="4"/>
        <v xml:space="preserve">2650          </v>
      </c>
      <c r="D272" s="4">
        <f t="shared" si="5"/>
        <v>53</v>
      </c>
      <c r="E272" s="4">
        <f t="shared" si="6"/>
        <v>53</v>
      </c>
    </row>
    <row r="273" spans="2:5" outlineLevel="1" x14ac:dyDescent="0.2">
      <c r="B273" s="4" t="str">
        <f t="shared" si="3"/>
        <v xml:space="preserve">2700          </v>
      </c>
      <c r="C273" s="4" t="str">
        <f t="shared" si="4"/>
        <v xml:space="preserve">2700          </v>
      </c>
      <c r="D273" s="4">
        <f t="shared" si="5"/>
        <v>54</v>
      </c>
      <c r="E273" s="4">
        <f t="shared" si="6"/>
        <v>54</v>
      </c>
    </row>
    <row r="274" spans="2:5" outlineLevel="1" x14ac:dyDescent="0.2">
      <c r="B274" s="4" t="str">
        <f t="shared" si="3"/>
        <v xml:space="preserve">2750          </v>
      </c>
      <c r="C274" s="4" t="str">
        <f t="shared" si="4"/>
        <v xml:space="preserve">2750          </v>
      </c>
      <c r="D274" s="4">
        <f t="shared" si="5"/>
        <v>55</v>
      </c>
      <c r="E274" s="4">
        <f t="shared" si="6"/>
        <v>55</v>
      </c>
    </row>
    <row r="275" spans="2:5" outlineLevel="1" x14ac:dyDescent="0.2">
      <c r="B275" s="4" t="str">
        <f t="shared" si="3"/>
        <v xml:space="preserve">2800          </v>
      </c>
      <c r="C275" s="4" t="str">
        <f t="shared" si="4"/>
        <v xml:space="preserve">2800          </v>
      </c>
      <c r="D275" s="4">
        <f t="shared" si="5"/>
        <v>56</v>
      </c>
      <c r="E275" s="4">
        <f t="shared" si="6"/>
        <v>56</v>
      </c>
    </row>
    <row r="276" spans="2:5" outlineLevel="1" x14ac:dyDescent="0.2">
      <c r="B276" s="4" t="str">
        <f t="shared" si="3"/>
        <v xml:space="preserve">2850          </v>
      </c>
      <c r="C276" s="4" t="str">
        <f t="shared" si="4"/>
        <v xml:space="preserve">2850          </v>
      </c>
      <c r="D276" s="4">
        <f t="shared" si="5"/>
        <v>57</v>
      </c>
      <c r="E276" s="4">
        <f t="shared" si="6"/>
        <v>57</v>
      </c>
    </row>
    <row r="277" spans="2:5" outlineLevel="1" x14ac:dyDescent="0.2">
      <c r="B277" s="4" t="str">
        <f t="shared" si="3"/>
        <v xml:space="preserve">2900          </v>
      </c>
      <c r="C277" s="4" t="str">
        <f t="shared" si="4"/>
        <v xml:space="preserve">2900          </v>
      </c>
      <c r="D277" s="4">
        <f t="shared" si="5"/>
        <v>58</v>
      </c>
      <c r="E277" s="4">
        <f t="shared" si="6"/>
        <v>58</v>
      </c>
    </row>
    <row r="278" spans="2:5" outlineLevel="1" x14ac:dyDescent="0.2">
      <c r="B278" s="4" t="str">
        <f t="shared" si="3"/>
        <v xml:space="preserve">2950          </v>
      </c>
      <c r="C278" s="4" t="str">
        <f t="shared" si="4"/>
        <v xml:space="preserve">2950          </v>
      </c>
      <c r="D278" s="4">
        <f t="shared" si="5"/>
        <v>59</v>
      </c>
      <c r="E278" s="4">
        <f t="shared" si="6"/>
        <v>59</v>
      </c>
    </row>
    <row r="279" spans="2:5" outlineLevel="1" x14ac:dyDescent="0.2">
      <c r="B279" s="4" t="str">
        <f t="shared" si="3"/>
        <v xml:space="preserve">3000          </v>
      </c>
      <c r="C279" s="4" t="str">
        <f t="shared" si="4"/>
        <v xml:space="preserve">3000          </v>
      </c>
      <c r="D279" s="4">
        <f t="shared" si="5"/>
        <v>60</v>
      </c>
      <c r="E279" s="4">
        <f t="shared" si="6"/>
        <v>60</v>
      </c>
    </row>
    <row r="280" spans="2:5" outlineLevel="1" x14ac:dyDescent="0.2">
      <c r="B280" s="4" t="str">
        <f t="shared" si="3"/>
        <v xml:space="preserve">3050          </v>
      </c>
      <c r="C280" s="4" t="str">
        <f t="shared" si="4"/>
        <v xml:space="preserve">3050          </v>
      </c>
      <c r="D280" s="4">
        <f t="shared" si="5"/>
        <v>61</v>
      </c>
      <c r="E280" s="4">
        <f t="shared" si="6"/>
        <v>61</v>
      </c>
    </row>
    <row r="281" spans="2:5" outlineLevel="1" x14ac:dyDescent="0.2">
      <c r="B281" s="4" t="str">
        <f t="shared" si="3"/>
        <v xml:space="preserve">3100          </v>
      </c>
      <c r="C281" s="4" t="str">
        <f t="shared" si="4"/>
        <v xml:space="preserve">3100          </v>
      </c>
      <c r="D281" s="4">
        <f t="shared" si="5"/>
        <v>62</v>
      </c>
      <c r="E281" s="4">
        <f t="shared" si="6"/>
        <v>62</v>
      </c>
    </row>
    <row r="282" spans="2:5" outlineLevel="1" x14ac:dyDescent="0.2">
      <c r="B282" s="4" t="str">
        <f t="shared" si="3"/>
        <v xml:space="preserve">3150          </v>
      </c>
      <c r="C282" s="4" t="str">
        <f t="shared" si="4"/>
        <v xml:space="preserve">3150          </v>
      </c>
      <c r="D282" s="4">
        <f t="shared" si="5"/>
        <v>63</v>
      </c>
      <c r="E282" s="4">
        <f t="shared" si="6"/>
        <v>63</v>
      </c>
    </row>
    <row r="283" spans="2:5" outlineLevel="1" x14ac:dyDescent="0.2">
      <c r="B283" s="4" t="str">
        <f t="shared" si="3"/>
        <v xml:space="preserve">3200          </v>
      </c>
      <c r="C283" s="4" t="str">
        <f t="shared" ref="C283:C314" si="7">IF($C$4, $C78, $C77 / $C$10 &amp; REPT( " ", $C$7 ))</f>
        <v xml:space="preserve">3200          </v>
      </c>
      <c r="D283" s="4">
        <f t="shared" ref="D283:D314" si="8">IF($D$4, $D78, $D77 / $D$10 &amp; REPT( " ", $D$7 ))</f>
        <v>64</v>
      </c>
      <c r="E283" s="4">
        <f t="shared" ref="E283:E314" si="9">IF($E$4, $E78, $E77 / $E$10 &amp; REPT( " ", $E$7 ))</f>
        <v>64</v>
      </c>
    </row>
    <row r="284" spans="2:5" outlineLevel="1" x14ac:dyDescent="0.2">
      <c r="B284" s="4" t="str">
        <f t="shared" ref="B284:B320" si="10">C284</f>
        <v xml:space="preserve">3250          </v>
      </c>
      <c r="C284" s="4" t="str">
        <f t="shared" si="7"/>
        <v xml:space="preserve">3250          </v>
      </c>
      <c r="D284" s="4">
        <f t="shared" si="8"/>
        <v>65</v>
      </c>
      <c r="E284" s="4">
        <f t="shared" si="9"/>
        <v>65</v>
      </c>
    </row>
    <row r="285" spans="2:5" outlineLevel="1" x14ac:dyDescent="0.2">
      <c r="B285" s="4" t="str">
        <f t="shared" si="10"/>
        <v xml:space="preserve">3300          </v>
      </c>
      <c r="C285" s="4" t="str">
        <f t="shared" si="7"/>
        <v xml:space="preserve">3300          </v>
      </c>
      <c r="D285" s="4">
        <f t="shared" si="8"/>
        <v>66</v>
      </c>
      <c r="E285" s="4">
        <f t="shared" si="9"/>
        <v>66</v>
      </c>
    </row>
    <row r="286" spans="2:5" outlineLevel="1" x14ac:dyDescent="0.2">
      <c r="B286" s="4" t="str">
        <f t="shared" si="10"/>
        <v xml:space="preserve">3350          </v>
      </c>
      <c r="C286" s="4" t="str">
        <f t="shared" si="7"/>
        <v xml:space="preserve">3350          </v>
      </c>
      <c r="D286" s="4">
        <f t="shared" si="8"/>
        <v>67</v>
      </c>
      <c r="E286" s="4">
        <f t="shared" si="9"/>
        <v>67</v>
      </c>
    </row>
    <row r="287" spans="2:5" outlineLevel="1" x14ac:dyDescent="0.2">
      <c r="B287" s="4" t="str">
        <f t="shared" si="10"/>
        <v xml:space="preserve">3400          </v>
      </c>
      <c r="C287" s="4" t="str">
        <f t="shared" si="7"/>
        <v xml:space="preserve">3400          </v>
      </c>
      <c r="D287" s="4">
        <f t="shared" si="8"/>
        <v>68</v>
      </c>
      <c r="E287" s="4">
        <f t="shared" si="9"/>
        <v>68</v>
      </c>
    </row>
    <row r="288" spans="2:5" outlineLevel="1" x14ac:dyDescent="0.2">
      <c r="B288" s="4" t="str">
        <f t="shared" si="10"/>
        <v xml:space="preserve">3450          </v>
      </c>
      <c r="C288" s="4" t="str">
        <f t="shared" si="7"/>
        <v xml:space="preserve">3450          </v>
      </c>
      <c r="D288" s="4">
        <f t="shared" si="8"/>
        <v>69</v>
      </c>
      <c r="E288" s="4">
        <f t="shared" si="9"/>
        <v>69</v>
      </c>
    </row>
    <row r="289" spans="2:5" outlineLevel="1" x14ac:dyDescent="0.2">
      <c r="B289" s="4" t="str">
        <f t="shared" si="10"/>
        <v xml:space="preserve">3500          </v>
      </c>
      <c r="C289" s="4" t="str">
        <f t="shared" si="7"/>
        <v xml:space="preserve">3500          </v>
      </c>
      <c r="D289" s="4">
        <f t="shared" si="8"/>
        <v>70</v>
      </c>
      <c r="E289" s="4">
        <f t="shared" si="9"/>
        <v>70</v>
      </c>
    </row>
    <row r="290" spans="2:5" outlineLevel="1" x14ac:dyDescent="0.2">
      <c r="B290" s="4" t="str">
        <f t="shared" si="10"/>
        <v xml:space="preserve">3550          </v>
      </c>
      <c r="C290" s="4" t="str">
        <f t="shared" si="7"/>
        <v xml:space="preserve">3550          </v>
      </c>
      <c r="D290" s="4">
        <f t="shared" si="8"/>
        <v>71</v>
      </c>
      <c r="E290" s="4">
        <f t="shared" si="9"/>
        <v>71</v>
      </c>
    </row>
    <row r="291" spans="2:5" outlineLevel="1" x14ac:dyDescent="0.2">
      <c r="B291" s="4" t="str">
        <f t="shared" si="10"/>
        <v xml:space="preserve">3600          </v>
      </c>
      <c r="C291" s="4" t="str">
        <f t="shared" si="7"/>
        <v xml:space="preserve">3600          </v>
      </c>
      <c r="D291" s="4">
        <f t="shared" si="8"/>
        <v>72</v>
      </c>
      <c r="E291" s="4">
        <f t="shared" si="9"/>
        <v>72</v>
      </c>
    </row>
    <row r="292" spans="2:5" outlineLevel="1" x14ac:dyDescent="0.2">
      <c r="B292" s="4" t="str">
        <f t="shared" si="10"/>
        <v xml:space="preserve">3650          </v>
      </c>
      <c r="C292" s="4" t="str">
        <f t="shared" si="7"/>
        <v xml:space="preserve">3650          </v>
      </c>
      <c r="D292" s="4">
        <f t="shared" si="8"/>
        <v>73</v>
      </c>
      <c r="E292" s="4">
        <f t="shared" si="9"/>
        <v>73</v>
      </c>
    </row>
    <row r="293" spans="2:5" outlineLevel="1" x14ac:dyDescent="0.2">
      <c r="B293" s="4" t="str">
        <f t="shared" si="10"/>
        <v xml:space="preserve">3700          </v>
      </c>
      <c r="C293" s="4" t="str">
        <f t="shared" si="7"/>
        <v xml:space="preserve">3700          </v>
      </c>
      <c r="D293" s="4">
        <f t="shared" si="8"/>
        <v>74</v>
      </c>
      <c r="E293" s="4">
        <f t="shared" si="9"/>
        <v>74</v>
      </c>
    </row>
    <row r="294" spans="2:5" outlineLevel="1" x14ac:dyDescent="0.2">
      <c r="B294" s="4" t="str">
        <f t="shared" si="10"/>
        <v xml:space="preserve">3750          </v>
      </c>
      <c r="C294" s="4" t="str">
        <f t="shared" si="7"/>
        <v xml:space="preserve">3750          </v>
      </c>
      <c r="D294" s="4">
        <f t="shared" si="8"/>
        <v>75</v>
      </c>
      <c r="E294" s="4">
        <f t="shared" si="9"/>
        <v>75</v>
      </c>
    </row>
    <row r="295" spans="2:5" outlineLevel="1" x14ac:dyDescent="0.2">
      <c r="B295" s="4" t="str">
        <f t="shared" si="10"/>
        <v xml:space="preserve">3800          </v>
      </c>
      <c r="C295" s="4" t="str">
        <f t="shared" si="7"/>
        <v xml:space="preserve">3800          </v>
      </c>
      <c r="D295" s="4">
        <f t="shared" si="8"/>
        <v>76</v>
      </c>
      <c r="E295" s="4">
        <f t="shared" si="9"/>
        <v>76</v>
      </c>
    </row>
    <row r="296" spans="2:5" outlineLevel="1" x14ac:dyDescent="0.2">
      <c r="B296" s="4" t="str">
        <f t="shared" si="10"/>
        <v xml:space="preserve">3850          </v>
      </c>
      <c r="C296" s="4" t="str">
        <f t="shared" si="7"/>
        <v xml:space="preserve">3850          </v>
      </c>
      <c r="D296" s="4">
        <f t="shared" si="8"/>
        <v>77</v>
      </c>
      <c r="E296" s="4">
        <f t="shared" si="9"/>
        <v>77</v>
      </c>
    </row>
    <row r="297" spans="2:5" outlineLevel="1" x14ac:dyDescent="0.2">
      <c r="B297" s="4" t="str">
        <f t="shared" si="10"/>
        <v xml:space="preserve">3900          </v>
      </c>
      <c r="C297" s="4" t="str">
        <f t="shared" si="7"/>
        <v xml:space="preserve">3900          </v>
      </c>
      <c r="D297" s="4">
        <f t="shared" si="8"/>
        <v>78</v>
      </c>
      <c r="E297" s="4">
        <f t="shared" si="9"/>
        <v>78</v>
      </c>
    </row>
    <row r="298" spans="2:5" outlineLevel="1" x14ac:dyDescent="0.2">
      <c r="B298" s="4" t="str">
        <f t="shared" si="10"/>
        <v xml:space="preserve">3950          </v>
      </c>
      <c r="C298" s="4" t="str">
        <f t="shared" si="7"/>
        <v xml:space="preserve">3950          </v>
      </c>
      <c r="D298" s="4">
        <f t="shared" si="8"/>
        <v>79</v>
      </c>
      <c r="E298" s="4">
        <f t="shared" si="9"/>
        <v>79</v>
      </c>
    </row>
    <row r="299" spans="2:5" outlineLevel="1" x14ac:dyDescent="0.2">
      <c r="B299" s="4" t="str">
        <f t="shared" si="10"/>
        <v xml:space="preserve">4000          </v>
      </c>
      <c r="C299" s="4" t="str">
        <f t="shared" si="7"/>
        <v xml:space="preserve">4000          </v>
      </c>
      <c r="D299" s="4">
        <f t="shared" si="8"/>
        <v>80</v>
      </c>
      <c r="E299" s="4">
        <f t="shared" si="9"/>
        <v>80</v>
      </c>
    </row>
    <row r="300" spans="2:5" outlineLevel="1" x14ac:dyDescent="0.2">
      <c r="B300" s="4" t="str">
        <f t="shared" si="10"/>
        <v xml:space="preserve">4050          </v>
      </c>
      <c r="C300" s="4" t="str">
        <f t="shared" si="7"/>
        <v xml:space="preserve">4050          </v>
      </c>
      <c r="D300" s="4">
        <f t="shared" si="8"/>
        <v>81</v>
      </c>
      <c r="E300" s="4">
        <f t="shared" si="9"/>
        <v>81</v>
      </c>
    </row>
    <row r="301" spans="2:5" outlineLevel="1" x14ac:dyDescent="0.2">
      <c r="B301" s="4" t="str">
        <f t="shared" si="10"/>
        <v xml:space="preserve">4100          </v>
      </c>
      <c r="C301" s="4" t="str">
        <f t="shared" si="7"/>
        <v xml:space="preserve">4100          </v>
      </c>
      <c r="D301" s="4">
        <f t="shared" si="8"/>
        <v>82</v>
      </c>
      <c r="E301" s="4">
        <f t="shared" si="9"/>
        <v>82</v>
      </c>
    </row>
    <row r="302" spans="2:5" outlineLevel="1" x14ac:dyDescent="0.2">
      <c r="B302" s="4" t="str">
        <f t="shared" si="10"/>
        <v xml:space="preserve">4150          </v>
      </c>
      <c r="C302" s="4" t="str">
        <f t="shared" si="7"/>
        <v xml:space="preserve">4150          </v>
      </c>
      <c r="D302" s="4">
        <f t="shared" si="8"/>
        <v>83</v>
      </c>
      <c r="E302" s="4">
        <f t="shared" si="9"/>
        <v>83</v>
      </c>
    </row>
    <row r="303" spans="2:5" outlineLevel="1" x14ac:dyDescent="0.2">
      <c r="B303" s="4" t="str">
        <f t="shared" si="10"/>
        <v xml:space="preserve">4200          </v>
      </c>
      <c r="C303" s="4" t="str">
        <f t="shared" si="7"/>
        <v xml:space="preserve">4200          </v>
      </c>
      <c r="D303" s="4">
        <f t="shared" si="8"/>
        <v>84</v>
      </c>
      <c r="E303" s="4">
        <f t="shared" si="9"/>
        <v>84</v>
      </c>
    </row>
    <row r="304" spans="2:5" outlineLevel="1" x14ac:dyDescent="0.2">
      <c r="B304" s="4" t="str">
        <f t="shared" si="10"/>
        <v xml:space="preserve">4250          </v>
      </c>
      <c r="C304" s="4" t="str">
        <f t="shared" si="7"/>
        <v xml:space="preserve">4250          </v>
      </c>
      <c r="D304" s="4">
        <f t="shared" si="8"/>
        <v>85</v>
      </c>
      <c r="E304" s="4">
        <f t="shared" si="9"/>
        <v>85</v>
      </c>
    </row>
    <row r="305" spans="2:5" outlineLevel="1" x14ac:dyDescent="0.2">
      <c r="B305" s="4" t="str">
        <f t="shared" si="10"/>
        <v xml:space="preserve">4300          </v>
      </c>
      <c r="C305" s="4" t="str">
        <f t="shared" si="7"/>
        <v xml:space="preserve">4300          </v>
      </c>
      <c r="D305" s="4">
        <f t="shared" si="8"/>
        <v>86</v>
      </c>
      <c r="E305" s="4">
        <f t="shared" si="9"/>
        <v>86</v>
      </c>
    </row>
    <row r="306" spans="2:5" outlineLevel="1" x14ac:dyDescent="0.2">
      <c r="B306" s="4" t="str">
        <f t="shared" si="10"/>
        <v xml:space="preserve">4350          </v>
      </c>
      <c r="C306" s="4" t="str">
        <f t="shared" si="7"/>
        <v xml:space="preserve">4350          </v>
      </c>
      <c r="D306" s="4">
        <f t="shared" si="8"/>
        <v>87</v>
      </c>
      <c r="E306" s="4">
        <f t="shared" si="9"/>
        <v>87</v>
      </c>
    </row>
    <row r="307" spans="2:5" outlineLevel="1" x14ac:dyDescent="0.2">
      <c r="B307" s="4" t="str">
        <f t="shared" si="10"/>
        <v xml:space="preserve">4400          </v>
      </c>
      <c r="C307" s="4" t="str">
        <f t="shared" si="7"/>
        <v xml:space="preserve">4400          </v>
      </c>
      <c r="D307" s="4">
        <f t="shared" si="8"/>
        <v>88</v>
      </c>
      <c r="E307" s="4">
        <f t="shared" si="9"/>
        <v>88</v>
      </c>
    </row>
    <row r="308" spans="2:5" outlineLevel="1" x14ac:dyDescent="0.2">
      <c r="B308" s="4" t="str">
        <f t="shared" si="10"/>
        <v xml:space="preserve">4450          </v>
      </c>
      <c r="C308" s="4" t="str">
        <f t="shared" si="7"/>
        <v xml:space="preserve">4450          </v>
      </c>
      <c r="D308" s="4">
        <f t="shared" si="8"/>
        <v>89</v>
      </c>
      <c r="E308" s="4">
        <f t="shared" si="9"/>
        <v>89</v>
      </c>
    </row>
    <row r="309" spans="2:5" outlineLevel="1" x14ac:dyDescent="0.2">
      <c r="B309" s="4" t="str">
        <f t="shared" si="10"/>
        <v xml:space="preserve">4500          </v>
      </c>
      <c r="C309" s="4" t="str">
        <f t="shared" si="7"/>
        <v xml:space="preserve">4500          </v>
      </c>
      <c r="D309" s="4">
        <f t="shared" si="8"/>
        <v>90</v>
      </c>
      <c r="E309" s="4">
        <f t="shared" si="9"/>
        <v>90</v>
      </c>
    </row>
    <row r="310" spans="2:5" outlineLevel="1" x14ac:dyDescent="0.2">
      <c r="B310" s="4" t="str">
        <f t="shared" si="10"/>
        <v xml:space="preserve">4550          </v>
      </c>
      <c r="C310" s="4" t="str">
        <f t="shared" si="7"/>
        <v xml:space="preserve">4550          </v>
      </c>
      <c r="D310" s="4">
        <f t="shared" si="8"/>
        <v>91</v>
      </c>
      <c r="E310" s="4">
        <f t="shared" si="9"/>
        <v>91</v>
      </c>
    </row>
    <row r="311" spans="2:5" outlineLevel="1" x14ac:dyDescent="0.2">
      <c r="B311" s="4" t="str">
        <f t="shared" si="10"/>
        <v xml:space="preserve">4600          </v>
      </c>
      <c r="C311" s="4" t="str">
        <f t="shared" si="7"/>
        <v xml:space="preserve">4600          </v>
      </c>
      <c r="D311" s="4">
        <f t="shared" si="8"/>
        <v>92</v>
      </c>
      <c r="E311" s="4">
        <f t="shared" si="9"/>
        <v>92</v>
      </c>
    </row>
    <row r="312" spans="2:5" outlineLevel="1" x14ac:dyDescent="0.2">
      <c r="B312" s="4" t="str">
        <f t="shared" si="10"/>
        <v xml:space="preserve">4650          </v>
      </c>
      <c r="C312" s="4" t="str">
        <f t="shared" si="7"/>
        <v xml:space="preserve">4650          </v>
      </c>
      <c r="D312" s="4">
        <f t="shared" si="8"/>
        <v>93</v>
      </c>
      <c r="E312" s="4">
        <f t="shared" si="9"/>
        <v>93</v>
      </c>
    </row>
    <row r="313" spans="2:5" outlineLevel="1" x14ac:dyDescent="0.2">
      <c r="B313" s="4" t="str">
        <f t="shared" si="10"/>
        <v xml:space="preserve">4700          </v>
      </c>
      <c r="C313" s="4" t="str">
        <f t="shared" si="7"/>
        <v xml:space="preserve">4700          </v>
      </c>
      <c r="D313" s="4">
        <f t="shared" si="8"/>
        <v>94</v>
      </c>
      <c r="E313" s="4">
        <f t="shared" si="9"/>
        <v>94</v>
      </c>
    </row>
    <row r="314" spans="2:5" outlineLevel="1" x14ac:dyDescent="0.2">
      <c r="B314" s="4" t="str">
        <f t="shared" si="10"/>
        <v xml:space="preserve">4750          </v>
      </c>
      <c r="C314" s="4" t="str">
        <f t="shared" si="7"/>
        <v xml:space="preserve">4750          </v>
      </c>
      <c r="D314" s="4">
        <f t="shared" si="8"/>
        <v>95</v>
      </c>
      <c r="E314" s="4">
        <f t="shared" si="9"/>
        <v>95</v>
      </c>
    </row>
    <row r="315" spans="2:5" outlineLevel="1" x14ac:dyDescent="0.2">
      <c r="B315" s="4" t="str">
        <f t="shared" si="10"/>
        <v xml:space="preserve">4800          </v>
      </c>
      <c r="C315" s="4" t="str">
        <f t="shared" ref="C315:C320" si="11">IF($C$4, $C110, $C109 / $C$10 &amp; REPT( " ", $C$7 ))</f>
        <v xml:space="preserve">4800          </v>
      </c>
      <c r="D315" s="4">
        <f t="shared" ref="D315:D320" si="12">IF($D$4, $D110, $D109 / $D$10 &amp; REPT( " ", $D$7 ))</f>
        <v>96</v>
      </c>
      <c r="E315" s="4">
        <f t="shared" ref="E315:E320" si="13">IF($E$4, $E110, $E109 / $E$10 &amp; REPT( " ", $E$7 ))</f>
        <v>96</v>
      </c>
    </row>
    <row r="316" spans="2:5" outlineLevel="1" x14ac:dyDescent="0.2">
      <c r="B316" s="4" t="str">
        <f t="shared" si="10"/>
        <v xml:space="preserve">4850          </v>
      </c>
      <c r="C316" s="4" t="str">
        <f t="shared" si="11"/>
        <v xml:space="preserve">4850          </v>
      </c>
      <c r="D316" s="4">
        <f t="shared" si="12"/>
        <v>97</v>
      </c>
      <c r="E316" s="4">
        <f t="shared" si="13"/>
        <v>97</v>
      </c>
    </row>
    <row r="317" spans="2:5" outlineLevel="1" x14ac:dyDescent="0.2">
      <c r="B317" s="4" t="str">
        <f t="shared" si="10"/>
        <v xml:space="preserve">4900          </v>
      </c>
      <c r="C317" s="4" t="str">
        <f t="shared" si="11"/>
        <v xml:space="preserve">4900          </v>
      </c>
      <c r="D317" s="4">
        <f t="shared" si="12"/>
        <v>98</v>
      </c>
      <c r="E317" s="4">
        <f t="shared" si="13"/>
        <v>98</v>
      </c>
    </row>
    <row r="318" spans="2:5" outlineLevel="1" x14ac:dyDescent="0.2">
      <c r="B318" s="4" t="str">
        <f t="shared" si="10"/>
        <v xml:space="preserve">4950          </v>
      </c>
      <c r="C318" s="4" t="str">
        <f t="shared" si="11"/>
        <v xml:space="preserve">4950          </v>
      </c>
      <c r="D318" s="4">
        <f t="shared" si="12"/>
        <v>99</v>
      </c>
      <c r="E318" s="4">
        <f t="shared" si="13"/>
        <v>99</v>
      </c>
    </row>
    <row r="319" spans="2:5" outlineLevel="1" x14ac:dyDescent="0.2">
      <c r="B319" s="4" t="str">
        <f t="shared" si="10"/>
        <v xml:space="preserve">5000          </v>
      </c>
      <c r="C319" s="4" t="str">
        <f t="shared" si="11"/>
        <v xml:space="preserve">5000          </v>
      </c>
      <c r="D319" s="4">
        <f t="shared" si="12"/>
        <v>100</v>
      </c>
      <c r="E319" s="4">
        <f t="shared" si="13"/>
        <v>100</v>
      </c>
    </row>
    <row r="320" spans="2:5" outlineLevel="1" x14ac:dyDescent="0.2">
      <c r="B320" s="4" t="str">
        <f t="shared" si="10"/>
        <v xml:space="preserve">5050          </v>
      </c>
      <c r="C320" s="4" t="str">
        <f t="shared" si="11"/>
        <v xml:space="preserve">5050          </v>
      </c>
      <c r="D320" s="4">
        <f t="shared" si="12"/>
        <v>101</v>
      </c>
      <c r="E320" s="4">
        <f t="shared" si="13"/>
        <v>101</v>
      </c>
    </row>
    <row r="322" spans="1:5" outlineLevel="1" x14ac:dyDescent="0.2">
      <c r="A322">
        <v>1E-3</v>
      </c>
      <c r="B322" s="5">
        <f t="shared" ref="B322:B353" si="14">PERCENTILE( Risk, IF( $B$5, 1-$A322, $A322 ))</f>
        <v>444.81712945914205</v>
      </c>
      <c r="C322" s="5">
        <f t="shared" ref="C322:C353" si="15">PERCENTILE( What_If, IF( $C$5, 1-$A322, $A322 ))</f>
        <v>444.81712945914205</v>
      </c>
      <c r="D322" s="5">
        <f t="shared" ref="D322:D353" si="16">PERCENTILE( Current_Loss_Events, IF( $D$5, 1-$A322, $A322 ))</f>
        <v>4</v>
      </c>
      <c r="E322" s="5">
        <f t="shared" ref="E322:E353" si="17">PERCENTILE( Proposed_Loss_Events, IF( $E$5, 1-$A322, $A322 ))</f>
        <v>4</v>
      </c>
    </row>
    <row r="323" spans="1:5" outlineLevel="1" x14ac:dyDescent="0.2">
      <c r="A323">
        <v>4.0000000000000001E-3</v>
      </c>
      <c r="B323" s="5">
        <f t="shared" si="14"/>
        <v>424.75841851487928</v>
      </c>
      <c r="C323" s="5">
        <f t="shared" si="15"/>
        <v>424.75841851487928</v>
      </c>
      <c r="D323" s="5">
        <f t="shared" si="16"/>
        <v>4</v>
      </c>
      <c r="E323" s="5">
        <f t="shared" si="17"/>
        <v>4</v>
      </c>
    </row>
    <row r="324" spans="1:5" outlineLevel="1" x14ac:dyDescent="0.2">
      <c r="A324">
        <v>7.0000000000000001E-3</v>
      </c>
      <c r="B324" s="5">
        <f t="shared" si="14"/>
        <v>404.69970757061651</v>
      </c>
      <c r="C324" s="5">
        <f t="shared" si="15"/>
        <v>404.69970757061651</v>
      </c>
      <c r="D324" s="5">
        <f t="shared" si="16"/>
        <v>4</v>
      </c>
      <c r="E324" s="5">
        <f t="shared" si="17"/>
        <v>4</v>
      </c>
    </row>
    <row r="325" spans="1:5" outlineLevel="1" x14ac:dyDescent="0.2">
      <c r="A325">
        <v>0.01</v>
      </c>
      <c r="B325" s="5">
        <f t="shared" si="14"/>
        <v>384.64099662635374</v>
      </c>
      <c r="C325" s="5">
        <f t="shared" si="15"/>
        <v>384.64099662635374</v>
      </c>
      <c r="D325" s="5">
        <f t="shared" si="16"/>
        <v>4</v>
      </c>
      <c r="E325" s="5">
        <f t="shared" si="17"/>
        <v>4</v>
      </c>
    </row>
    <row r="326" spans="1:5" outlineLevel="1" x14ac:dyDescent="0.2">
      <c r="A326">
        <v>0.02</v>
      </c>
      <c r="B326" s="5">
        <f t="shared" si="14"/>
        <v>355.51896083042095</v>
      </c>
      <c r="C326" s="5">
        <f t="shared" si="15"/>
        <v>355.51896083042095</v>
      </c>
      <c r="D326" s="5">
        <f t="shared" si="16"/>
        <v>4</v>
      </c>
      <c r="E326" s="5">
        <f t="shared" si="17"/>
        <v>4</v>
      </c>
    </row>
    <row r="327" spans="1:5" outlineLevel="1" x14ac:dyDescent="0.2">
      <c r="A327">
        <v>0.03</v>
      </c>
      <c r="B327" s="5">
        <f t="shared" si="14"/>
        <v>312.12371167142283</v>
      </c>
      <c r="C327" s="5">
        <f t="shared" si="15"/>
        <v>312.12371167142283</v>
      </c>
      <c r="D327" s="5">
        <f t="shared" si="16"/>
        <v>4</v>
      </c>
      <c r="E327" s="5">
        <f t="shared" si="17"/>
        <v>4</v>
      </c>
    </row>
    <row r="328" spans="1:5" outlineLevel="1" x14ac:dyDescent="0.2">
      <c r="A328">
        <v>0.04</v>
      </c>
      <c r="B328" s="5">
        <f t="shared" si="14"/>
        <v>306.77313282349274</v>
      </c>
      <c r="C328" s="5">
        <f t="shared" si="15"/>
        <v>306.77313282349274</v>
      </c>
      <c r="D328" s="5">
        <f t="shared" si="16"/>
        <v>4</v>
      </c>
      <c r="E328" s="5">
        <f t="shared" si="17"/>
        <v>4</v>
      </c>
    </row>
    <row r="329" spans="1:5" outlineLevel="1" x14ac:dyDescent="0.2">
      <c r="A329">
        <v>0.05</v>
      </c>
      <c r="B329" s="5">
        <f t="shared" si="14"/>
        <v>258.41589998405334</v>
      </c>
      <c r="C329" s="5">
        <f t="shared" si="15"/>
        <v>258.41589998405334</v>
      </c>
      <c r="D329" s="5">
        <f t="shared" si="16"/>
        <v>4</v>
      </c>
      <c r="E329" s="5">
        <f t="shared" si="17"/>
        <v>4</v>
      </c>
    </row>
    <row r="330" spans="1:5" outlineLevel="1" x14ac:dyDescent="0.2">
      <c r="A330">
        <v>0.06</v>
      </c>
      <c r="B330" s="5">
        <f t="shared" si="14"/>
        <v>244.10148936594717</v>
      </c>
      <c r="C330" s="5">
        <f t="shared" si="15"/>
        <v>244.10148936594717</v>
      </c>
      <c r="D330" s="5">
        <f t="shared" si="16"/>
        <v>4</v>
      </c>
      <c r="E330" s="5">
        <f t="shared" si="17"/>
        <v>4</v>
      </c>
    </row>
    <row r="331" spans="1:5" outlineLevel="1" x14ac:dyDescent="0.2">
      <c r="A331">
        <v>7.0000000000000007E-2</v>
      </c>
      <c r="B331" s="5">
        <f t="shared" si="14"/>
        <v>234.64045218830475</v>
      </c>
      <c r="C331" s="5">
        <f t="shared" si="15"/>
        <v>234.64045218830475</v>
      </c>
      <c r="D331" s="5">
        <f t="shared" si="16"/>
        <v>3.0699999999999932</v>
      </c>
      <c r="E331" s="5">
        <f t="shared" si="17"/>
        <v>3.0699999999999932</v>
      </c>
    </row>
    <row r="332" spans="1:5" outlineLevel="1" x14ac:dyDescent="0.2">
      <c r="A332">
        <v>0.08</v>
      </c>
      <c r="B332" s="5">
        <f t="shared" si="14"/>
        <v>220.20068166889382</v>
      </c>
      <c r="C332" s="5">
        <f t="shared" si="15"/>
        <v>220.20068166889382</v>
      </c>
      <c r="D332" s="5">
        <f t="shared" si="16"/>
        <v>3</v>
      </c>
      <c r="E332" s="5">
        <f t="shared" si="17"/>
        <v>3</v>
      </c>
    </row>
    <row r="333" spans="1:5" outlineLevel="1" x14ac:dyDescent="0.2">
      <c r="A333">
        <v>0.09</v>
      </c>
      <c r="B333" s="5">
        <f t="shared" si="14"/>
        <v>206.67458758034959</v>
      </c>
      <c r="C333" s="5">
        <f t="shared" si="15"/>
        <v>206.67458758034959</v>
      </c>
      <c r="D333" s="5">
        <f t="shared" si="16"/>
        <v>3</v>
      </c>
      <c r="E333" s="5">
        <f t="shared" si="17"/>
        <v>3</v>
      </c>
    </row>
    <row r="334" spans="1:5" outlineLevel="1" x14ac:dyDescent="0.2">
      <c r="A334">
        <v>0.1</v>
      </c>
      <c r="B334" s="5">
        <f t="shared" si="14"/>
        <v>202.98420818397145</v>
      </c>
      <c r="C334" s="5">
        <f t="shared" si="15"/>
        <v>202.98420818397145</v>
      </c>
      <c r="D334" s="5">
        <f t="shared" si="16"/>
        <v>3</v>
      </c>
      <c r="E334" s="5">
        <f t="shared" si="17"/>
        <v>3</v>
      </c>
    </row>
    <row r="335" spans="1:5" outlineLevel="1" x14ac:dyDescent="0.2">
      <c r="A335">
        <v>0.11</v>
      </c>
      <c r="B335" s="5">
        <f t="shared" si="14"/>
        <v>200.53534968121576</v>
      </c>
      <c r="C335" s="5">
        <f t="shared" si="15"/>
        <v>200.53534968121576</v>
      </c>
      <c r="D335" s="5">
        <f t="shared" si="16"/>
        <v>3</v>
      </c>
      <c r="E335" s="5">
        <f t="shared" si="17"/>
        <v>3</v>
      </c>
    </row>
    <row r="336" spans="1:5" outlineLevel="1" x14ac:dyDescent="0.2">
      <c r="A336">
        <v>0.12</v>
      </c>
      <c r="B336" s="5">
        <f t="shared" si="14"/>
        <v>198.7253991542805</v>
      </c>
      <c r="C336" s="5">
        <f t="shared" si="15"/>
        <v>198.7253991542805</v>
      </c>
      <c r="D336" s="5">
        <f t="shared" si="16"/>
        <v>3</v>
      </c>
      <c r="E336" s="5">
        <f t="shared" si="17"/>
        <v>3</v>
      </c>
    </row>
    <row r="337" spans="1:5" outlineLevel="1" x14ac:dyDescent="0.2">
      <c r="A337">
        <v>0.13</v>
      </c>
      <c r="B337" s="5">
        <f t="shared" si="14"/>
        <v>197.80932494317435</v>
      </c>
      <c r="C337" s="5">
        <f t="shared" si="15"/>
        <v>197.80932494317435</v>
      </c>
      <c r="D337" s="5">
        <f t="shared" si="16"/>
        <v>3</v>
      </c>
      <c r="E337" s="5">
        <f t="shared" si="17"/>
        <v>3</v>
      </c>
    </row>
    <row r="338" spans="1:5" outlineLevel="1" x14ac:dyDescent="0.2">
      <c r="A338">
        <v>0.14000000000000001</v>
      </c>
      <c r="B338" s="5">
        <f t="shared" si="14"/>
        <v>195.72285644590724</v>
      </c>
      <c r="C338" s="5">
        <f t="shared" si="15"/>
        <v>195.72285644590724</v>
      </c>
      <c r="D338" s="5">
        <f t="shared" si="16"/>
        <v>3</v>
      </c>
      <c r="E338" s="5">
        <f t="shared" si="17"/>
        <v>3</v>
      </c>
    </row>
    <row r="339" spans="1:5" outlineLevel="1" x14ac:dyDescent="0.2">
      <c r="A339">
        <v>0.15</v>
      </c>
      <c r="B339" s="5">
        <f t="shared" si="14"/>
        <v>188.70233407539948</v>
      </c>
      <c r="C339" s="5">
        <f t="shared" si="15"/>
        <v>188.70233407539948</v>
      </c>
      <c r="D339" s="5">
        <f t="shared" si="16"/>
        <v>3</v>
      </c>
      <c r="E339" s="5">
        <f t="shared" si="17"/>
        <v>3</v>
      </c>
    </row>
    <row r="340" spans="1:5" outlineLevel="1" x14ac:dyDescent="0.2">
      <c r="A340">
        <v>0.16</v>
      </c>
      <c r="B340" s="5">
        <f t="shared" si="14"/>
        <v>184.49703787996933</v>
      </c>
      <c r="C340" s="5">
        <f t="shared" si="15"/>
        <v>184.49703787996933</v>
      </c>
      <c r="D340" s="5">
        <f t="shared" si="16"/>
        <v>3</v>
      </c>
      <c r="E340" s="5">
        <f t="shared" si="17"/>
        <v>3</v>
      </c>
    </row>
    <row r="341" spans="1:5" outlineLevel="1" x14ac:dyDescent="0.2">
      <c r="A341">
        <v>0.17</v>
      </c>
      <c r="B341" s="5">
        <f t="shared" si="14"/>
        <v>176.41071690018481</v>
      </c>
      <c r="C341" s="5">
        <f t="shared" si="15"/>
        <v>176.41071690018481</v>
      </c>
      <c r="D341" s="5">
        <f t="shared" si="16"/>
        <v>3</v>
      </c>
      <c r="E341" s="5">
        <f t="shared" si="17"/>
        <v>3</v>
      </c>
    </row>
    <row r="342" spans="1:5" outlineLevel="1" x14ac:dyDescent="0.2">
      <c r="A342">
        <v>0.18</v>
      </c>
      <c r="B342" s="5">
        <f t="shared" si="14"/>
        <v>171.98063527730397</v>
      </c>
      <c r="C342" s="5">
        <f t="shared" si="15"/>
        <v>171.98063527730397</v>
      </c>
      <c r="D342" s="5">
        <f t="shared" si="16"/>
        <v>2.1800000000000068</v>
      </c>
      <c r="E342" s="5">
        <f t="shared" si="17"/>
        <v>2.1800000000000068</v>
      </c>
    </row>
    <row r="343" spans="1:5" outlineLevel="1" x14ac:dyDescent="0.2">
      <c r="A343">
        <v>0.19</v>
      </c>
      <c r="B343" s="5">
        <f t="shared" si="14"/>
        <v>168.28884613324163</v>
      </c>
      <c r="C343" s="5">
        <f t="shared" si="15"/>
        <v>168.28884613324163</v>
      </c>
      <c r="D343" s="5">
        <f t="shared" si="16"/>
        <v>2</v>
      </c>
      <c r="E343" s="5">
        <f t="shared" si="17"/>
        <v>2</v>
      </c>
    </row>
    <row r="344" spans="1:5" outlineLevel="1" x14ac:dyDescent="0.2">
      <c r="A344">
        <v>0.2</v>
      </c>
      <c r="B344" s="5">
        <f t="shared" si="14"/>
        <v>166.61100683438713</v>
      </c>
      <c r="C344" s="5">
        <f t="shared" si="15"/>
        <v>166.61100683438713</v>
      </c>
      <c r="D344" s="5">
        <f t="shared" si="16"/>
        <v>2</v>
      </c>
      <c r="E344" s="5">
        <f t="shared" si="17"/>
        <v>2</v>
      </c>
    </row>
    <row r="345" spans="1:5" outlineLevel="1" x14ac:dyDescent="0.2">
      <c r="A345">
        <v>0.21</v>
      </c>
      <c r="B345" s="5">
        <f t="shared" si="14"/>
        <v>165.18557538644777</v>
      </c>
      <c r="C345" s="5">
        <f t="shared" si="15"/>
        <v>165.18557538644777</v>
      </c>
      <c r="D345" s="5">
        <f t="shared" si="16"/>
        <v>2</v>
      </c>
      <c r="E345" s="5">
        <f t="shared" si="17"/>
        <v>2</v>
      </c>
    </row>
    <row r="346" spans="1:5" outlineLevel="1" x14ac:dyDescent="0.2">
      <c r="A346">
        <v>0.22</v>
      </c>
      <c r="B346" s="5">
        <f t="shared" si="14"/>
        <v>164.08767421416172</v>
      </c>
      <c r="C346" s="5">
        <f t="shared" si="15"/>
        <v>164.08767421416172</v>
      </c>
      <c r="D346" s="5">
        <f t="shared" si="16"/>
        <v>2</v>
      </c>
      <c r="E346" s="5">
        <f t="shared" si="17"/>
        <v>2</v>
      </c>
    </row>
    <row r="347" spans="1:5" outlineLevel="1" x14ac:dyDescent="0.2">
      <c r="A347">
        <v>0.23</v>
      </c>
      <c r="B347" s="5">
        <f t="shared" si="14"/>
        <v>162.66037477990758</v>
      </c>
      <c r="C347" s="5">
        <f t="shared" si="15"/>
        <v>162.66037477990758</v>
      </c>
      <c r="D347" s="5">
        <f t="shared" si="16"/>
        <v>2</v>
      </c>
      <c r="E347" s="5">
        <f t="shared" si="17"/>
        <v>2</v>
      </c>
    </row>
    <row r="348" spans="1:5" outlineLevel="1" x14ac:dyDescent="0.2">
      <c r="A348">
        <v>0.24</v>
      </c>
      <c r="B348" s="5">
        <f t="shared" si="14"/>
        <v>158.27179354015811</v>
      </c>
      <c r="C348" s="5">
        <f t="shared" si="15"/>
        <v>158.27179354015811</v>
      </c>
      <c r="D348" s="5">
        <f t="shared" si="16"/>
        <v>2</v>
      </c>
      <c r="E348" s="5">
        <f t="shared" si="17"/>
        <v>2</v>
      </c>
    </row>
    <row r="349" spans="1:5" outlineLevel="1" x14ac:dyDescent="0.2">
      <c r="A349">
        <v>0.25</v>
      </c>
      <c r="B349" s="5">
        <f t="shared" si="14"/>
        <v>156.63106530366429</v>
      </c>
      <c r="C349" s="5">
        <f t="shared" si="15"/>
        <v>156.63106530366429</v>
      </c>
      <c r="D349" s="5">
        <f t="shared" si="16"/>
        <v>2</v>
      </c>
      <c r="E349" s="5">
        <f t="shared" si="17"/>
        <v>2</v>
      </c>
    </row>
    <row r="350" spans="1:5" outlineLevel="1" x14ac:dyDescent="0.2">
      <c r="A350">
        <v>0.26</v>
      </c>
      <c r="B350" s="5">
        <f t="shared" si="14"/>
        <v>155.94461499166906</v>
      </c>
      <c r="C350" s="5">
        <f t="shared" si="15"/>
        <v>155.94461499166906</v>
      </c>
      <c r="D350" s="5">
        <f t="shared" si="16"/>
        <v>2</v>
      </c>
      <c r="E350" s="5">
        <f t="shared" si="17"/>
        <v>2</v>
      </c>
    </row>
    <row r="351" spans="1:5" outlineLevel="1" x14ac:dyDescent="0.2">
      <c r="A351">
        <v>0.27</v>
      </c>
      <c r="B351" s="5">
        <f t="shared" si="14"/>
        <v>152.3756783166202</v>
      </c>
      <c r="C351" s="5">
        <f t="shared" si="15"/>
        <v>152.3756783166202</v>
      </c>
      <c r="D351" s="5">
        <f t="shared" si="16"/>
        <v>2</v>
      </c>
      <c r="E351" s="5">
        <f t="shared" si="17"/>
        <v>2</v>
      </c>
    </row>
    <row r="352" spans="1:5" outlineLevel="1" x14ac:dyDescent="0.2">
      <c r="A352">
        <v>0.28000000000000003</v>
      </c>
      <c r="B352" s="5">
        <f t="shared" si="14"/>
        <v>143.36035277374026</v>
      </c>
      <c r="C352" s="5">
        <f t="shared" si="15"/>
        <v>143.36035277374026</v>
      </c>
      <c r="D352" s="5">
        <f t="shared" si="16"/>
        <v>2</v>
      </c>
      <c r="E352" s="5">
        <f t="shared" si="17"/>
        <v>2</v>
      </c>
    </row>
    <row r="353" spans="1:5" outlineLevel="1" x14ac:dyDescent="0.2">
      <c r="A353">
        <v>0.28999999999999998</v>
      </c>
      <c r="B353" s="5">
        <f t="shared" si="14"/>
        <v>139.25199121800327</v>
      </c>
      <c r="C353" s="5">
        <f t="shared" si="15"/>
        <v>139.25199121800327</v>
      </c>
      <c r="D353" s="5">
        <f t="shared" si="16"/>
        <v>2</v>
      </c>
      <c r="E353" s="5">
        <f t="shared" si="17"/>
        <v>2</v>
      </c>
    </row>
    <row r="354" spans="1:5" outlineLevel="1" x14ac:dyDescent="0.2">
      <c r="A354">
        <v>0.3</v>
      </c>
      <c r="B354" s="5">
        <f t="shared" ref="B354:B385" si="18">PERCENTILE( Risk, IF( $B$5, 1-$A354, $A354 ))</f>
        <v>136.89470530880442</v>
      </c>
      <c r="C354" s="5">
        <f t="shared" ref="C354:C385" si="19">PERCENTILE( What_If, IF( $C$5, 1-$A354, $A354 ))</f>
        <v>136.89470530880442</v>
      </c>
      <c r="D354" s="5">
        <f t="shared" ref="D354:D385" si="20">PERCENTILE( Current_Loss_Events, IF( $D$5, 1-$A354, $A354 ))</f>
        <v>2</v>
      </c>
      <c r="E354" s="5">
        <f t="shared" ref="E354:E385" si="21">PERCENTILE( Proposed_Loss_Events, IF( $E$5, 1-$A354, $A354 ))</f>
        <v>2</v>
      </c>
    </row>
    <row r="355" spans="1:5" outlineLevel="1" x14ac:dyDescent="0.2">
      <c r="A355">
        <v>0.31</v>
      </c>
      <c r="B355" s="5">
        <f t="shared" si="18"/>
        <v>135.98742653941861</v>
      </c>
      <c r="C355" s="5">
        <f t="shared" si="19"/>
        <v>135.98742653941861</v>
      </c>
      <c r="D355" s="5">
        <f t="shared" si="20"/>
        <v>2</v>
      </c>
      <c r="E355" s="5">
        <f t="shared" si="21"/>
        <v>2</v>
      </c>
    </row>
    <row r="356" spans="1:5" outlineLevel="1" x14ac:dyDescent="0.2">
      <c r="A356">
        <v>0.32</v>
      </c>
      <c r="B356" s="5">
        <f t="shared" si="18"/>
        <v>131.99912608582542</v>
      </c>
      <c r="C356" s="5">
        <f t="shared" si="19"/>
        <v>131.99912608582542</v>
      </c>
      <c r="D356" s="5">
        <f t="shared" si="20"/>
        <v>2</v>
      </c>
      <c r="E356" s="5">
        <f t="shared" si="21"/>
        <v>2</v>
      </c>
    </row>
    <row r="357" spans="1:5" outlineLevel="1" x14ac:dyDescent="0.2">
      <c r="A357">
        <v>0.33</v>
      </c>
      <c r="B357" s="5">
        <f t="shared" si="18"/>
        <v>128.40428076813984</v>
      </c>
      <c r="C357" s="5">
        <f t="shared" si="19"/>
        <v>128.40428076813984</v>
      </c>
      <c r="D357" s="5">
        <f t="shared" si="20"/>
        <v>2</v>
      </c>
      <c r="E357" s="5">
        <f t="shared" si="21"/>
        <v>2</v>
      </c>
    </row>
    <row r="358" spans="1:5" outlineLevel="1" x14ac:dyDescent="0.2">
      <c r="A358">
        <v>0.34</v>
      </c>
      <c r="B358" s="5">
        <f t="shared" si="18"/>
        <v>124.23500884404156</v>
      </c>
      <c r="C358" s="5">
        <f t="shared" si="19"/>
        <v>124.23500884404156</v>
      </c>
      <c r="D358" s="5">
        <f t="shared" si="20"/>
        <v>2</v>
      </c>
      <c r="E358" s="5">
        <f t="shared" si="21"/>
        <v>2</v>
      </c>
    </row>
    <row r="359" spans="1:5" outlineLevel="1" x14ac:dyDescent="0.2">
      <c r="A359">
        <v>0.35000000000000003</v>
      </c>
      <c r="B359" s="5">
        <f t="shared" si="18"/>
        <v>122.43647431712604</v>
      </c>
      <c r="C359" s="5">
        <f t="shared" si="19"/>
        <v>122.43647431712604</v>
      </c>
      <c r="D359" s="5">
        <f t="shared" si="20"/>
        <v>2</v>
      </c>
      <c r="E359" s="5">
        <f t="shared" si="21"/>
        <v>2</v>
      </c>
    </row>
    <row r="360" spans="1:5" outlineLevel="1" x14ac:dyDescent="0.2">
      <c r="A360">
        <v>0.36</v>
      </c>
      <c r="B360" s="5">
        <f t="shared" si="18"/>
        <v>120.39607935275377</v>
      </c>
      <c r="C360" s="5">
        <f t="shared" si="19"/>
        <v>120.39607935275377</v>
      </c>
      <c r="D360" s="5">
        <f t="shared" si="20"/>
        <v>2</v>
      </c>
      <c r="E360" s="5">
        <f t="shared" si="21"/>
        <v>2</v>
      </c>
    </row>
    <row r="361" spans="1:5" outlineLevel="1" x14ac:dyDescent="0.2">
      <c r="A361">
        <v>0.37</v>
      </c>
      <c r="B361" s="5">
        <f t="shared" si="18"/>
        <v>117.58955693598494</v>
      </c>
      <c r="C361" s="5">
        <f t="shared" si="19"/>
        <v>117.58955693598494</v>
      </c>
      <c r="D361" s="5">
        <f t="shared" si="20"/>
        <v>2</v>
      </c>
      <c r="E361" s="5">
        <f t="shared" si="21"/>
        <v>2</v>
      </c>
    </row>
    <row r="362" spans="1:5" outlineLevel="1" x14ac:dyDescent="0.2">
      <c r="A362">
        <v>0.38</v>
      </c>
      <c r="B362" s="5">
        <f t="shared" si="18"/>
        <v>115.39800972720978</v>
      </c>
      <c r="C362" s="5">
        <f t="shared" si="19"/>
        <v>115.39800972720978</v>
      </c>
      <c r="D362" s="5">
        <f t="shared" si="20"/>
        <v>2</v>
      </c>
      <c r="E362" s="5">
        <f t="shared" si="21"/>
        <v>2</v>
      </c>
    </row>
    <row r="363" spans="1:5" outlineLevel="1" x14ac:dyDescent="0.2">
      <c r="A363">
        <v>0.39</v>
      </c>
      <c r="B363" s="5">
        <f t="shared" si="18"/>
        <v>109.84989821854468</v>
      </c>
      <c r="C363" s="5">
        <f t="shared" si="19"/>
        <v>109.84989821854468</v>
      </c>
      <c r="D363" s="5">
        <f t="shared" si="20"/>
        <v>2</v>
      </c>
      <c r="E363" s="5">
        <f t="shared" si="21"/>
        <v>2</v>
      </c>
    </row>
    <row r="364" spans="1:5" outlineLevel="1" x14ac:dyDescent="0.2">
      <c r="A364">
        <v>0.4</v>
      </c>
      <c r="B364" s="5">
        <f t="shared" si="18"/>
        <v>106.38826889552067</v>
      </c>
      <c r="C364" s="5">
        <f t="shared" si="19"/>
        <v>106.38826889552067</v>
      </c>
      <c r="D364" s="5">
        <f t="shared" si="20"/>
        <v>2</v>
      </c>
      <c r="E364" s="5">
        <f t="shared" si="21"/>
        <v>2</v>
      </c>
    </row>
    <row r="365" spans="1:5" outlineLevel="1" x14ac:dyDescent="0.2">
      <c r="A365">
        <v>0.41000000000000003</v>
      </c>
      <c r="B365" s="5">
        <f t="shared" si="18"/>
        <v>104.98825224618354</v>
      </c>
      <c r="C365" s="5">
        <f t="shared" si="19"/>
        <v>104.98825224618354</v>
      </c>
      <c r="D365" s="5">
        <f t="shared" si="20"/>
        <v>2</v>
      </c>
      <c r="E365" s="5">
        <f t="shared" si="21"/>
        <v>2</v>
      </c>
    </row>
    <row r="366" spans="1:5" outlineLevel="1" x14ac:dyDescent="0.2">
      <c r="A366">
        <v>0.42</v>
      </c>
      <c r="B366" s="5">
        <f t="shared" si="18"/>
        <v>103.02747363079874</v>
      </c>
      <c r="C366" s="5">
        <f t="shared" si="19"/>
        <v>103.02747363079874</v>
      </c>
      <c r="D366" s="5">
        <f t="shared" si="20"/>
        <v>2</v>
      </c>
      <c r="E366" s="5">
        <f t="shared" si="21"/>
        <v>2</v>
      </c>
    </row>
    <row r="367" spans="1:5" outlineLevel="1" x14ac:dyDescent="0.2">
      <c r="A367">
        <v>0.43</v>
      </c>
      <c r="B367" s="5">
        <f t="shared" si="18"/>
        <v>101.28895663259755</v>
      </c>
      <c r="C367" s="5">
        <f t="shared" si="19"/>
        <v>101.28895663259755</v>
      </c>
      <c r="D367" s="5">
        <f t="shared" si="20"/>
        <v>1.4300000000000068</v>
      </c>
      <c r="E367" s="5">
        <f t="shared" si="21"/>
        <v>1.4300000000000068</v>
      </c>
    </row>
    <row r="368" spans="1:5" outlineLevel="1" x14ac:dyDescent="0.2">
      <c r="A368">
        <v>0.44</v>
      </c>
      <c r="B368" s="5">
        <f t="shared" si="18"/>
        <v>98.856915796882788</v>
      </c>
      <c r="C368" s="5">
        <f t="shared" si="19"/>
        <v>98.856915796882788</v>
      </c>
      <c r="D368" s="5">
        <f t="shared" si="20"/>
        <v>1</v>
      </c>
      <c r="E368" s="5">
        <f t="shared" si="21"/>
        <v>1</v>
      </c>
    </row>
    <row r="369" spans="1:5" outlineLevel="1" x14ac:dyDescent="0.2">
      <c r="A369">
        <v>0.45</v>
      </c>
      <c r="B369" s="5">
        <f t="shared" si="18"/>
        <v>93.120810285228359</v>
      </c>
      <c r="C369" s="5">
        <f t="shared" si="19"/>
        <v>93.120810285228359</v>
      </c>
      <c r="D369" s="5">
        <f t="shared" si="20"/>
        <v>1</v>
      </c>
      <c r="E369" s="5">
        <f t="shared" si="21"/>
        <v>1</v>
      </c>
    </row>
    <row r="370" spans="1:5" outlineLevel="1" x14ac:dyDescent="0.2">
      <c r="A370">
        <v>0.46</v>
      </c>
      <c r="B370" s="5">
        <f t="shared" si="18"/>
        <v>89.072628652105251</v>
      </c>
      <c r="C370" s="5">
        <f t="shared" si="19"/>
        <v>89.072628652105251</v>
      </c>
      <c r="D370" s="5">
        <f t="shared" si="20"/>
        <v>1</v>
      </c>
      <c r="E370" s="5">
        <f t="shared" si="21"/>
        <v>1</v>
      </c>
    </row>
    <row r="371" spans="1:5" outlineLevel="1" x14ac:dyDescent="0.2">
      <c r="A371">
        <v>0.47000000000000003</v>
      </c>
      <c r="B371" s="5">
        <f t="shared" si="18"/>
        <v>86.136072388729204</v>
      </c>
      <c r="C371" s="5">
        <f t="shared" si="19"/>
        <v>86.136072388729204</v>
      </c>
      <c r="D371" s="5">
        <f t="shared" si="20"/>
        <v>1</v>
      </c>
      <c r="E371" s="5">
        <f t="shared" si="21"/>
        <v>1</v>
      </c>
    </row>
    <row r="372" spans="1:5" outlineLevel="1" x14ac:dyDescent="0.2">
      <c r="A372">
        <v>0.48</v>
      </c>
      <c r="B372" s="5">
        <f t="shared" si="18"/>
        <v>83.735311941489783</v>
      </c>
      <c r="C372" s="5">
        <f t="shared" si="19"/>
        <v>83.735311941489783</v>
      </c>
      <c r="D372" s="5">
        <f t="shared" si="20"/>
        <v>1</v>
      </c>
      <c r="E372" s="5">
        <f t="shared" si="21"/>
        <v>1</v>
      </c>
    </row>
    <row r="373" spans="1:5" outlineLevel="1" x14ac:dyDescent="0.2">
      <c r="A373">
        <v>0.49</v>
      </c>
      <c r="B373" s="5">
        <f t="shared" si="18"/>
        <v>82.495558516016217</v>
      </c>
      <c r="C373" s="5">
        <f t="shared" si="19"/>
        <v>82.495558516016217</v>
      </c>
      <c r="D373" s="5">
        <f t="shared" si="20"/>
        <v>1</v>
      </c>
      <c r="E373" s="5">
        <f t="shared" si="21"/>
        <v>1</v>
      </c>
    </row>
    <row r="374" spans="1:5" outlineLevel="1" x14ac:dyDescent="0.2">
      <c r="A374">
        <v>0.5</v>
      </c>
      <c r="B374" s="5">
        <f t="shared" si="18"/>
        <v>80.598545891391552</v>
      </c>
      <c r="C374" s="5">
        <f t="shared" si="19"/>
        <v>80.598545891391552</v>
      </c>
      <c r="D374" s="5">
        <f t="shared" si="20"/>
        <v>1</v>
      </c>
      <c r="E374" s="5">
        <f t="shared" si="21"/>
        <v>1</v>
      </c>
    </row>
    <row r="375" spans="1:5" outlineLevel="1" x14ac:dyDescent="0.2">
      <c r="A375">
        <v>0.51</v>
      </c>
      <c r="B375" s="5">
        <f t="shared" si="18"/>
        <v>78.655019782132285</v>
      </c>
      <c r="C375" s="5">
        <f t="shared" si="19"/>
        <v>78.655019782132285</v>
      </c>
      <c r="D375" s="5">
        <f t="shared" si="20"/>
        <v>1</v>
      </c>
      <c r="E375" s="5">
        <f t="shared" si="21"/>
        <v>1</v>
      </c>
    </row>
    <row r="376" spans="1:5" outlineLevel="1" x14ac:dyDescent="0.2">
      <c r="A376">
        <v>0.52</v>
      </c>
      <c r="B376" s="5">
        <f t="shared" si="18"/>
        <v>77.372538731023894</v>
      </c>
      <c r="C376" s="5">
        <f t="shared" si="19"/>
        <v>77.372538731023894</v>
      </c>
      <c r="D376" s="5">
        <f t="shared" si="20"/>
        <v>1</v>
      </c>
      <c r="E376" s="5">
        <f t="shared" si="21"/>
        <v>1</v>
      </c>
    </row>
    <row r="377" spans="1:5" outlineLevel="1" x14ac:dyDescent="0.2">
      <c r="A377">
        <v>0.53</v>
      </c>
      <c r="B377" s="5">
        <f t="shared" si="18"/>
        <v>76.812281718354228</v>
      </c>
      <c r="C377" s="5">
        <f t="shared" si="19"/>
        <v>76.812281718354228</v>
      </c>
      <c r="D377" s="5">
        <f t="shared" si="20"/>
        <v>1</v>
      </c>
      <c r="E377" s="5">
        <f t="shared" si="21"/>
        <v>1</v>
      </c>
    </row>
    <row r="378" spans="1:5" outlineLevel="1" x14ac:dyDescent="0.2">
      <c r="A378">
        <v>0.54</v>
      </c>
      <c r="B378" s="5">
        <f t="shared" si="18"/>
        <v>73.596125363657649</v>
      </c>
      <c r="C378" s="5">
        <f t="shared" si="19"/>
        <v>73.596125363657649</v>
      </c>
      <c r="D378" s="5">
        <f t="shared" si="20"/>
        <v>1</v>
      </c>
      <c r="E378" s="5">
        <f t="shared" si="21"/>
        <v>1</v>
      </c>
    </row>
    <row r="379" spans="1:5" outlineLevel="1" x14ac:dyDescent="0.2">
      <c r="A379">
        <v>0.55000000000000004</v>
      </c>
      <c r="B379" s="5">
        <f t="shared" si="18"/>
        <v>69.114374717936755</v>
      </c>
      <c r="C379" s="5">
        <f t="shared" si="19"/>
        <v>69.114374717936755</v>
      </c>
      <c r="D379" s="5">
        <f t="shared" si="20"/>
        <v>1</v>
      </c>
      <c r="E379" s="5">
        <f t="shared" si="21"/>
        <v>1</v>
      </c>
    </row>
    <row r="380" spans="1:5" outlineLevel="1" x14ac:dyDescent="0.2">
      <c r="A380">
        <v>0.56000000000000005</v>
      </c>
      <c r="B380" s="5">
        <f t="shared" si="18"/>
        <v>66.90409256219634</v>
      </c>
      <c r="C380" s="5">
        <f t="shared" si="19"/>
        <v>66.90409256219634</v>
      </c>
      <c r="D380" s="5">
        <f t="shared" si="20"/>
        <v>1</v>
      </c>
      <c r="E380" s="5">
        <f t="shared" si="21"/>
        <v>1</v>
      </c>
    </row>
    <row r="381" spans="1:5" outlineLevel="1" x14ac:dyDescent="0.2">
      <c r="A381">
        <v>0.57000000000000006</v>
      </c>
      <c r="B381" s="5">
        <f t="shared" si="18"/>
        <v>61.427758026402159</v>
      </c>
      <c r="C381" s="5">
        <f t="shared" si="19"/>
        <v>61.427758026402159</v>
      </c>
      <c r="D381" s="5">
        <f t="shared" si="20"/>
        <v>1</v>
      </c>
      <c r="E381" s="5">
        <f t="shared" si="21"/>
        <v>1</v>
      </c>
    </row>
    <row r="382" spans="1:5" outlineLevel="1" x14ac:dyDescent="0.2">
      <c r="A382">
        <v>0.57999999999999996</v>
      </c>
      <c r="B382" s="5">
        <f t="shared" si="18"/>
        <v>52.266001872613586</v>
      </c>
      <c r="C382" s="5">
        <f t="shared" si="19"/>
        <v>52.266001872613586</v>
      </c>
      <c r="D382" s="5">
        <f t="shared" si="20"/>
        <v>1</v>
      </c>
      <c r="E382" s="5">
        <f t="shared" si="21"/>
        <v>1</v>
      </c>
    </row>
    <row r="383" spans="1:5" outlineLevel="1" x14ac:dyDescent="0.2">
      <c r="A383">
        <v>0.59</v>
      </c>
      <c r="B383" s="5">
        <f t="shared" si="18"/>
        <v>47.280446998086774</v>
      </c>
      <c r="C383" s="5">
        <f t="shared" si="19"/>
        <v>47.280446998086774</v>
      </c>
      <c r="D383" s="5">
        <f t="shared" si="20"/>
        <v>1</v>
      </c>
      <c r="E383" s="5">
        <f t="shared" si="21"/>
        <v>1</v>
      </c>
    </row>
    <row r="384" spans="1:5" outlineLevel="1" x14ac:dyDescent="0.2">
      <c r="A384">
        <v>0.6</v>
      </c>
      <c r="B384" s="5">
        <f t="shared" si="18"/>
        <v>45.485069307141011</v>
      </c>
      <c r="C384" s="5">
        <f t="shared" si="19"/>
        <v>45.485069307141011</v>
      </c>
      <c r="D384" s="5">
        <f t="shared" si="20"/>
        <v>1</v>
      </c>
      <c r="E384" s="5">
        <f t="shared" si="21"/>
        <v>1</v>
      </c>
    </row>
    <row r="385" spans="1:5" outlineLevel="1" x14ac:dyDescent="0.2">
      <c r="A385">
        <v>0.61</v>
      </c>
      <c r="B385" s="5">
        <f t="shared" si="18"/>
        <v>41.430081930723375</v>
      </c>
      <c r="C385" s="5">
        <f t="shared" si="19"/>
        <v>41.430081930723375</v>
      </c>
      <c r="D385" s="5">
        <f t="shared" si="20"/>
        <v>1</v>
      </c>
      <c r="E385" s="5">
        <f t="shared" si="21"/>
        <v>1</v>
      </c>
    </row>
    <row r="386" spans="1:5" outlineLevel="1" x14ac:dyDescent="0.2">
      <c r="A386">
        <v>0.62</v>
      </c>
      <c r="B386" s="5">
        <f t="shared" ref="B386:B417" si="22">PERCENTILE( Risk, IF( $B$5, 1-$A386, $A386 ))</f>
        <v>35.795361887619322</v>
      </c>
      <c r="C386" s="5">
        <f t="shared" ref="C386:C417" si="23">PERCENTILE( What_If, IF( $C$5, 1-$A386, $A386 ))</f>
        <v>35.795361887619322</v>
      </c>
      <c r="D386" s="5">
        <f t="shared" ref="D386:D417" si="24">PERCENTILE( Current_Loss_Events, IF( $D$5, 1-$A386, $A386 ))</f>
        <v>1</v>
      </c>
      <c r="E386" s="5">
        <f t="shared" ref="E386:E417" si="25">PERCENTILE( Proposed_Loss_Events, IF( $E$5, 1-$A386, $A386 ))</f>
        <v>1</v>
      </c>
    </row>
    <row r="387" spans="1:5" outlineLevel="1" x14ac:dyDescent="0.2">
      <c r="A387">
        <v>0.63</v>
      </c>
      <c r="B387" s="5">
        <f t="shared" si="22"/>
        <v>34.150038708298759</v>
      </c>
      <c r="C387" s="5">
        <f t="shared" si="23"/>
        <v>34.150038708298759</v>
      </c>
      <c r="D387" s="5">
        <f t="shared" si="24"/>
        <v>1</v>
      </c>
      <c r="E387" s="5">
        <f t="shared" si="25"/>
        <v>1</v>
      </c>
    </row>
    <row r="388" spans="1:5" outlineLevel="1" x14ac:dyDescent="0.2">
      <c r="A388">
        <v>0.64</v>
      </c>
      <c r="B388" s="5">
        <f t="shared" si="22"/>
        <v>32.19821694329481</v>
      </c>
      <c r="C388" s="5">
        <f t="shared" si="23"/>
        <v>32.19821694329481</v>
      </c>
      <c r="D388" s="5">
        <f t="shared" si="24"/>
        <v>1</v>
      </c>
      <c r="E388" s="5">
        <f t="shared" si="25"/>
        <v>1</v>
      </c>
    </row>
    <row r="389" spans="1:5" outlineLevel="1" x14ac:dyDescent="0.2">
      <c r="A389">
        <v>0.65</v>
      </c>
      <c r="B389" s="5">
        <f t="shared" si="22"/>
        <v>27.418359828261668</v>
      </c>
      <c r="C389" s="5">
        <f t="shared" si="23"/>
        <v>27.418359828261668</v>
      </c>
      <c r="D389" s="5">
        <f t="shared" si="24"/>
        <v>1</v>
      </c>
      <c r="E389" s="5">
        <f t="shared" si="25"/>
        <v>1</v>
      </c>
    </row>
    <row r="390" spans="1:5" outlineLevel="1" x14ac:dyDescent="0.2">
      <c r="A390">
        <v>0.66</v>
      </c>
      <c r="B390" s="5">
        <f t="shared" si="22"/>
        <v>24.629294787221482</v>
      </c>
      <c r="C390" s="5">
        <f t="shared" si="23"/>
        <v>24.629294787221482</v>
      </c>
      <c r="D390" s="5">
        <f t="shared" si="24"/>
        <v>1</v>
      </c>
      <c r="E390" s="5">
        <f t="shared" si="25"/>
        <v>1</v>
      </c>
    </row>
    <row r="391" spans="1:5" outlineLevel="1" x14ac:dyDescent="0.2">
      <c r="A391">
        <v>0.67</v>
      </c>
      <c r="B391" s="5">
        <f t="shared" si="22"/>
        <v>23.66314793571588</v>
      </c>
      <c r="C391" s="5">
        <f t="shared" si="23"/>
        <v>23.66314793571588</v>
      </c>
      <c r="D391" s="5">
        <f t="shared" si="24"/>
        <v>1</v>
      </c>
      <c r="E391" s="5">
        <f t="shared" si="25"/>
        <v>1</v>
      </c>
    </row>
    <row r="392" spans="1:5" outlineLevel="1" x14ac:dyDescent="0.2">
      <c r="A392">
        <v>0.68</v>
      </c>
      <c r="B392" s="5">
        <f t="shared" si="22"/>
        <v>21.990498903399207</v>
      </c>
      <c r="C392" s="5">
        <f t="shared" si="23"/>
        <v>21.990498903399207</v>
      </c>
      <c r="D392" s="5">
        <f t="shared" si="24"/>
        <v>1</v>
      </c>
      <c r="E392" s="5">
        <f t="shared" si="25"/>
        <v>1</v>
      </c>
    </row>
    <row r="393" spans="1:5" outlineLevel="1" x14ac:dyDescent="0.2">
      <c r="A393">
        <v>0.69000000000000006</v>
      </c>
      <c r="B393" s="5">
        <f t="shared" si="22"/>
        <v>19.779453181932325</v>
      </c>
      <c r="C393" s="5">
        <f t="shared" si="23"/>
        <v>19.779453181932325</v>
      </c>
      <c r="D393" s="5">
        <f t="shared" si="24"/>
        <v>1</v>
      </c>
      <c r="E393" s="5">
        <f t="shared" si="25"/>
        <v>1</v>
      </c>
    </row>
    <row r="394" spans="1:5" outlineLevel="1" x14ac:dyDescent="0.2">
      <c r="A394">
        <v>0.70000000000000007</v>
      </c>
      <c r="B394" s="5">
        <f t="shared" si="22"/>
        <v>19.091821478903082</v>
      </c>
      <c r="C394" s="5">
        <f t="shared" si="23"/>
        <v>19.091821478903082</v>
      </c>
      <c r="D394" s="5">
        <f t="shared" si="24"/>
        <v>1</v>
      </c>
      <c r="E394" s="5">
        <f t="shared" si="25"/>
        <v>1</v>
      </c>
    </row>
    <row r="395" spans="1:5" outlineLevel="1" x14ac:dyDescent="0.2">
      <c r="A395">
        <v>0.71</v>
      </c>
      <c r="B395" s="5">
        <f t="shared" si="22"/>
        <v>18.110034645330636</v>
      </c>
      <c r="C395" s="5">
        <f t="shared" si="23"/>
        <v>18.110034645330636</v>
      </c>
      <c r="D395" s="5">
        <f t="shared" si="24"/>
        <v>1</v>
      </c>
      <c r="E395" s="5">
        <f t="shared" si="25"/>
        <v>1</v>
      </c>
    </row>
    <row r="396" spans="1:5" outlineLevel="1" x14ac:dyDescent="0.2">
      <c r="A396">
        <v>0.72</v>
      </c>
      <c r="B396" s="5">
        <f t="shared" si="22"/>
        <v>14.868421669638966</v>
      </c>
      <c r="C396" s="5">
        <f t="shared" si="23"/>
        <v>14.868421669638966</v>
      </c>
      <c r="D396" s="5">
        <f t="shared" si="24"/>
        <v>1</v>
      </c>
      <c r="E396" s="5">
        <f t="shared" si="25"/>
        <v>1</v>
      </c>
    </row>
    <row r="397" spans="1:5" outlineLevel="1" x14ac:dyDescent="0.2">
      <c r="A397">
        <v>0.73</v>
      </c>
      <c r="B397" s="5">
        <f t="shared" si="22"/>
        <v>7.0320679733268197</v>
      </c>
      <c r="C397" s="5">
        <f t="shared" si="23"/>
        <v>7.0320679733268197</v>
      </c>
      <c r="D397" s="5">
        <f t="shared" si="24"/>
        <v>0.73000000000000043</v>
      </c>
      <c r="E397" s="5">
        <f t="shared" si="25"/>
        <v>0.73000000000000043</v>
      </c>
    </row>
    <row r="398" spans="1:5" outlineLevel="1" x14ac:dyDescent="0.2">
      <c r="A398">
        <v>0.74</v>
      </c>
      <c r="B398" s="5">
        <f t="shared" si="22"/>
        <v>0</v>
      </c>
      <c r="C398" s="5">
        <f t="shared" si="23"/>
        <v>0</v>
      </c>
      <c r="D398" s="5">
        <f t="shared" si="24"/>
        <v>0</v>
      </c>
      <c r="E398" s="5">
        <f t="shared" si="25"/>
        <v>0</v>
      </c>
    </row>
    <row r="399" spans="1:5" outlineLevel="1" x14ac:dyDescent="0.2">
      <c r="A399">
        <v>0.75</v>
      </c>
      <c r="B399" s="5">
        <f t="shared" si="22"/>
        <v>0</v>
      </c>
      <c r="C399" s="5">
        <f t="shared" si="23"/>
        <v>0</v>
      </c>
      <c r="D399" s="5">
        <f t="shared" si="24"/>
        <v>0</v>
      </c>
      <c r="E399" s="5">
        <f t="shared" si="25"/>
        <v>0</v>
      </c>
    </row>
    <row r="400" spans="1:5" outlineLevel="1" x14ac:dyDescent="0.2">
      <c r="A400">
        <v>0.76</v>
      </c>
      <c r="B400" s="5">
        <f t="shared" si="22"/>
        <v>0</v>
      </c>
      <c r="C400" s="5">
        <f t="shared" si="23"/>
        <v>0</v>
      </c>
      <c r="D400" s="5">
        <f t="shared" si="24"/>
        <v>0</v>
      </c>
      <c r="E400" s="5">
        <f t="shared" si="25"/>
        <v>0</v>
      </c>
    </row>
    <row r="401" spans="1:5" outlineLevel="1" x14ac:dyDescent="0.2">
      <c r="A401">
        <v>0.77</v>
      </c>
      <c r="B401" s="5">
        <f t="shared" si="22"/>
        <v>0</v>
      </c>
      <c r="C401" s="5">
        <f t="shared" si="23"/>
        <v>0</v>
      </c>
      <c r="D401" s="5">
        <f t="shared" si="24"/>
        <v>0</v>
      </c>
      <c r="E401" s="5">
        <f t="shared" si="25"/>
        <v>0</v>
      </c>
    </row>
    <row r="402" spans="1:5" outlineLevel="1" x14ac:dyDescent="0.2">
      <c r="A402">
        <v>0.78</v>
      </c>
      <c r="B402" s="5">
        <f t="shared" si="22"/>
        <v>0</v>
      </c>
      <c r="C402" s="5">
        <f t="shared" si="23"/>
        <v>0</v>
      </c>
      <c r="D402" s="5">
        <f t="shared" si="24"/>
        <v>0</v>
      </c>
      <c r="E402" s="5">
        <f t="shared" si="25"/>
        <v>0</v>
      </c>
    </row>
    <row r="403" spans="1:5" outlineLevel="1" x14ac:dyDescent="0.2">
      <c r="A403">
        <v>0.79</v>
      </c>
      <c r="B403" s="5">
        <f t="shared" si="22"/>
        <v>0</v>
      </c>
      <c r="C403" s="5">
        <f t="shared" si="23"/>
        <v>0</v>
      </c>
      <c r="D403" s="5">
        <f t="shared" si="24"/>
        <v>0</v>
      </c>
      <c r="E403" s="5">
        <f t="shared" si="25"/>
        <v>0</v>
      </c>
    </row>
    <row r="404" spans="1:5" outlineLevel="1" x14ac:dyDescent="0.2">
      <c r="A404">
        <v>0.8</v>
      </c>
      <c r="B404" s="5">
        <f t="shared" si="22"/>
        <v>0</v>
      </c>
      <c r="C404" s="5">
        <f t="shared" si="23"/>
        <v>0</v>
      </c>
      <c r="D404" s="5">
        <f t="shared" si="24"/>
        <v>0</v>
      </c>
      <c r="E404" s="5">
        <f t="shared" si="25"/>
        <v>0</v>
      </c>
    </row>
    <row r="405" spans="1:5" outlineLevel="1" x14ac:dyDescent="0.2">
      <c r="A405">
        <v>0.81</v>
      </c>
      <c r="B405" s="5">
        <f t="shared" si="22"/>
        <v>0</v>
      </c>
      <c r="C405" s="5">
        <f t="shared" si="23"/>
        <v>0</v>
      </c>
      <c r="D405" s="5">
        <f t="shared" si="24"/>
        <v>0</v>
      </c>
      <c r="E405" s="5">
        <f t="shared" si="25"/>
        <v>0</v>
      </c>
    </row>
    <row r="406" spans="1:5" outlineLevel="1" x14ac:dyDescent="0.2">
      <c r="A406">
        <v>0.82000000000000006</v>
      </c>
      <c r="B406" s="5">
        <f t="shared" si="22"/>
        <v>0</v>
      </c>
      <c r="C406" s="5">
        <f t="shared" si="23"/>
        <v>0</v>
      </c>
      <c r="D406" s="5">
        <f t="shared" si="24"/>
        <v>0</v>
      </c>
      <c r="E406" s="5">
        <f t="shared" si="25"/>
        <v>0</v>
      </c>
    </row>
    <row r="407" spans="1:5" outlineLevel="1" x14ac:dyDescent="0.2">
      <c r="A407">
        <v>0.83000000000000007</v>
      </c>
      <c r="B407" s="5">
        <f t="shared" si="22"/>
        <v>0</v>
      </c>
      <c r="C407" s="5">
        <f t="shared" si="23"/>
        <v>0</v>
      </c>
      <c r="D407" s="5">
        <f t="shared" si="24"/>
        <v>0</v>
      </c>
      <c r="E407" s="5">
        <f t="shared" si="25"/>
        <v>0</v>
      </c>
    </row>
    <row r="408" spans="1:5" outlineLevel="1" x14ac:dyDescent="0.2">
      <c r="A408">
        <v>0.84</v>
      </c>
      <c r="B408" s="5">
        <f t="shared" si="22"/>
        <v>0</v>
      </c>
      <c r="C408" s="5">
        <f t="shared" si="23"/>
        <v>0</v>
      </c>
      <c r="D408" s="5">
        <f t="shared" si="24"/>
        <v>0</v>
      </c>
      <c r="E408" s="5">
        <f t="shared" si="25"/>
        <v>0</v>
      </c>
    </row>
    <row r="409" spans="1:5" outlineLevel="1" x14ac:dyDescent="0.2">
      <c r="A409">
        <v>0.85</v>
      </c>
      <c r="B409" s="5">
        <f t="shared" si="22"/>
        <v>0</v>
      </c>
      <c r="C409" s="5">
        <f t="shared" si="23"/>
        <v>0</v>
      </c>
      <c r="D409" s="5">
        <f t="shared" si="24"/>
        <v>0</v>
      </c>
      <c r="E409" s="5">
        <f t="shared" si="25"/>
        <v>0</v>
      </c>
    </row>
    <row r="410" spans="1:5" outlineLevel="1" x14ac:dyDescent="0.2">
      <c r="A410">
        <v>0.86</v>
      </c>
      <c r="B410" s="5">
        <f t="shared" si="22"/>
        <v>0</v>
      </c>
      <c r="C410" s="5">
        <f t="shared" si="23"/>
        <v>0</v>
      </c>
      <c r="D410" s="5">
        <f t="shared" si="24"/>
        <v>0</v>
      </c>
      <c r="E410" s="5">
        <f t="shared" si="25"/>
        <v>0</v>
      </c>
    </row>
    <row r="411" spans="1:5" outlineLevel="1" x14ac:dyDescent="0.2">
      <c r="A411">
        <v>0.87</v>
      </c>
      <c r="B411" s="5">
        <f t="shared" si="22"/>
        <v>0</v>
      </c>
      <c r="C411" s="5">
        <f t="shared" si="23"/>
        <v>0</v>
      </c>
      <c r="D411" s="5">
        <f t="shared" si="24"/>
        <v>0</v>
      </c>
      <c r="E411" s="5">
        <f t="shared" si="25"/>
        <v>0</v>
      </c>
    </row>
    <row r="412" spans="1:5" outlineLevel="1" x14ac:dyDescent="0.2">
      <c r="A412">
        <v>0.88</v>
      </c>
      <c r="B412" s="5">
        <f t="shared" si="22"/>
        <v>0</v>
      </c>
      <c r="C412" s="5">
        <f t="shared" si="23"/>
        <v>0</v>
      </c>
      <c r="D412" s="5">
        <f t="shared" si="24"/>
        <v>0</v>
      </c>
      <c r="E412" s="5">
        <f t="shared" si="25"/>
        <v>0</v>
      </c>
    </row>
    <row r="413" spans="1:5" outlineLevel="1" x14ac:dyDescent="0.2">
      <c r="A413">
        <v>0.89</v>
      </c>
      <c r="B413" s="5">
        <f t="shared" si="22"/>
        <v>0</v>
      </c>
      <c r="C413" s="5">
        <f t="shared" si="23"/>
        <v>0</v>
      </c>
      <c r="D413" s="5">
        <f t="shared" si="24"/>
        <v>0</v>
      </c>
      <c r="E413" s="5">
        <f t="shared" si="25"/>
        <v>0</v>
      </c>
    </row>
    <row r="414" spans="1:5" outlineLevel="1" x14ac:dyDescent="0.2">
      <c r="A414">
        <v>0.9</v>
      </c>
      <c r="B414" s="5">
        <f t="shared" si="22"/>
        <v>0</v>
      </c>
      <c r="C414" s="5">
        <f t="shared" si="23"/>
        <v>0</v>
      </c>
      <c r="D414" s="5">
        <f t="shared" si="24"/>
        <v>0</v>
      </c>
      <c r="E414" s="5">
        <f t="shared" si="25"/>
        <v>0</v>
      </c>
    </row>
    <row r="415" spans="1:5" outlineLevel="1" x14ac:dyDescent="0.2">
      <c r="A415">
        <v>0.91</v>
      </c>
      <c r="B415" s="5">
        <f t="shared" si="22"/>
        <v>0</v>
      </c>
      <c r="C415" s="5">
        <f t="shared" si="23"/>
        <v>0</v>
      </c>
      <c r="D415" s="5">
        <f t="shared" si="24"/>
        <v>0</v>
      </c>
      <c r="E415" s="5">
        <f t="shared" si="25"/>
        <v>0</v>
      </c>
    </row>
    <row r="416" spans="1:5" outlineLevel="1" x14ac:dyDescent="0.2">
      <c r="A416">
        <v>0.92</v>
      </c>
      <c r="B416" s="5">
        <f t="shared" si="22"/>
        <v>0</v>
      </c>
      <c r="C416" s="5">
        <f t="shared" si="23"/>
        <v>0</v>
      </c>
      <c r="D416" s="5">
        <f t="shared" si="24"/>
        <v>0</v>
      </c>
      <c r="E416" s="5">
        <f t="shared" si="25"/>
        <v>0</v>
      </c>
    </row>
    <row r="417" spans="1:5" outlineLevel="1" x14ac:dyDescent="0.2">
      <c r="A417">
        <v>0.93</v>
      </c>
      <c r="B417" s="5">
        <f t="shared" si="22"/>
        <v>0</v>
      </c>
      <c r="C417" s="5">
        <f t="shared" si="23"/>
        <v>0</v>
      </c>
      <c r="D417" s="5">
        <f t="shared" si="24"/>
        <v>0</v>
      </c>
      <c r="E417" s="5">
        <f t="shared" si="25"/>
        <v>0</v>
      </c>
    </row>
    <row r="418" spans="1:5" outlineLevel="1" x14ac:dyDescent="0.2">
      <c r="A418">
        <v>0.94000000000000006</v>
      </c>
      <c r="B418" s="5">
        <f t="shared" ref="B418:B426" si="26">PERCENTILE( Risk, IF( $B$5, 1-$A418, $A418 ))</f>
        <v>0</v>
      </c>
      <c r="C418" s="5">
        <f t="shared" ref="C418:C426" si="27">PERCENTILE( What_If, IF( $C$5, 1-$A418, $A418 ))</f>
        <v>0</v>
      </c>
      <c r="D418" s="5">
        <f t="shared" ref="D418:D426" si="28">PERCENTILE( Current_Loss_Events, IF( $D$5, 1-$A418, $A418 ))</f>
        <v>0</v>
      </c>
      <c r="E418" s="5">
        <f t="shared" ref="E418:E426" si="29">PERCENTILE( Proposed_Loss_Events, IF( $E$5, 1-$A418, $A418 ))</f>
        <v>0</v>
      </c>
    </row>
    <row r="419" spans="1:5" outlineLevel="1" x14ac:dyDescent="0.2">
      <c r="A419">
        <v>0.95000000000000007</v>
      </c>
      <c r="B419" s="5">
        <f t="shared" si="26"/>
        <v>0</v>
      </c>
      <c r="C419" s="5">
        <f t="shared" si="27"/>
        <v>0</v>
      </c>
      <c r="D419" s="5">
        <f t="shared" si="28"/>
        <v>0</v>
      </c>
      <c r="E419" s="5">
        <f t="shared" si="29"/>
        <v>0</v>
      </c>
    </row>
    <row r="420" spans="1:5" outlineLevel="1" x14ac:dyDescent="0.2">
      <c r="A420">
        <v>0.96</v>
      </c>
      <c r="B420" s="5">
        <f t="shared" si="26"/>
        <v>0</v>
      </c>
      <c r="C420" s="5">
        <f t="shared" si="27"/>
        <v>0</v>
      </c>
      <c r="D420" s="5">
        <f t="shared" si="28"/>
        <v>0</v>
      </c>
      <c r="E420" s="5">
        <f t="shared" si="29"/>
        <v>0</v>
      </c>
    </row>
    <row r="421" spans="1:5" outlineLevel="1" x14ac:dyDescent="0.2">
      <c r="A421">
        <v>0.97</v>
      </c>
      <c r="B421" s="5">
        <f t="shared" si="26"/>
        <v>0</v>
      </c>
      <c r="C421" s="5">
        <f t="shared" si="27"/>
        <v>0</v>
      </c>
      <c r="D421" s="5">
        <f t="shared" si="28"/>
        <v>0</v>
      </c>
      <c r="E421" s="5">
        <f t="shared" si="29"/>
        <v>0</v>
      </c>
    </row>
    <row r="422" spans="1:5" outlineLevel="1" x14ac:dyDescent="0.2">
      <c r="A422">
        <v>0.98</v>
      </c>
      <c r="B422" s="5">
        <f t="shared" si="26"/>
        <v>0</v>
      </c>
      <c r="C422" s="5">
        <f t="shared" si="27"/>
        <v>0</v>
      </c>
      <c r="D422" s="5">
        <f t="shared" si="28"/>
        <v>0</v>
      </c>
      <c r="E422" s="5">
        <f t="shared" si="29"/>
        <v>0</v>
      </c>
    </row>
    <row r="423" spans="1:5" outlineLevel="1" x14ac:dyDescent="0.2">
      <c r="A423">
        <v>0.99</v>
      </c>
      <c r="B423" s="5">
        <f t="shared" si="26"/>
        <v>0</v>
      </c>
      <c r="C423" s="5">
        <f t="shared" si="27"/>
        <v>0</v>
      </c>
      <c r="D423" s="5">
        <f t="shared" si="28"/>
        <v>0</v>
      </c>
      <c r="E423" s="5">
        <f t="shared" si="29"/>
        <v>0</v>
      </c>
    </row>
    <row r="424" spans="1:5" outlineLevel="1" x14ac:dyDescent="0.2">
      <c r="A424">
        <v>0.99299999999999999</v>
      </c>
      <c r="B424" s="5">
        <f t="shared" si="26"/>
        <v>0</v>
      </c>
      <c r="C424" s="5">
        <f t="shared" si="27"/>
        <v>0</v>
      </c>
      <c r="D424" s="5">
        <f t="shared" si="28"/>
        <v>0</v>
      </c>
      <c r="E424" s="5">
        <f t="shared" si="29"/>
        <v>0</v>
      </c>
    </row>
    <row r="425" spans="1:5" outlineLevel="1" x14ac:dyDescent="0.2">
      <c r="A425">
        <v>0.996</v>
      </c>
      <c r="B425" s="5">
        <f t="shared" si="26"/>
        <v>0</v>
      </c>
      <c r="C425" s="5">
        <f t="shared" si="27"/>
        <v>0</v>
      </c>
      <c r="D425" s="5">
        <f t="shared" si="28"/>
        <v>0</v>
      </c>
      <c r="E425" s="5">
        <f t="shared" si="29"/>
        <v>0</v>
      </c>
    </row>
    <row r="426" spans="1:5" outlineLevel="1" x14ac:dyDescent="0.2">
      <c r="A426">
        <v>0.999</v>
      </c>
      <c r="B426" s="5">
        <f t="shared" si="26"/>
        <v>0</v>
      </c>
      <c r="C426" s="5">
        <f t="shared" si="27"/>
        <v>0</v>
      </c>
      <c r="D426" s="5">
        <f t="shared" si="28"/>
        <v>0</v>
      </c>
      <c r="E426" s="5">
        <f t="shared" si="29"/>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Drop Down 1">
              <controlPr defaultSize="0" autoLine="0" autoPict="0">
                <anchor moveWithCells="1">
                  <from>
                    <xdr:col>22</xdr:col>
                    <xdr:colOff>25400</xdr:colOff>
                    <xdr:row>2</xdr:row>
                    <xdr:rowOff>12700</xdr:rowOff>
                  </from>
                  <to>
                    <xdr:col>23</xdr:col>
                    <xdr:colOff>101600</xdr:colOff>
                    <xdr:row>3</xdr:row>
                    <xdr:rowOff>12700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Z27"/>
  <sheetViews>
    <sheetView showRowColHeaders="0" zoomScaleNormal="100" workbookViewId="0"/>
  </sheetViews>
  <sheetFormatPr baseColWidth="10" defaultColWidth="8.5" defaultRowHeight="16" x14ac:dyDescent="0.2"/>
  <cols>
    <col min="1" max="1" width="5.83203125" style="315" customWidth="1"/>
    <col min="2" max="16384" width="8.5" style="315"/>
  </cols>
  <sheetData>
    <row r="2" spans="5:5" ht="25" x14ac:dyDescent="0.2">
      <c r="E2" s="316" t="s">
        <v>213</v>
      </c>
    </row>
    <row r="18" spans="1:26" x14ac:dyDescent="0.2">
      <c r="Z18" s="338"/>
    </row>
    <row r="26" spans="1:26" x14ac:dyDescent="0.2">
      <c r="A26" s="7"/>
    </row>
    <row r="27" spans="1:26" x14ac:dyDescent="0.2">
      <c r="F27" s="338"/>
    </row>
  </sheetData>
  <sheetProtection sheet="1" objects="1" scenarios="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J29"/>
  <sheetViews>
    <sheetView showGridLines="0" showRowColHeaders="0" zoomScaleNormal="100" workbookViewId="0"/>
  </sheetViews>
  <sheetFormatPr baseColWidth="10" defaultColWidth="8.5" defaultRowHeight="16" x14ac:dyDescent="0.2"/>
  <cols>
    <col min="1" max="1" width="6.1640625" style="336" customWidth="1"/>
    <col min="2" max="16384" width="8.5" style="336"/>
  </cols>
  <sheetData>
    <row r="29" spans="10:10" x14ac:dyDescent="0.2">
      <c r="J29" s="337"/>
    </row>
  </sheetData>
  <sheetProtection sheet="1" objects="1" scenarios="1"/>
  <pageMargins left="0.7" right="0.7" top="0.75" bottom="0.75" header="0.3" footer="0.3"/>
  <pageSetup paperSize="9" orientation="portrait" horizontalDpi="4294967292"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G30"/>
  <sheetViews>
    <sheetView showGridLines="0" showRowColHeaders="0" zoomScaleNormal="100" workbookViewId="0"/>
  </sheetViews>
  <sheetFormatPr baseColWidth="10" defaultColWidth="9" defaultRowHeight="16" x14ac:dyDescent="0.2"/>
  <cols>
    <col min="1" max="16384" width="9" style="328"/>
  </cols>
  <sheetData>
    <row r="4" spans="7:7" ht="18" x14ac:dyDescent="0.2">
      <c r="G4" s="329"/>
    </row>
    <row r="29" spans="1:1" x14ac:dyDescent="0.2">
      <c r="A29" s="334"/>
    </row>
    <row r="30" spans="1:1" x14ac:dyDescent="0.2">
      <c r="A30" s="335"/>
    </row>
  </sheetData>
  <sheetProtection sheet="1" objects="1" scenarios="1"/>
  <pageMargins left="0.7" right="0.7" top="0.75" bottom="0.75" header="0.3" footer="0.3"/>
  <pageSetup paperSize="9" orientation="portrait" horizontalDpi="4294967292"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40</vt:i4>
      </vt:variant>
    </vt:vector>
  </HeadingPairs>
  <TitlesOfParts>
    <vt:vector size="53" baseType="lpstr">
      <vt:lpstr>About</vt:lpstr>
      <vt:lpstr>Risk</vt:lpstr>
      <vt:lpstr>Loss Event Frequency</vt:lpstr>
      <vt:lpstr>Loss Magnitude</vt:lpstr>
      <vt:lpstr>Current_Calc</vt:lpstr>
      <vt:lpstr>Proposed_Calc</vt:lpstr>
      <vt:lpstr>Vulnerability</vt:lpstr>
      <vt:lpstr>SUMS of IID Triangles</vt:lpstr>
      <vt:lpstr>PMTable</vt:lpstr>
      <vt:lpstr>SIPmath Chart Data</vt:lpstr>
      <vt:lpstr>Guide 1</vt:lpstr>
      <vt:lpstr>Guide 2</vt:lpstr>
      <vt:lpstr>Guide 3</vt:lpstr>
      <vt:lpstr>About</vt:lpstr>
      <vt:lpstr>Current_Loss_Events</vt:lpstr>
      <vt:lpstr>Guide2</vt:lpstr>
      <vt:lpstr>Guide3</vt:lpstr>
      <vt:lpstr>Home</vt:lpstr>
      <vt:lpstr>Intro</vt:lpstr>
      <vt:lpstr>LEF</vt:lpstr>
      <vt:lpstr>LEF_Home</vt:lpstr>
      <vt:lpstr>LEF_TEF</vt:lpstr>
      <vt:lpstr>LEF_VUL</vt:lpstr>
      <vt:lpstr>LM_Home</vt:lpstr>
      <vt:lpstr>LM_TOP</vt:lpstr>
      <vt:lpstr>Mag_Event</vt:lpstr>
      <vt:lpstr>Metric</vt:lpstr>
      <vt:lpstr>PM_cdf_Y</vt:lpstr>
      <vt:lpstr>PM_Current_Loss_Events_bins</vt:lpstr>
      <vt:lpstr>PM_Current_Loss_Events_cdf_X</vt:lpstr>
      <vt:lpstr>PM_Current_Loss_Events_freq</vt:lpstr>
      <vt:lpstr>PM_Current_Loss_Events_lbls</vt:lpstr>
      <vt:lpstr>PM_Index</vt:lpstr>
      <vt:lpstr>PM_Proposed_Loss_Events_bins</vt:lpstr>
      <vt:lpstr>PM_Proposed_Loss_Events_cdf_X</vt:lpstr>
      <vt:lpstr>PM_Proposed_Loss_Events_freq</vt:lpstr>
      <vt:lpstr>PM_Proposed_Loss_Events_lbls</vt:lpstr>
      <vt:lpstr>PM_Risk_bins</vt:lpstr>
      <vt:lpstr>PM_Risk_cdf_X</vt:lpstr>
      <vt:lpstr>PM_Risk_freq</vt:lpstr>
      <vt:lpstr>PM_Risk_lbls</vt:lpstr>
      <vt:lpstr>PM_Toggle</vt:lpstr>
      <vt:lpstr>PM_What_If_bins</vt:lpstr>
      <vt:lpstr>PM_What_If_cdf_X</vt:lpstr>
      <vt:lpstr>PM_What_If_freq</vt:lpstr>
      <vt:lpstr>PM_What_If_lbls</vt:lpstr>
      <vt:lpstr>Proposed_Loss_Events</vt:lpstr>
      <vt:lpstr>Risk</vt:lpstr>
      <vt:lpstr>TEF_CF</vt:lpstr>
      <vt:lpstr>TEF_PoA</vt:lpstr>
      <vt:lpstr>Vul_RS</vt:lpstr>
      <vt:lpstr>Vul_TC</vt:lpstr>
      <vt:lpstr>What_If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2017-09-06T20:10:56Z</dcterms:created>
  <dcterms:modified xsi:type="dcterms:W3CDTF">2021-03-11T22:59:20Z</dcterms:modified>
</cp:coreProperties>
</file>