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El investigador\02_RSL_RN_AI_LLMs\"/>
    </mc:Choice>
  </mc:AlternateContent>
  <xr:revisionPtr revIDLastSave="0" documentId="8_{E7375961-B414-4241-9E01-3F7739EE5C84}" xr6:coauthVersionLast="47" xr6:coauthVersionMax="47" xr10:uidLastSave="{00000000-0000-0000-0000-000000000000}"/>
  <bookViews>
    <workbookView xWindow="-110" yWindow="-110" windowWidth="25820" windowHeight="15500" xr2:uid="{EEBB7F8D-F6B0-4BF3-B94A-904A60E9FE15}"/>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F3" i="1"/>
  <c r="BT3" i="1"/>
  <c r="BF4" i="1"/>
  <c r="BT4" i="1"/>
  <c r="BF5" i="1"/>
  <c r="BT5" i="1"/>
  <c r="BF6" i="1"/>
  <c r="BT6" i="1"/>
  <c r="BF7" i="1"/>
  <c r="BT7" i="1"/>
  <c r="BF8" i="1"/>
  <c r="BT8" i="1"/>
  <c r="BF9" i="1"/>
  <c r="BT9" i="1"/>
  <c r="BF10" i="1"/>
  <c r="BT10" i="1"/>
  <c r="BF11" i="1"/>
  <c r="BT11" i="1"/>
  <c r="BF12" i="1"/>
  <c r="BT12" i="1"/>
  <c r="BF13" i="1"/>
  <c r="BT13" i="1"/>
  <c r="BF14" i="1"/>
  <c r="BT14" i="1"/>
  <c r="BF15" i="1"/>
  <c r="BT15" i="1"/>
  <c r="BF16" i="1"/>
  <c r="BT16" i="1"/>
  <c r="BF17" i="1"/>
  <c r="BT17" i="1"/>
  <c r="BF18" i="1"/>
  <c r="BT18" i="1"/>
  <c r="BF19" i="1"/>
  <c r="BT19" i="1"/>
  <c r="BF20" i="1"/>
  <c r="BT20" i="1"/>
  <c r="BF21" i="1"/>
  <c r="BT21" i="1"/>
  <c r="BF22" i="1"/>
  <c r="BT22" i="1"/>
  <c r="BF23" i="1"/>
  <c r="BT23" i="1"/>
  <c r="BF24" i="1"/>
  <c r="BT24" i="1"/>
  <c r="BF25" i="1"/>
  <c r="BT25" i="1"/>
  <c r="BF26" i="1"/>
  <c r="BT26" i="1"/>
  <c r="BF27" i="1"/>
  <c r="BT27" i="1"/>
  <c r="BF28" i="1"/>
  <c r="BT28" i="1"/>
  <c r="BF29" i="1"/>
  <c r="BT29" i="1"/>
  <c r="BF30" i="1"/>
  <c r="BT30" i="1"/>
  <c r="BF31" i="1"/>
  <c r="BT31" i="1"/>
  <c r="BF32" i="1"/>
  <c r="BT32" i="1"/>
  <c r="BF33" i="1"/>
  <c r="BT33" i="1"/>
  <c r="BF34" i="1"/>
  <c r="BT34" i="1"/>
  <c r="BF35" i="1"/>
  <c r="BT35" i="1"/>
  <c r="BF36" i="1"/>
  <c r="BT36" i="1"/>
  <c r="BF37" i="1"/>
  <c r="BT37" i="1"/>
  <c r="BF38" i="1"/>
  <c r="BT38" i="1"/>
  <c r="BF39" i="1"/>
  <c r="BT39" i="1"/>
  <c r="BF40" i="1"/>
  <c r="BT40" i="1"/>
  <c r="BF41" i="1"/>
  <c r="BT41" i="1"/>
  <c r="BF42" i="1"/>
  <c r="BT42" i="1"/>
  <c r="BF43" i="1"/>
  <c r="BT43" i="1"/>
  <c r="BF44" i="1"/>
  <c r="BT44" i="1"/>
  <c r="BF45" i="1"/>
  <c r="BT45" i="1"/>
  <c r="BF46" i="1"/>
  <c r="BT46" i="1"/>
  <c r="BF47" i="1"/>
  <c r="BT47" i="1"/>
  <c r="BF48" i="1"/>
  <c r="BT48" i="1"/>
  <c r="BF49" i="1"/>
  <c r="BT49" i="1"/>
  <c r="BF50" i="1"/>
  <c r="BT50" i="1"/>
  <c r="BF51" i="1"/>
  <c r="BT51" i="1"/>
  <c r="BF52" i="1"/>
  <c r="BT52" i="1"/>
  <c r="BF53" i="1"/>
  <c r="BT53" i="1"/>
  <c r="BF54" i="1"/>
  <c r="BT54" i="1"/>
  <c r="BF55" i="1"/>
  <c r="BT55" i="1"/>
  <c r="BF56" i="1"/>
  <c r="BT56" i="1"/>
  <c r="BF57" i="1"/>
  <c r="BT57" i="1"/>
  <c r="BF58" i="1"/>
  <c r="BT58" i="1"/>
  <c r="BF59" i="1"/>
  <c r="BT59" i="1"/>
  <c r="BF60" i="1"/>
  <c r="BT60" i="1"/>
  <c r="BF61" i="1"/>
  <c r="BT61" i="1"/>
  <c r="BF62" i="1"/>
  <c r="BT62" i="1"/>
  <c r="BF63" i="1"/>
  <c r="BT63" i="1"/>
  <c r="BF64" i="1"/>
  <c r="BT64" i="1"/>
  <c r="BF65" i="1"/>
  <c r="BT65" i="1"/>
  <c r="BF66" i="1"/>
  <c r="BT66" i="1"/>
  <c r="BF67" i="1"/>
  <c r="BT67" i="1"/>
  <c r="BF68" i="1"/>
  <c r="BT68" i="1"/>
  <c r="BF69" i="1"/>
  <c r="BT69" i="1"/>
  <c r="BF70" i="1"/>
  <c r="BT70" i="1"/>
  <c r="BF71" i="1"/>
  <c r="BT71" i="1"/>
  <c r="BF72" i="1"/>
  <c r="BT72" i="1"/>
  <c r="BF73" i="1"/>
  <c r="BT73" i="1"/>
  <c r="BF74" i="1"/>
  <c r="BT74" i="1"/>
  <c r="BF75" i="1"/>
  <c r="BT75" i="1"/>
  <c r="BF76" i="1"/>
  <c r="BT76" i="1"/>
  <c r="BF77" i="1"/>
  <c r="BT77" i="1"/>
  <c r="BF78" i="1"/>
  <c r="BT78" i="1"/>
  <c r="BF79" i="1"/>
  <c r="BT79" i="1"/>
  <c r="BF80" i="1"/>
  <c r="BT80" i="1"/>
  <c r="BF81" i="1"/>
  <c r="BT81" i="1"/>
  <c r="BF82" i="1"/>
  <c r="BT82" i="1"/>
  <c r="BF83" i="1"/>
  <c r="BT83" i="1"/>
  <c r="BF84" i="1"/>
  <c r="BT84" i="1"/>
  <c r="BF85" i="1"/>
  <c r="BT85" i="1"/>
  <c r="BF86" i="1"/>
  <c r="BT86" i="1"/>
  <c r="BF87" i="1"/>
  <c r="BT87" i="1"/>
  <c r="BF88" i="1"/>
  <c r="BT88" i="1"/>
  <c r="BF89" i="1"/>
  <c r="BT89" i="1"/>
  <c r="BF90" i="1"/>
  <c r="BT90" i="1"/>
  <c r="BF91" i="1"/>
  <c r="BT91" i="1"/>
  <c r="BF92" i="1"/>
  <c r="BT92" i="1"/>
  <c r="BF93" i="1"/>
  <c r="BT93" i="1"/>
  <c r="BF94" i="1"/>
  <c r="BT94" i="1"/>
  <c r="BF95" i="1"/>
  <c r="BT95" i="1"/>
  <c r="BF96" i="1"/>
  <c r="BT96" i="1"/>
  <c r="BF97" i="1"/>
  <c r="BT97" i="1"/>
  <c r="BF98" i="1"/>
  <c r="BT98" i="1"/>
  <c r="BF99" i="1"/>
  <c r="BT99" i="1"/>
  <c r="BF100" i="1"/>
  <c r="BT100" i="1"/>
  <c r="BF101" i="1"/>
  <c r="BT101" i="1"/>
  <c r="BF102" i="1"/>
  <c r="BT102" i="1"/>
  <c r="BF103" i="1"/>
  <c r="BT103" i="1"/>
  <c r="BF104" i="1"/>
  <c r="BT104" i="1"/>
  <c r="BF105" i="1"/>
  <c r="BT105" i="1"/>
  <c r="BF106" i="1"/>
  <c r="BT106" i="1"/>
  <c r="BF107" i="1"/>
  <c r="BT107" i="1"/>
  <c r="BF108" i="1"/>
  <c r="BT108" i="1"/>
  <c r="BF109" i="1"/>
  <c r="BT109" i="1"/>
  <c r="BF110" i="1"/>
  <c r="BT110" i="1"/>
  <c r="BF111" i="1"/>
  <c r="BT111" i="1"/>
  <c r="BF112" i="1"/>
  <c r="BT112" i="1"/>
  <c r="BF113" i="1"/>
  <c r="BT113" i="1"/>
  <c r="BF114" i="1"/>
  <c r="BT114" i="1"/>
  <c r="BF115" i="1"/>
  <c r="BT115" i="1"/>
  <c r="BF116" i="1"/>
  <c r="BT116" i="1"/>
  <c r="BF117" i="1"/>
  <c r="BT117" i="1"/>
  <c r="BF118" i="1"/>
  <c r="BT118" i="1"/>
  <c r="BF119" i="1"/>
  <c r="BT119" i="1"/>
  <c r="BF120" i="1"/>
  <c r="BT120" i="1"/>
  <c r="BF121" i="1"/>
  <c r="BT121" i="1"/>
  <c r="BF122" i="1"/>
  <c r="BT122" i="1"/>
  <c r="BF123" i="1"/>
  <c r="BT123" i="1"/>
  <c r="BF124" i="1"/>
  <c r="BT124" i="1"/>
  <c r="BF125" i="1"/>
  <c r="BT125" i="1"/>
  <c r="BF126" i="1"/>
  <c r="BT126" i="1"/>
  <c r="BF127" i="1"/>
  <c r="BT127" i="1"/>
  <c r="BF128" i="1"/>
  <c r="BT128" i="1"/>
  <c r="BF129" i="1"/>
  <c r="BT129" i="1"/>
  <c r="BF130" i="1"/>
  <c r="BT130" i="1"/>
  <c r="BF131" i="1"/>
  <c r="BT131" i="1"/>
  <c r="BF132" i="1"/>
  <c r="BT132" i="1"/>
  <c r="BF133" i="1"/>
  <c r="BT133" i="1"/>
  <c r="BF134" i="1"/>
  <c r="BT134" i="1"/>
  <c r="BF135" i="1"/>
  <c r="BT135" i="1"/>
  <c r="BF136" i="1"/>
  <c r="BT136" i="1"/>
  <c r="BF137" i="1"/>
  <c r="BT137" i="1"/>
  <c r="BF138" i="1"/>
  <c r="BT138" i="1"/>
  <c r="BF139" i="1"/>
  <c r="BT139" i="1"/>
  <c r="BF140" i="1"/>
  <c r="BT140" i="1"/>
  <c r="BF141" i="1"/>
  <c r="BT141" i="1"/>
  <c r="BF142" i="1"/>
  <c r="BT142" i="1"/>
  <c r="BF143" i="1"/>
  <c r="BT143" i="1"/>
  <c r="BF144" i="1"/>
  <c r="BT144" i="1"/>
  <c r="BF145" i="1"/>
  <c r="BT145" i="1"/>
  <c r="BF146" i="1"/>
  <c r="BT146" i="1"/>
  <c r="BF147" i="1"/>
  <c r="BT147" i="1"/>
  <c r="BF148" i="1"/>
  <c r="BT148" i="1"/>
  <c r="BF149" i="1"/>
  <c r="BT149" i="1"/>
  <c r="BF150" i="1"/>
  <c r="BT150" i="1"/>
  <c r="BF151" i="1"/>
  <c r="BT151" i="1"/>
  <c r="BF152" i="1"/>
  <c r="BT152" i="1"/>
  <c r="BF153" i="1"/>
  <c r="BT153" i="1"/>
  <c r="BF154" i="1"/>
  <c r="BT154" i="1"/>
  <c r="BF155" i="1"/>
  <c r="BT155" i="1"/>
  <c r="BF156" i="1"/>
  <c r="BT156" i="1"/>
  <c r="BF157" i="1"/>
  <c r="BT157" i="1"/>
  <c r="BF158" i="1"/>
  <c r="BT158" i="1"/>
  <c r="BF159" i="1"/>
  <c r="BT159" i="1"/>
  <c r="BF160" i="1"/>
  <c r="BT160" i="1"/>
  <c r="BF161" i="1"/>
  <c r="BT161" i="1"/>
  <c r="BF162" i="1"/>
  <c r="BT162" i="1"/>
  <c r="BF163" i="1"/>
  <c r="BT163" i="1"/>
  <c r="BF164" i="1"/>
  <c r="BT164" i="1"/>
  <c r="BF165" i="1"/>
  <c r="BT165" i="1"/>
  <c r="BF166" i="1"/>
  <c r="BT166" i="1"/>
  <c r="BF167" i="1"/>
  <c r="BT167" i="1"/>
  <c r="BF168" i="1"/>
  <c r="BT168" i="1"/>
  <c r="BF169" i="1"/>
  <c r="BT169" i="1"/>
  <c r="BF170" i="1"/>
  <c r="BT170" i="1"/>
  <c r="BF171" i="1"/>
  <c r="BT171" i="1"/>
  <c r="BF172" i="1"/>
  <c r="BT172" i="1"/>
  <c r="BF173" i="1"/>
  <c r="BT173" i="1"/>
  <c r="BF174" i="1"/>
  <c r="BT174" i="1"/>
  <c r="BF175" i="1"/>
  <c r="BT175" i="1"/>
  <c r="BF176" i="1"/>
  <c r="BT176" i="1"/>
  <c r="BF177" i="1"/>
  <c r="BT177" i="1"/>
  <c r="BF178" i="1"/>
  <c r="BT178" i="1"/>
  <c r="BF179" i="1"/>
  <c r="BT179" i="1"/>
  <c r="BF180" i="1"/>
  <c r="BT180" i="1"/>
  <c r="BF181" i="1"/>
  <c r="BT181" i="1"/>
  <c r="BF182" i="1"/>
  <c r="BT182" i="1"/>
  <c r="BF183" i="1"/>
  <c r="BT183" i="1"/>
  <c r="BF184" i="1"/>
  <c r="BT184" i="1"/>
  <c r="BF185" i="1"/>
  <c r="BT185" i="1"/>
  <c r="BF186" i="1"/>
  <c r="BT186" i="1"/>
  <c r="BF187" i="1"/>
  <c r="BT187" i="1"/>
  <c r="BF188" i="1"/>
  <c r="BT188" i="1"/>
  <c r="BF189" i="1"/>
  <c r="BT189" i="1"/>
  <c r="BF190" i="1"/>
  <c r="BT190" i="1"/>
  <c r="BF191" i="1"/>
  <c r="BT191" i="1"/>
  <c r="BF192" i="1"/>
  <c r="BT192" i="1"/>
  <c r="BF193" i="1"/>
  <c r="BT193" i="1"/>
  <c r="BF194" i="1"/>
  <c r="BT194" i="1"/>
  <c r="BT195" i="1"/>
  <c r="BF196" i="1"/>
  <c r="BT196" i="1"/>
  <c r="BF197" i="1"/>
  <c r="BT197" i="1"/>
  <c r="BF198" i="1"/>
  <c r="BT198" i="1"/>
  <c r="BF199" i="1"/>
  <c r="BT199" i="1"/>
  <c r="BF200" i="1"/>
  <c r="BT200" i="1"/>
  <c r="BF201" i="1"/>
  <c r="BT201" i="1"/>
  <c r="BF202" i="1"/>
  <c r="BT202" i="1"/>
  <c r="BF203" i="1"/>
  <c r="BT203" i="1"/>
  <c r="BF204" i="1"/>
  <c r="BT204" i="1"/>
  <c r="BF205" i="1"/>
  <c r="BT205" i="1"/>
  <c r="BF206" i="1"/>
  <c r="BT206" i="1"/>
  <c r="BF207" i="1"/>
  <c r="BT207" i="1"/>
  <c r="BF208" i="1"/>
  <c r="BT208" i="1"/>
  <c r="BF209" i="1"/>
  <c r="BT209" i="1"/>
  <c r="BF210" i="1"/>
  <c r="BT210" i="1"/>
  <c r="BF211" i="1"/>
  <c r="BT211" i="1"/>
  <c r="BF212" i="1"/>
  <c r="BT212" i="1"/>
  <c r="BF213" i="1"/>
  <c r="BT213" i="1"/>
  <c r="BF214" i="1"/>
  <c r="BT214" i="1"/>
  <c r="BF215" i="1"/>
  <c r="BT215" i="1"/>
  <c r="BF216" i="1"/>
  <c r="BT216" i="1"/>
  <c r="BF217" i="1"/>
  <c r="BT217" i="1"/>
  <c r="BF218" i="1"/>
  <c r="BT218" i="1"/>
  <c r="BF219" i="1"/>
  <c r="BT219" i="1"/>
  <c r="BF220" i="1"/>
  <c r="BT220" i="1"/>
  <c r="BF221" i="1"/>
  <c r="BT221" i="1"/>
  <c r="BF222" i="1"/>
  <c r="BT222" i="1"/>
  <c r="BF223" i="1"/>
  <c r="BT223" i="1"/>
  <c r="BF224" i="1"/>
  <c r="BT224" i="1"/>
  <c r="BF225" i="1"/>
  <c r="BT225" i="1"/>
  <c r="BF226" i="1"/>
  <c r="BT226" i="1"/>
  <c r="BF227" i="1"/>
  <c r="BT227" i="1"/>
  <c r="BF228" i="1"/>
  <c r="BT228" i="1"/>
  <c r="BF229" i="1"/>
  <c r="BT229" i="1"/>
  <c r="BF230" i="1"/>
  <c r="BT230" i="1"/>
  <c r="BF231" i="1"/>
  <c r="BT231" i="1"/>
  <c r="BF232" i="1"/>
  <c r="BT232" i="1"/>
  <c r="BF233" i="1"/>
  <c r="BT233" i="1"/>
  <c r="BF234" i="1"/>
  <c r="BT234" i="1"/>
  <c r="BF235" i="1"/>
  <c r="BT235" i="1"/>
  <c r="BF236" i="1"/>
  <c r="BT236" i="1"/>
  <c r="BF237" i="1"/>
  <c r="BT237" i="1"/>
  <c r="BF238" i="1"/>
  <c r="BT238" i="1"/>
  <c r="BF239" i="1"/>
  <c r="BT239" i="1"/>
  <c r="BF240" i="1"/>
  <c r="BT240" i="1"/>
  <c r="BF241" i="1"/>
  <c r="BT241" i="1"/>
  <c r="BF242" i="1"/>
  <c r="BT242" i="1"/>
  <c r="BF243" i="1"/>
  <c r="BT243" i="1"/>
  <c r="BF244" i="1"/>
  <c r="BT244" i="1"/>
  <c r="BF245" i="1"/>
  <c r="BT245" i="1"/>
  <c r="BF246" i="1"/>
  <c r="BT246" i="1"/>
  <c r="BF247" i="1"/>
  <c r="BT247" i="1"/>
  <c r="BF248" i="1"/>
  <c r="BT248" i="1"/>
  <c r="BF249" i="1"/>
  <c r="BT249" i="1"/>
  <c r="BF250" i="1"/>
  <c r="BT250" i="1"/>
  <c r="BF251" i="1"/>
  <c r="BT251" i="1"/>
  <c r="BF252" i="1"/>
  <c r="BT252" i="1"/>
  <c r="BF253" i="1"/>
  <c r="BT253" i="1"/>
  <c r="BF254" i="1"/>
  <c r="BT254" i="1"/>
  <c r="BF255" i="1"/>
  <c r="BT255" i="1"/>
  <c r="BF256" i="1"/>
  <c r="BT256" i="1"/>
  <c r="BF257" i="1"/>
  <c r="BT257" i="1"/>
  <c r="BF258" i="1"/>
  <c r="BT258" i="1"/>
  <c r="BF259" i="1"/>
  <c r="BT259" i="1"/>
  <c r="BF260" i="1"/>
  <c r="BT260" i="1"/>
  <c r="BF261" i="1"/>
  <c r="BT261" i="1"/>
  <c r="BF262" i="1"/>
  <c r="BT262" i="1"/>
  <c r="BF263" i="1"/>
  <c r="BT263" i="1"/>
  <c r="BF264" i="1"/>
  <c r="BT264" i="1"/>
  <c r="BF265" i="1"/>
  <c r="BT265" i="1"/>
  <c r="BF266" i="1"/>
  <c r="BT266" i="1"/>
  <c r="BF267" i="1"/>
  <c r="BT267" i="1"/>
  <c r="BF268" i="1"/>
  <c r="BT268" i="1"/>
  <c r="BF269" i="1"/>
  <c r="BT269" i="1"/>
  <c r="BF270" i="1"/>
  <c r="BT270" i="1"/>
  <c r="BF271" i="1"/>
  <c r="BT271" i="1"/>
  <c r="BF272" i="1"/>
  <c r="BT272" i="1"/>
  <c r="BF273" i="1"/>
  <c r="BT273" i="1"/>
  <c r="BF274" i="1"/>
  <c r="BT274" i="1"/>
  <c r="BF275" i="1"/>
  <c r="BT275" i="1"/>
  <c r="BF276" i="1"/>
  <c r="BT276" i="1"/>
  <c r="BF277" i="1"/>
  <c r="BT277" i="1"/>
  <c r="BF278" i="1"/>
  <c r="BT278" i="1"/>
  <c r="BF279" i="1"/>
  <c r="BT279" i="1"/>
  <c r="BF280" i="1"/>
  <c r="BT280" i="1"/>
  <c r="BF281" i="1"/>
  <c r="BT281" i="1"/>
  <c r="BF282" i="1"/>
  <c r="BT282" i="1"/>
  <c r="BF283" i="1"/>
  <c r="BT283" i="1"/>
  <c r="BF284" i="1"/>
  <c r="BT284" i="1"/>
  <c r="BF285" i="1"/>
  <c r="BT285" i="1"/>
  <c r="BF286" i="1"/>
  <c r="BT286" i="1"/>
  <c r="BF287" i="1"/>
  <c r="BT287" i="1"/>
  <c r="BF288" i="1"/>
  <c r="BT288" i="1"/>
  <c r="BF289" i="1"/>
  <c r="BT289" i="1"/>
  <c r="BF290" i="1"/>
  <c r="BT290" i="1"/>
  <c r="BF291" i="1"/>
  <c r="BT291" i="1"/>
  <c r="BF292" i="1"/>
  <c r="BT292" i="1"/>
  <c r="BF293" i="1"/>
  <c r="BT293" i="1"/>
  <c r="BF294" i="1"/>
  <c r="BT294" i="1"/>
  <c r="BF295" i="1"/>
  <c r="BT295" i="1"/>
  <c r="BF296" i="1"/>
  <c r="BT296" i="1"/>
  <c r="BF297" i="1"/>
  <c r="BT297" i="1"/>
  <c r="BF298" i="1"/>
  <c r="BT298" i="1"/>
  <c r="BF299" i="1"/>
  <c r="BT299" i="1"/>
  <c r="BF300" i="1"/>
  <c r="BT300" i="1"/>
  <c r="BF301" i="1"/>
  <c r="BT301" i="1"/>
  <c r="BF302" i="1"/>
  <c r="BT302" i="1"/>
  <c r="BF303" i="1"/>
  <c r="BT303" i="1"/>
  <c r="BF304" i="1"/>
  <c r="BT304" i="1"/>
  <c r="BF305" i="1"/>
  <c r="BT305" i="1"/>
  <c r="BF306" i="1"/>
  <c r="BT306" i="1"/>
  <c r="BF307" i="1"/>
  <c r="BT307" i="1"/>
  <c r="BF308" i="1"/>
  <c r="BT308" i="1"/>
  <c r="BF309" i="1"/>
  <c r="BT309" i="1"/>
  <c r="BF310" i="1"/>
  <c r="BT310" i="1"/>
  <c r="BF311" i="1"/>
  <c r="BT311" i="1"/>
  <c r="BF312" i="1"/>
  <c r="BT312" i="1"/>
  <c r="BF313" i="1"/>
  <c r="BT313" i="1"/>
  <c r="BF314" i="1"/>
  <c r="BT314" i="1"/>
  <c r="BF315" i="1"/>
  <c r="BT315" i="1"/>
  <c r="BF316" i="1"/>
  <c r="BT316" i="1"/>
  <c r="BF317" i="1"/>
  <c r="BT317" i="1"/>
  <c r="BF318" i="1"/>
  <c r="BT318" i="1"/>
  <c r="BF319" i="1"/>
  <c r="BT319" i="1"/>
  <c r="BF320" i="1"/>
  <c r="BT320" i="1"/>
  <c r="BF321" i="1"/>
  <c r="BT321" i="1"/>
  <c r="BF322" i="1"/>
  <c r="BT322" i="1"/>
  <c r="BF323" i="1"/>
  <c r="BT323" i="1"/>
  <c r="BF324" i="1"/>
  <c r="BT324" i="1"/>
  <c r="BF325" i="1"/>
  <c r="BT325" i="1"/>
  <c r="BF326" i="1"/>
  <c r="BT326" i="1"/>
  <c r="BF327" i="1"/>
  <c r="BT327" i="1"/>
  <c r="BF328" i="1"/>
  <c r="BT328" i="1"/>
  <c r="BT329" i="1"/>
  <c r="BF330" i="1"/>
  <c r="BT330" i="1"/>
  <c r="BF331" i="1"/>
  <c r="BT331" i="1"/>
  <c r="BF332" i="1"/>
  <c r="BT332" i="1"/>
  <c r="BF333" i="1"/>
  <c r="BT333" i="1"/>
  <c r="BF334" i="1"/>
  <c r="BT334" i="1"/>
  <c r="BF335" i="1"/>
  <c r="BT335" i="1"/>
  <c r="BF336" i="1"/>
  <c r="BT336" i="1"/>
  <c r="BF337" i="1"/>
  <c r="BT337" i="1"/>
  <c r="BF338" i="1"/>
  <c r="BT338" i="1"/>
  <c r="BF339" i="1"/>
  <c r="BT339" i="1"/>
  <c r="BF340" i="1"/>
  <c r="BT340" i="1"/>
  <c r="BF341" i="1"/>
  <c r="BT341" i="1"/>
  <c r="BF342" i="1"/>
  <c r="BT342" i="1"/>
  <c r="BF343" i="1"/>
  <c r="BT343" i="1"/>
  <c r="BF344" i="1"/>
  <c r="BT344" i="1"/>
  <c r="BF345" i="1"/>
  <c r="BT345" i="1"/>
  <c r="BF346" i="1"/>
  <c r="BT346" i="1"/>
  <c r="BF347" i="1"/>
  <c r="BT347" i="1"/>
  <c r="BF348" i="1"/>
  <c r="BT348" i="1"/>
  <c r="BF349" i="1"/>
  <c r="BT349" i="1"/>
  <c r="BF350" i="1"/>
  <c r="BT350" i="1"/>
  <c r="BF351" i="1"/>
  <c r="BT351" i="1"/>
  <c r="BF352" i="1"/>
  <c r="BT352" i="1"/>
  <c r="BF353" i="1"/>
  <c r="BT353" i="1"/>
  <c r="BF354" i="1"/>
  <c r="BT354" i="1"/>
  <c r="BF355" i="1"/>
  <c r="BT355" i="1"/>
  <c r="BF356" i="1"/>
  <c r="BT356" i="1"/>
  <c r="BF357" i="1"/>
  <c r="BT357" i="1"/>
  <c r="BF358" i="1"/>
  <c r="BT358" i="1"/>
  <c r="BT359" i="1"/>
  <c r="BF360" i="1"/>
  <c r="BT360" i="1"/>
  <c r="BF361" i="1"/>
  <c r="BT361" i="1"/>
  <c r="BF362" i="1"/>
  <c r="BT362" i="1"/>
  <c r="BF363" i="1"/>
  <c r="BT363" i="1"/>
  <c r="BF364" i="1"/>
  <c r="BT364" i="1"/>
  <c r="BF365" i="1"/>
  <c r="BT365" i="1"/>
  <c r="BF366" i="1"/>
  <c r="BT366" i="1"/>
  <c r="BF367" i="1"/>
  <c r="BT367" i="1"/>
  <c r="BF368" i="1"/>
  <c r="BT368" i="1"/>
  <c r="BF369" i="1"/>
  <c r="BT369" i="1"/>
  <c r="BF370" i="1"/>
  <c r="BT370" i="1"/>
  <c r="BF371" i="1"/>
  <c r="BT371" i="1"/>
  <c r="BF372" i="1"/>
  <c r="BT372" i="1"/>
  <c r="BF373" i="1"/>
  <c r="BT373" i="1"/>
  <c r="BF374" i="1"/>
  <c r="BT374" i="1"/>
  <c r="BF375" i="1"/>
  <c r="BT375" i="1"/>
  <c r="BF376" i="1"/>
  <c r="BT376" i="1"/>
  <c r="BF377" i="1"/>
  <c r="BT377" i="1"/>
  <c r="BF378" i="1"/>
  <c r="BT378" i="1"/>
  <c r="BF379" i="1"/>
  <c r="BT379" i="1"/>
  <c r="BF380" i="1"/>
  <c r="BT380" i="1"/>
  <c r="BF381" i="1"/>
  <c r="BT381" i="1"/>
  <c r="BF382" i="1"/>
  <c r="BT382" i="1"/>
  <c r="BF383" i="1"/>
  <c r="BT383" i="1"/>
  <c r="BF384" i="1"/>
  <c r="BT384" i="1"/>
  <c r="BF385" i="1"/>
  <c r="BT385" i="1"/>
  <c r="BF386" i="1"/>
  <c r="BT386" i="1"/>
  <c r="BF387" i="1"/>
  <c r="BT387" i="1"/>
  <c r="BF388" i="1"/>
  <c r="BT388" i="1"/>
  <c r="BF389" i="1"/>
  <c r="BT389" i="1"/>
  <c r="BF390" i="1"/>
  <c r="BT390" i="1"/>
  <c r="BF391" i="1"/>
  <c r="BT391" i="1"/>
  <c r="BF392" i="1"/>
  <c r="BT392" i="1"/>
  <c r="BF393" i="1"/>
  <c r="BT393" i="1"/>
  <c r="BF394" i="1"/>
  <c r="BT394" i="1"/>
  <c r="BF395" i="1"/>
  <c r="BT395" i="1"/>
  <c r="BF396" i="1"/>
  <c r="BT396" i="1"/>
  <c r="BF397" i="1"/>
  <c r="BT397" i="1"/>
  <c r="BF398" i="1"/>
  <c r="BT398" i="1"/>
  <c r="BF399" i="1"/>
  <c r="BT399" i="1"/>
  <c r="BF400" i="1"/>
  <c r="BT400" i="1"/>
  <c r="BF401" i="1"/>
  <c r="BT401" i="1"/>
  <c r="BF402" i="1"/>
  <c r="BT402" i="1"/>
  <c r="BF403" i="1"/>
  <c r="BT403" i="1"/>
  <c r="BF404" i="1"/>
  <c r="BT404" i="1"/>
  <c r="BF405" i="1"/>
  <c r="BT405" i="1"/>
  <c r="BF406" i="1"/>
  <c r="BT406" i="1"/>
  <c r="BF407" i="1"/>
  <c r="BT407" i="1"/>
  <c r="BF408" i="1"/>
  <c r="BT408" i="1"/>
  <c r="BF409" i="1"/>
  <c r="BT409" i="1"/>
  <c r="BF410" i="1"/>
  <c r="BT410" i="1"/>
  <c r="BF411" i="1"/>
  <c r="BT411" i="1"/>
  <c r="BF412" i="1"/>
  <c r="BT412" i="1"/>
  <c r="BF413" i="1"/>
  <c r="BT413" i="1"/>
  <c r="BF414" i="1"/>
  <c r="BT414" i="1"/>
  <c r="BF415" i="1"/>
  <c r="BT415" i="1"/>
  <c r="BF416" i="1"/>
  <c r="BT416" i="1"/>
  <c r="BF417" i="1"/>
  <c r="BT417" i="1"/>
  <c r="BF418" i="1"/>
  <c r="BT418" i="1"/>
  <c r="BF419" i="1"/>
  <c r="BT419" i="1"/>
  <c r="BF420" i="1"/>
  <c r="BT420" i="1"/>
  <c r="BF421" i="1"/>
  <c r="BT421" i="1"/>
  <c r="BF422" i="1"/>
  <c r="BT422" i="1"/>
  <c r="BF423" i="1"/>
  <c r="BT423" i="1"/>
  <c r="BF424" i="1"/>
  <c r="BT424" i="1"/>
  <c r="BF425" i="1"/>
  <c r="BT425" i="1"/>
  <c r="BF426" i="1"/>
  <c r="BT426" i="1"/>
  <c r="BF427" i="1"/>
  <c r="BT427" i="1"/>
  <c r="BF428" i="1"/>
  <c r="BT428" i="1"/>
  <c r="BF429" i="1"/>
  <c r="BT429" i="1"/>
  <c r="BF430" i="1"/>
  <c r="BT430" i="1"/>
  <c r="BF431" i="1"/>
  <c r="BT431" i="1"/>
  <c r="BF432" i="1"/>
  <c r="BT432" i="1"/>
  <c r="BF433" i="1"/>
  <c r="BT433" i="1"/>
  <c r="BF434" i="1"/>
  <c r="BT434" i="1"/>
  <c r="BF435" i="1"/>
  <c r="BT435" i="1"/>
  <c r="BF436" i="1"/>
  <c r="BT436" i="1"/>
  <c r="BF437" i="1"/>
  <c r="BT437" i="1"/>
  <c r="BF438" i="1"/>
  <c r="BT438" i="1"/>
  <c r="BF439" i="1"/>
  <c r="BT439" i="1"/>
  <c r="BF440" i="1"/>
  <c r="BT440" i="1"/>
  <c r="BF441" i="1"/>
  <c r="BT441" i="1"/>
  <c r="BF442" i="1"/>
  <c r="BT442" i="1"/>
  <c r="BF443" i="1"/>
  <c r="BT443" i="1"/>
  <c r="BF444" i="1"/>
  <c r="BT444" i="1"/>
  <c r="BF445" i="1"/>
  <c r="BT445" i="1"/>
  <c r="BF446" i="1"/>
  <c r="BT446" i="1"/>
  <c r="BF447" i="1"/>
  <c r="BT447" i="1"/>
  <c r="BF448" i="1"/>
  <c r="BT448" i="1"/>
  <c r="BF449" i="1"/>
  <c r="BT449" i="1"/>
  <c r="BF450" i="1"/>
  <c r="BT450" i="1"/>
  <c r="BF451" i="1"/>
  <c r="BT451" i="1"/>
  <c r="BF452" i="1"/>
  <c r="BT452" i="1"/>
  <c r="BF453" i="1"/>
  <c r="BT453" i="1"/>
  <c r="BF454" i="1"/>
  <c r="BT454" i="1"/>
  <c r="BF455" i="1"/>
  <c r="BT455" i="1"/>
  <c r="BF456" i="1"/>
  <c r="BT456" i="1"/>
  <c r="BF457" i="1"/>
  <c r="BT457" i="1"/>
  <c r="BF458" i="1"/>
  <c r="BT458" i="1"/>
  <c r="BF459" i="1"/>
  <c r="BT459" i="1"/>
  <c r="BF460" i="1"/>
  <c r="BT460" i="1"/>
  <c r="BF461" i="1"/>
  <c r="BT461" i="1"/>
  <c r="BF462" i="1"/>
  <c r="BT462" i="1"/>
  <c r="BF463" i="1"/>
  <c r="BT463" i="1"/>
  <c r="BF464" i="1"/>
  <c r="BT464" i="1"/>
  <c r="BF465" i="1"/>
  <c r="BT465" i="1"/>
  <c r="BF466" i="1"/>
  <c r="BT466" i="1"/>
  <c r="BF467" i="1"/>
  <c r="BT467" i="1"/>
  <c r="BF468" i="1"/>
  <c r="BT468" i="1"/>
  <c r="BF469" i="1"/>
  <c r="BT469" i="1"/>
  <c r="BF470" i="1"/>
  <c r="BT470" i="1"/>
  <c r="BF471" i="1"/>
  <c r="BT471" i="1"/>
  <c r="BF472" i="1"/>
  <c r="BT472" i="1"/>
  <c r="BF473" i="1"/>
  <c r="BT473" i="1"/>
  <c r="BF474" i="1"/>
  <c r="BT474" i="1"/>
  <c r="BF475" i="1"/>
  <c r="BT475" i="1"/>
  <c r="BF476" i="1"/>
  <c r="BT476" i="1"/>
  <c r="BF477" i="1"/>
  <c r="BT477" i="1"/>
  <c r="BF478" i="1"/>
  <c r="BT478" i="1"/>
  <c r="BF479" i="1"/>
  <c r="BT479" i="1"/>
  <c r="BF480" i="1"/>
  <c r="BT480" i="1"/>
  <c r="BF481" i="1"/>
  <c r="BT481" i="1"/>
  <c r="BF482" i="1"/>
  <c r="BT482" i="1"/>
  <c r="BF483" i="1"/>
  <c r="BT483" i="1"/>
  <c r="BF484" i="1"/>
  <c r="BT484" i="1"/>
  <c r="BF485" i="1"/>
  <c r="BT485" i="1"/>
  <c r="BF486" i="1"/>
  <c r="BT486" i="1"/>
  <c r="BF487" i="1"/>
  <c r="BT487" i="1"/>
  <c r="BF488" i="1"/>
  <c r="BT488" i="1"/>
  <c r="BF489" i="1"/>
  <c r="BT489" i="1"/>
  <c r="BF490" i="1"/>
  <c r="BT490" i="1"/>
  <c r="BF491" i="1"/>
  <c r="BT491" i="1"/>
  <c r="BF492" i="1"/>
  <c r="BT492" i="1"/>
  <c r="BF493" i="1"/>
  <c r="BT493" i="1"/>
  <c r="BF494" i="1"/>
  <c r="BT494" i="1"/>
  <c r="BF495" i="1"/>
  <c r="BT495" i="1"/>
  <c r="BF496" i="1"/>
  <c r="BT496" i="1"/>
  <c r="BF497" i="1"/>
  <c r="BT497" i="1"/>
  <c r="BF498" i="1"/>
  <c r="BT498" i="1"/>
  <c r="BF499" i="1"/>
  <c r="BT499" i="1"/>
  <c r="BF500" i="1"/>
  <c r="BT500" i="1"/>
  <c r="BF501" i="1"/>
  <c r="BT501" i="1"/>
  <c r="BF502" i="1"/>
  <c r="BT502" i="1"/>
  <c r="BF503" i="1"/>
  <c r="BT503" i="1"/>
  <c r="BF504" i="1"/>
  <c r="BT504" i="1"/>
  <c r="BF505" i="1"/>
  <c r="BT505" i="1"/>
  <c r="BF506" i="1"/>
  <c r="BT506" i="1"/>
  <c r="BF507" i="1"/>
  <c r="BT507" i="1"/>
  <c r="BF508" i="1"/>
  <c r="BT508" i="1"/>
  <c r="BF509" i="1"/>
  <c r="BT509" i="1"/>
  <c r="BF510" i="1"/>
  <c r="BT510" i="1"/>
  <c r="BF511" i="1"/>
  <c r="BT511" i="1"/>
  <c r="BF512" i="1"/>
  <c r="BT512" i="1"/>
  <c r="BT513" i="1"/>
  <c r="BF514" i="1"/>
  <c r="BT514" i="1"/>
  <c r="BF515" i="1"/>
  <c r="BT515" i="1"/>
  <c r="BF516" i="1"/>
  <c r="BT516" i="1"/>
  <c r="BF517" i="1"/>
  <c r="BT517" i="1"/>
  <c r="BF518" i="1"/>
  <c r="BT518" i="1"/>
  <c r="BF519" i="1"/>
  <c r="BT519" i="1"/>
  <c r="BF520" i="1"/>
  <c r="BT520" i="1"/>
  <c r="BF521" i="1"/>
  <c r="BT521" i="1"/>
  <c r="BF522" i="1"/>
  <c r="BT522" i="1"/>
  <c r="BF523" i="1"/>
  <c r="BT523" i="1"/>
  <c r="BF524" i="1"/>
  <c r="BT524" i="1"/>
  <c r="BF525" i="1"/>
  <c r="BT525" i="1"/>
  <c r="BF526" i="1"/>
  <c r="BT526" i="1"/>
  <c r="BF527" i="1"/>
  <c r="BT527" i="1"/>
  <c r="BF528" i="1"/>
  <c r="BT528" i="1"/>
  <c r="BF529" i="1"/>
  <c r="BT529" i="1"/>
  <c r="BF530" i="1"/>
  <c r="BT530" i="1"/>
  <c r="BF531" i="1"/>
  <c r="BT531" i="1"/>
  <c r="BF532" i="1"/>
  <c r="BT532" i="1"/>
  <c r="BF533" i="1"/>
  <c r="BT533" i="1"/>
  <c r="BF534" i="1"/>
  <c r="BT534" i="1"/>
  <c r="BF535" i="1"/>
  <c r="BT535" i="1"/>
  <c r="BF536" i="1"/>
  <c r="BT536" i="1"/>
  <c r="BF537" i="1"/>
  <c r="BT537" i="1"/>
  <c r="BF538" i="1"/>
  <c r="BT538" i="1"/>
  <c r="BF539" i="1"/>
  <c r="BT539" i="1"/>
  <c r="BF540" i="1"/>
  <c r="BT540" i="1"/>
  <c r="BF541" i="1"/>
  <c r="BT541" i="1"/>
  <c r="BF542" i="1"/>
  <c r="BT542" i="1"/>
  <c r="BF543" i="1"/>
  <c r="BT543" i="1"/>
  <c r="BF544" i="1"/>
  <c r="BT544" i="1"/>
  <c r="BF545" i="1"/>
  <c r="BT545" i="1"/>
  <c r="BF546" i="1"/>
  <c r="BT546" i="1"/>
  <c r="BF547" i="1"/>
  <c r="BT547" i="1"/>
  <c r="BF548" i="1"/>
  <c r="BT548" i="1"/>
  <c r="BF549" i="1"/>
  <c r="BT549" i="1"/>
  <c r="BF550" i="1"/>
  <c r="BT550" i="1"/>
  <c r="BF551" i="1"/>
  <c r="BT551" i="1"/>
  <c r="BF552" i="1"/>
  <c r="BT552" i="1"/>
  <c r="BF553" i="1"/>
  <c r="BT553" i="1"/>
  <c r="BF554" i="1"/>
  <c r="BT554" i="1"/>
  <c r="BF555" i="1"/>
  <c r="BT555" i="1"/>
  <c r="BF556" i="1"/>
  <c r="BT556" i="1"/>
  <c r="BF557" i="1"/>
  <c r="BT557" i="1"/>
  <c r="BF558" i="1"/>
  <c r="BT558" i="1"/>
  <c r="BF559" i="1"/>
  <c r="BT559" i="1"/>
  <c r="BF560" i="1"/>
  <c r="BT560" i="1"/>
  <c r="BF561" i="1"/>
  <c r="BT561" i="1"/>
  <c r="BF562" i="1"/>
  <c r="BT562" i="1"/>
  <c r="BF563" i="1"/>
  <c r="BT563" i="1"/>
  <c r="BF564" i="1"/>
  <c r="BT564" i="1"/>
  <c r="BF565" i="1"/>
  <c r="BT565" i="1"/>
  <c r="BF566" i="1"/>
  <c r="BT566" i="1"/>
  <c r="BF567" i="1"/>
  <c r="BT567" i="1"/>
  <c r="BF568" i="1"/>
  <c r="BT568" i="1"/>
  <c r="BF569" i="1"/>
  <c r="BT569" i="1"/>
  <c r="BF570" i="1"/>
  <c r="BT570" i="1"/>
  <c r="BF571" i="1"/>
  <c r="BT571" i="1"/>
  <c r="BF572" i="1"/>
  <c r="BT572" i="1"/>
  <c r="BF573" i="1"/>
  <c r="BT573" i="1"/>
  <c r="BF574" i="1"/>
  <c r="BT574" i="1"/>
  <c r="BF575" i="1"/>
  <c r="BT575" i="1"/>
  <c r="BF576" i="1"/>
  <c r="BT576" i="1"/>
  <c r="BF577" i="1"/>
  <c r="BT577" i="1"/>
  <c r="BF578" i="1"/>
  <c r="BT578" i="1"/>
  <c r="BF579" i="1"/>
  <c r="BT579" i="1"/>
  <c r="BF580" i="1"/>
  <c r="BT580" i="1"/>
  <c r="BF581" i="1"/>
  <c r="BT581" i="1"/>
  <c r="BF582" i="1"/>
  <c r="BT582" i="1"/>
  <c r="BF583" i="1"/>
  <c r="BT583" i="1"/>
  <c r="BF584" i="1"/>
  <c r="BT584" i="1"/>
  <c r="BF585" i="1"/>
  <c r="BT585" i="1"/>
  <c r="BF586" i="1"/>
  <c r="BT586" i="1"/>
  <c r="BF587" i="1"/>
  <c r="BT587" i="1"/>
  <c r="BF588" i="1"/>
  <c r="BT588" i="1"/>
  <c r="BF589" i="1"/>
  <c r="BT589" i="1"/>
  <c r="BF590" i="1"/>
  <c r="BT590" i="1"/>
  <c r="BF591" i="1"/>
  <c r="BT591" i="1"/>
  <c r="BF592" i="1"/>
  <c r="BT592" i="1"/>
  <c r="BF593" i="1"/>
  <c r="BT593" i="1"/>
  <c r="BF594" i="1"/>
  <c r="BT594" i="1"/>
  <c r="BF595" i="1"/>
  <c r="BT595" i="1"/>
  <c r="BF596" i="1"/>
  <c r="BT596" i="1"/>
  <c r="BF597" i="1"/>
  <c r="BT597" i="1"/>
  <c r="BF598" i="1"/>
  <c r="BT598" i="1"/>
  <c r="BF599" i="1"/>
  <c r="BT599" i="1"/>
  <c r="BF600" i="1"/>
  <c r="BT600" i="1"/>
  <c r="BF601" i="1"/>
  <c r="BT601" i="1"/>
  <c r="BF602" i="1"/>
  <c r="BT602" i="1"/>
  <c r="BF603" i="1"/>
  <c r="BT603" i="1"/>
  <c r="BF604" i="1"/>
  <c r="BT604" i="1"/>
  <c r="BF605" i="1"/>
  <c r="BT605" i="1"/>
  <c r="BF606" i="1"/>
  <c r="BT606" i="1"/>
  <c r="BF607" i="1"/>
  <c r="BT607" i="1"/>
  <c r="BF608" i="1"/>
  <c r="BT608" i="1"/>
  <c r="BF609" i="1"/>
  <c r="BT609" i="1"/>
  <c r="BF610" i="1"/>
  <c r="BT610" i="1"/>
  <c r="BF611" i="1"/>
  <c r="BT611" i="1"/>
  <c r="BF612" i="1"/>
  <c r="BT612" i="1"/>
  <c r="BF613" i="1"/>
  <c r="BT613" i="1"/>
  <c r="BF614" i="1"/>
  <c r="BT614" i="1"/>
  <c r="BF615" i="1"/>
  <c r="BT615" i="1"/>
  <c r="BF616" i="1"/>
  <c r="BT616" i="1"/>
  <c r="BF617" i="1"/>
  <c r="BT617" i="1"/>
  <c r="BF618" i="1"/>
  <c r="BT618" i="1"/>
  <c r="BF619" i="1"/>
  <c r="BT619" i="1"/>
  <c r="BF620" i="1"/>
  <c r="BT620" i="1"/>
  <c r="BF621" i="1"/>
  <c r="BT621" i="1"/>
  <c r="BF622" i="1"/>
  <c r="BT622" i="1"/>
  <c r="BF623" i="1"/>
  <c r="BT623" i="1"/>
  <c r="BF624" i="1"/>
  <c r="BT624" i="1"/>
  <c r="BF625" i="1"/>
  <c r="BT625" i="1"/>
  <c r="BF626" i="1"/>
  <c r="BT626" i="1"/>
  <c r="BF627" i="1"/>
  <c r="BT627" i="1"/>
  <c r="BF628" i="1"/>
  <c r="BT628" i="1"/>
  <c r="BF629" i="1"/>
  <c r="BT629" i="1"/>
  <c r="BF630" i="1"/>
  <c r="BT630" i="1"/>
  <c r="BF631" i="1"/>
  <c r="BT631" i="1"/>
  <c r="BF632" i="1"/>
  <c r="BT632" i="1"/>
  <c r="BF633" i="1"/>
  <c r="BT633" i="1"/>
  <c r="BF634" i="1"/>
  <c r="BT634" i="1"/>
  <c r="BF635" i="1"/>
  <c r="BT635" i="1"/>
  <c r="BF636" i="1"/>
  <c r="BT636" i="1"/>
  <c r="BF637" i="1"/>
  <c r="BT637" i="1"/>
  <c r="BF638" i="1"/>
  <c r="BT638" i="1"/>
  <c r="BF639" i="1"/>
  <c r="BT639" i="1"/>
  <c r="BF640" i="1"/>
  <c r="BT640" i="1"/>
  <c r="BF641" i="1"/>
  <c r="BT641" i="1"/>
  <c r="BF642" i="1"/>
  <c r="BT642" i="1"/>
  <c r="BF643" i="1"/>
  <c r="BT643" i="1"/>
  <c r="BF644" i="1"/>
  <c r="BT644" i="1"/>
  <c r="BF645" i="1"/>
  <c r="BT645" i="1"/>
  <c r="BF646" i="1"/>
  <c r="BT646" i="1"/>
  <c r="BF647" i="1"/>
  <c r="BT647" i="1"/>
  <c r="BF648" i="1"/>
  <c r="BT648" i="1"/>
  <c r="BF649" i="1"/>
  <c r="BT649" i="1"/>
  <c r="BF650" i="1"/>
  <c r="BT650" i="1"/>
  <c r="BF651" i="1"/>
  <c r="BT651" i="1"/>
  <c r="BF652" i="1"/>
  <c r="BT652" i="1"/>
  <c r="BF653" i="1"/>
  <c r="BT653" i="1"/>
  <c r="BF654" i="1"/>
  <c r="BT654" i="1"/>
  <c r="BF655" i="1"/>
  <c r="BT655" i="1"/>
  <c r="BF656" i="1"/>
  <c r="BT656" i="1"/>
  <c r="BF657" i="1"/>
  <c r="BT657" i="1"/>
  <c r="BF658" i="1"/>
  <c r="BT658" i="1"/>
  <c r="BF659" i="1"/>
  <c r="BT659" i="1"/>
  <c r="BF660" i="1"/>
  <c r="BT660" i="1"/>
  <c r="BF661" i="1"/>
  <c r="BT661" i="1"/>
  <c r="BF662" i="1"/>
  <c r="BT662" i="1"/>
  <c r="BF663" i="1"/>
  <c r="BT663" i="1"/>
  <c r="BF664" i="1"/>
  <c r="BT664" i="1"/>
  <c r="BF665" i="1"/>
  <c r="BT665" i="1"/>
  <c r="BF666" i="1"/>
  <c r="BT666" i="1"/>
  <c r="BF667" i="1"/>
  <c r="BT667" i="1"/>
  <c r="BF668" i="1"/>
  <c r="BT668" i="1"/>
  <c r="BF669" i="1"/>
  <c r="BT669" i="1"/>
  <c r="BF670" i="1"/>
  <c r="BT670" i="1"/>
  <c r="BF671" i="1"/>
  <c r="BT671" i="1"/>
  <c r="BF672" i="1"/>
  <c r="BT672" i="1"/>
  <c r="BF673" i="1"/>
  <c r="BT673" i="1"/>
  <c r="BF674" i="1"/>
  <c r="BT674" i="1"/>
  <c r="BF675" i="1"/>
  <c r="BT675" i="1"/>
  <c r="BF676" i="1"/>
  <c r="BT676" i="1"/>
  <c r="BF677" i="1"/>
  <c r="BT677" i="1"/>
  <c r="BF678" i="1"/>
  <c r="BT678" i="1"/>
  <c r="BF679" i="1"/>
  <c r="BT679" i="1"/>
  <c r="BF680" i="1"/>
  <c r="BT680" i="1"/>
  <c r="BF681" i="1"/>
  <c r="BT681" i="1"/>
  <c r="BF682" i="1"/>
  <c r="BT682" i="1"/>
  <c r="BF683" i="1"/>
  <c r="BT683" i="1"/>
  <c r="BF684" i="1"/>
  <c r="BT684" i="1"/>
  <c r="BF685" i="1"/>
  <c r="BT685" i="1"/>
  <c r="BF686" i="1"/>
  <c r="BT686" i="1"/>
  <c r="BF687" i="1"/>
  <c r="BT687" i="1"/>
  <c r="BF688" i="1"/>
  <c r="BT688" i="1"/>
  <c r="BF689" i="1"/>
  <c r="BT689" i="1"/>
  <c r="BT690" i="1"/>
  <c r="BF691" i="1"/>
  <c r="BT691" i="1"/>
  <c r="BF692" i="1"/>
  <c r="BT692" i="1"/>
  <c r="BF693" i="1"/>
  <c r="BT693" i="1"/>
  <c r="BF694" i="1"/>
  <c r="BT694" i="1"/>
  <c r="BF695" i="1"/>
  <c r="BT695" i="1"/>
  <c r="BF696" i="1"/>
  <c r="BT696" i="1"/>
  <c r="BF697" i="1"/>
  <c r="BT697" i="1"/>
  <c r="BF698" i="1"/>
  <c r="BT698" i="1"/>
  <c r="BF699" i="1"/>
  <c r="BT699" i="1"/>
  <c r="BF700" i="1"/>
  <c r="BT700" i="1"/>
  <c r="BF701" i="1"/>
  <c r="BT701" i="1"/>
  <c r="BF702" i="1"/>
  <c r="BT702" i="1"/>
  <c r="BF703" i="1"/>
  <c r="BT703" i="1"/>
  <c r="BF704" i="1"/>
  <c r="BT704" i="1"/>
  <c r="BF705" i="1"/>
  <c r="BT705" i="1"/>
  <c r="BF706" i="1"/>
  <c r="BT706" i="1"/>
  <c r="BF707" i="1"/>
  <c r="BT707" i="1"/>
  <c r="BF708" i="1"/>
  <c r="BT708" i="1"/>
  <c r="BF709" i="1"/>
  <c r="BT709" i="1"/>
  <c r="BF710" i="1"/>
  <c r="BT710" i="1"/>
  <c r="BF711" i="1"/>
  <c r="BT711" i="1"/>
  <c r="BF712" i="1"/>
  <c r="BT712" i="1"/>
  <c r="BF713" i="1"/>
  <c r="BT713" i="1"/>
  <c r="BF714" i="1"/>
  <c r="BT714" i="1"/>
  <c r="BF715" i="1"/>
  <c r="BT715" i="1"/>
  <c r="BF716" i="1"/>
  <c r="BT716" i="1"/>
  <c r="BF717" i="1"/>
  <c r="BT717" i="1"/>
  <c r="BF718" i="1"/>
  <c r="BT718" i="1"/>
  <c r="BF719" i="1"/>
  <c r="BT719" i="1"/>
  <c r="BF720" i="1"/>
  <c r="BT720" i="1"/>
  <c r="BF721" i="1"/>
  <c r="BT721" i="1"/>
  <c r="BF722" i="1"/>
  <c r="BT722" i="1"/>
  <c r="BF723" i="1"/>
  <c r="BT723" i="1"/>
  <c r="BF724" i="1"/>
  <c r="BT724" i="1"/>
  <c r="BF725" i="1"/>
  <c r="BT725" i="1"/>
  <c r="BF726" i="1"/>
  <c r="BT726" i="1"/>
  <c r="BF727" i="1"/>
  <c r="BT727" i="1"/>
  <c r="BF728" i="1"/>
  <c r="BT728" i="1"/>
  <c r="BF729" i="1"/>
  <c r="BT729" i="1"/>
  <c r="BF730" i="1"/>
  <c r="BT730" i="1"/>
  <c r="BF731" i="1"/>
  <c r="BT731" i="1"/>
  <c r="BF732" i="1"/>
  <c r="BT732" i="1"/>
  <c r="BF733" i="1"/>
  <c r="BT733" i="1"/>
  <c r="BF734" i="1"/>
  <c r="BT734" i="1"/>
  <c r="BF735" i="1"/>
  <c r="BT735" i="1"/>
  <c r="BF736" i="1"/>
  <c r="BT736" i="1"/>
  <c r="BF737" i="1"/>
  <c r="BT737" i="1"/>
  <c r="BF738" i="1"/>
  <c r="BT738" i="1"/>
  <c r="BF739" i="1"/>
  <c r="BT739" i="1"/>
  <c r="BF740" i="1"/>
  <c r="BT740" i="1"/>
  <c r="BF741" i="1"/>
  <c r="BT741" i="1"/>
  <c r="BF742" i="1"/>
  <c r="BT742" i="1"/>
  <c r="BF743" i="1"/>
  <c r="BT743" i="1"/>
  <c r="BF744" i="1"/>
  <c r="BT744" i="1"/>
  <c r="BF745" i="1"/>
  <c r="BT745" i="1"/>
  <c r="BF746" i="1"/>
  <c r="BT746" i="1"/>
  <c r="BF747" i="1"/>
  <c r="BT747" i="1"/>
  <c r="BF748" i="1"/>
  <c r="BT748" i="1"/>
  <c r="BF749" i="1"/>
  <c r="BT749" i="1"/>
  <c r="BF750" i="1"/>
  <c r="BT750" i="1"/>
  <c r="BF751" i="1"/>
  <c r="BT751" i="1"/>
  <c r="BF752" i="1"/>
  <c r="BT752" i="1"/>
  <c r="BF753" i="1"/>
  <c r="BT753" i="1"/>
  <c r="BF754" i="1"/>
  <c r="BT754" i="1"/>
  <c r="BF755" i="1"/>
  <c r="BT755" i="1"/>
  <c r="BF756" i="1"/>
  <c r="BT756" i="1"/>
  <c r="BF757" i="1"/>
  <c r="BT757" i="1"/>
  <c r="BF758" i="1"/>
  <c r="BT758" i="1"/>
  <c r="BF759" i="1"/>
  <c r="BT759" i="1"/>
  <c r="BF760" i="1"/>
  <c r="BT760" i="1"/>
  <c r="BF761" i="1"/>
  <c r="BT761" i="1"/>
  <c r="BF762" i="1"/>
  <c r="BT762" i="1"/>
  <c r="BF763" i="1"/>
  <c r="BT763" i="1"/>
  <c r="BF764" i="1"/>
  <c r="BT764" i="1"/>
  <c r="BF765" i="1"/>
  <c r="BT765" i="1"/>
  <c r="BF766" i="1"/>
  <c r="BT766" i="1"/>
  <c r="BF767" i="1"/>
  <c r="BT767" i="1"/>
  <c r="BF768" i="1"/>
  <c r="BT768" i="1"/>
  <c r="BF769" i="1"/>
  <c r="BT769" i="1"/>
  <c r="BF770" i="1"/>
  <c r="BT770" i="1"/>
  <c r="BF771" i="1"/>
  <c r="BT771" i="1"/>
  <c r="BF772" i="1"/>
  <c r="BT772" i="1"/>
  <c r="BF773" i="1"/>
  <c r="BT773" i="1"/>
  <c r="BF774" i="1"/>
  <c r="BT774" i="1"/>
  <c r="BF775" i="1"/>
  <c r="BT775" i="1"/>
  <c r="BF776" i="1"/>
  <c r="BT776" i="1"/>
</calcChain>
</file>

<file path=xl/sharedStrings.xml><?xml version="1.0" encoding="utf-8"?>
<sst xmlns="http://schemas.openxmlformats.org/spreadsheetml/2006/main" count="46726" uniqueCount="12588">
  <si>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</si>
  <si>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</si>
  <si>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</si>
  <si>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</si>
  <si>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</si>
  <si>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</si>
  <si>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</si>
  <si>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</si>
  <si>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</si>
  <si>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</si>
  <si>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</si>
  <si>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</si>
  <si>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</si>
  <si>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</si>
  <si>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</si>
  <si>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</si>
  <si>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</si>
  <si>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</si>
  <si>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</si>
  <si>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</si>
  <si>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</si>
  <si>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</si>
  <si>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</si>
  <si>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</si>
  <si>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</si>
  <si>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</si>
  <si>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</si>
  <si>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</si>
  <si>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</si>
  <si>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</si>
  <si>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</si>
  <si>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</si>
  <si>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</si>
  <si>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</si>
  <si>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</si>
  <si>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</si>
  <si>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</si>
  <si>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</si>
  <si>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</si>
  <si>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</si>
  <si>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</si>
  <si>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</si>
  <si>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</si>
  <si>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</si>
  <si>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</si>
  <si>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</si>
  <si>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</si>
  <si>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</si>
  <si>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</si>
  <si>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</si>
  <si>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</si>
  <si>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</si>
  <si>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</si>
  <si>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</si>
  <si>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</si>
  <si>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</si>
  <si>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</si>
  <si>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</si>
  <si>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</si>
  <si>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</si>
  <si>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</si>
  <si>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</si>
  <si>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</si>
  <si>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</si>
  <si>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</si>
  <si>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</si>
  <si>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</si>
  <si>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</si>
  <si>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</si>
  <si>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</si>
  <si>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</si>
  <si>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</si>
  <si>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</si>
  <si>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da Silva, RF; de Souza, GFM</t>
  </si>
  <si>
    <t/>
  </si>
  <si>
    <t>da Silva, Renan Favarao; Martha de Souza, Gilberto Francisco</t>
  </si>
  <si>
    <t>Modeling a maintenance management framework for asset management based on ISO 55000 series guidelines</t>
  </si>
  <si>
    <t>JOURNAL OF QUALITY IN MAINTENANCE ENGINEERING</t>
  </si>
  <si>
    <t>English</t>
  </si>
  <si>
    <t>Article</t>
  </si>
  <si>
    <t>Asset management; ISO 55000; ISO 55001; Maintenance management; Maintenance; Framework; BPMN</t>
  </si>
  <si>
    <t>RISK-BASED MAINTENANCE; PAS 55; STANDARDS</t>
  </si>
  <si>
    <t>Purpose Maintenance management is perceived as fundamental for ensuring that physical assets contribute to business outcomes. In this context, the purpose of this paper is to elaborate a novel maintenance management framework for asset management (MMFAM) based on ISO 55000 series guidelines. Design/methodology/approach The paper proposes an MMFAM that intends to translate the technical requirements set out in the ISO 550001 standard to the maintenance stage of asset management. First, the framework is modeled using consideration based on the analysis of the ISO 55000 series and the review of previous maintenance management frameworks. Then, support tools are presented that collaborate for the implementation of the processes and activities provided for in the MMFAM. Findings The proposed MMFAM was modeled using a Business Process Model and Notation since it is a standardized graphical notation for process modeling and contributes to the understanding of the framework. In addition, the applicable tools were presented for the practical implementation of MMFAM processes and activities. Practical implications The paper is expected to contribute to maintenance practitioners and researchers in understanding and disseminating a novel maintenance management framework that is in line with asset management through the international ISO 55000 series. Originality/value As it is essentially multidisciplinary and complex, asset management has still been little explored. Moreover, the requirements for implementing an asset management system, as explained in the ISO 55001 standard, only provide what needs to be done, but not how to do it. Accordingly, the paper fills a gap in maintenance management literature, as it addresses the ISO 55000 series for asset management in depth.</t>
  </si>
  <si>
    <t>[da Silva, Renan Favarao; Martha de Souza, Gilberto Francisco] Univ Sao Paulo, Polytech Sch, Dept Mechatron &amp; Mech Syst, Sao Paulo, Brazil</t>
  </si>
  <si>
    <t>Universidade de Sao Paulo</t>
  </si>
  <si>
    <t>da Silva, RF (corresponding author), Univ Sao Paulo, Polytech Sch, Dept Mechatron &amp; Mech Syst, Sao Paulo, Brazil.</t>
  </si>
  <si>
    <t>renanfavarao@usp.br</t>
  </si>
  <si>
    <t>de Souza, Gilberto/P-1299-2018; da Silva, Renan/JFS-3797-2023</t>
  </si>
  <si>
    <t>FDTE (Fundacao para o Desenvolvimento Tecnologico da Engenharia); EDP Brasil</t>
  </si>
  <si>
    <t>The authors thank the financial support provided by FDTE (FundacAo para o Desenvolvimento Tecnologico da Engenharia) and EDP Brasil for the development of the present research.</t>
  </si>
  <si>
    <t>EMERALD GROUP PUBLISHING LTD</t>
  </si>
  <si>
    <t>Leeds</t>
  </si>
  <si>
    <t>Floor 5, Northspring 21-23 Wellington Street, Leeds, W YORKSHIRE, ENGLAND</t>
  </si>
  <si>
    <t>1355-2511</t>
  </si>
  <si>
    <t>1758-7832</t>
  </si>
  <si>
    <t>J QUAL MAINT ENG</t>
  </si>
  <si>
    <t>J. Qual. Maint. Eng.</t>
  </si>
  <si>
    <t>OCT 11</t>
  </si>
  <si>
    <t>10.1108/JQME-08-2020-0082</t>
  </si>
  <si>
    <t>OCT 2021</t>
  </si>
  <si>
    <t>Engineering, Industrial</t>
  </si>
  <si>
    <t>Emerging Sources Citation Index (ESCI)</t>
  </si>
  <si>
    <t>Engineering</t>
  </si>
  <si>
    <t>5D5LY</t>
  </si>
  <si>
    <t>2025-03-28</t>
  </si>
  <si>
    <t>WOS:000708084600001</t>
  </si>
  <si>
    <t>Manenzhe, MT; Telukdarie, A; Munsamy, M</t>
  </si>
  <si>
    <t>Manenzhe, Mpho Trinity; Telukdarie, Arnesh; Munsamy, Megashnee</t>
  </si>
  <si>
    <t>Maintenance work management process model: incorporating system dynamics and 4IR technologies</t>
  </si>
  <si>
    <t>System dynamics; Process model; Predictive maintenance; Maintenance work management; 4IR technologies</t>
  </si>
  <si>
    <t>SENSITIVITY ANALYSIS; OPTIMIZATION; OPERATIONS; SIMULATION</t>
  </si>
  <si>
    <t>PurposeThe purpose of this paper is to propose a system dynamic simulated process model for maintenance work management incorporating the Fourth Industrial Revolution (4IR) technologies.Design/methodology/approachThe extant literature in physical assets maintenance depicts that poor maintenance management is predominantly because of a lack of a clearly defined maintenance work management process model, resulting in poor management of maintenance work. This paper solves this complex phenomenon using a combination of conceptual process modeling and system dynamics simulation incorporating 4IR technologies. A process for maintenance work management and its control actions on scheduled maintenance tasks versus unscheduled maintenance tasks is modeled, replicating real-world scenarios with a digital lens (4IR technologies) for predictive maintenance strategy.FindingsA process for maintenance work management is thus modeled and simulated as a dynamic system. Post-model validation, this study reveals that the real-world maintenance work management process can be replicated using system dynamics modeling. The impact analysis of 4IR technologies on maintenance work management systems reveals that the implementation of 4IR technologies intensifies asset performance with an overall gain of 27.46%, yielding the best maintenance index. This study further reveals that the benefits of 4IR technologies positively impact equipment defect predictability before failure, thereby yielding a predictive maintenance strategy.Research limitations/implicationsThe study focused on maintenance work management system without the consideration of other subsystems such as cost of maintenance, production dynamics, and supply chain management.Practical implicationsThe maintenance real-world quantitative data is retrieved from two maintenance departments from company A, for a period of 24 months, representing years 2017 and 2018. The maintenance quantitative data retrieved represent six various types of equipment used at underground Mines. The maintenance management qualitative data (Organizational documents) in maintenance management are retrieved from company A and company B. Company A is a global mining industry, and company B is a global manufacturing industry. The reliability of the data used in the model validation have practical implications on how maintenance work management system behaves with the benefit of 4IR technologies' implementation.Social implicationsThis research study yields an overall benefit in asset management, thereby intensifying asset performance. The expected learnings are intended to benefit future research in the physical asset management field of study and most important to the industry practitioners in physical asset management.Originality/valueThis paper provides for a model in which maintenance work and its dynamics is systematically managed. Uncontrollable corrective maintenance work increases the complexity of the overall maintenance work management. The use of a system dynamic model and simulation incorporating 4IR technologies adds value on the maintenance work management effectiveness.</t>
  </si>
  <si>
    <t>[Manenzhe, Mpho Trinity] Univ Johannesburg, Postgrad Sch Engn Management, Auckland Pk, South Africa; [Telukdarie, Arnesh; Munsamy, Megashnee] Univ Johannesburg, Johannesburg Business Sch, Auckland Pk, South Africa</t>
  </si>
  <si>
    <t>University of Johannesburg; University of Johannesburg</t>
  </si>
  <si>
    <t>Manenzhe, MT (corresponding author), Univ Johannesburg, Postgrad Sch Engn Management, Auckland Pk, South Africa.</t>
  </si>
  <si>
    <t>mtmtman1@gmail.com; arnesh.telukdarie@jbs.ac.za; mmunsamy@uj.ac.za</t>
  </si>
  <si>
    <t>Munsamyy, Megashnee/JAC-2170-2023</t>
  </si>
  <si>
    <t>Telukdarie, A/0000-0003-0057-3493; Manenzhe, Mpho/0000-0002-8648-5250</t>
  </si>
  <si>
    <t>BINGLEY</t>
  </si>
  <si>
    <t>HOWARD HOUSE, WAGON LANE, BINGLEY BD16 1WA, W YORKSHIRE, ENGLAND</t>
  </si>
  <si>
    <t>MAY 26</t>
  </si>
  <si>
    <t>10.1108/JQME-10-2022-0063</t>
  </si>
  <si>
    <t>H5WC9</t>
  </si>
  <si>
    <t>hybrid</t>
  </si>
  <si>
    <t>WOS:000996655000001</t>
  </si>
  <si>
    <t>del Castillo, AC; Marcos, JA; Parlikad, AK</t>
  </si>
  <si>
    <t>del Castillo, Adolfo Crespo; Marcos, Jose Antonio; Parlikad, Ajith Kumar</t>
  </si>
  <si>
    <t>Dynamic fleet maintenance management model applied to rolling stock</t>
  </si>
  <si>
    <t>RELIABILITY ENGINEERING &amp; SYSTEM SAFETY</t>
  </si>
  <si>
    <t>Dynamic fleet maintenance; Fleet management; Predictive maintenance; Dynamic maintenance scheduling; Maintenance decision making; Digital asset management; Asset management</t>
  </si>
  <si>
    <t>FRAMEWORK</t>
  </si>
  <si>
    <t>This paper presents a model for optimising fleet maintenance management with a particular application to train rolling stock fleets. The proposed model produces a joint schedule for train operations and opportunistic predictive maintenance activities with an aim to maximise operational useful life. The model opportunistically allocates predictive maintenance interventions to existing preventive maintenance schedule considering the estimated remaining useful life (RUL) of critical components whilst ensuring fleet availability to meet operational demands as well as resource and time constraints at the maintenance depots. The proposed methodology is described in three phases: (i) definition of the operating context and maintenance resources; (ii) evaluation of feasible opportunistic maintenance timeslots; (iii) optimal maintenance and operations scheduling. The optimisation model, developed as a Mixed Integer Linear Programming problem, is applied to a real industrial case study on a fleet of high-speed trains in Spain. The results show significant improvement in the utilisation of operational life of components compared to the current policies used by the company. Although the model was developed with particular consideration to the train fleets, it can be adapted for other sectors such as bus fleets and airlines with similar operational constraints.</t>
  </si>
  <si>
    <t>[del Castillo, Adolfo Crespo; Parlikad, Ajith Kumar] Univ Cambridge, Inst Mfg, Dept Engn, 17 Charles Babbage Rd, Cambridge CB3 0FS, England; [Marcos, Jose Antonio] Patentes Talgo SA, Smart Maintenance Engn &amp; New Projects, Calle Las Norias 92, Madrid 28221, Spain</t>
  </si>
  <si>
    <t>University of Cambridge</t>
  </si>
  <si>
    <t>del Castillo, AC (corresponding author), Univ Cambridge, Inst Mfg, Dept Engn, 17 Charles Babbage Rd, Cambridge CB3 0FS, England.</t>
  </si>
  <si>
    <t>ac2383@cam.ac.uk</t>
  </si>
  <si>
    <t>Parlikad, Ajith Kumar/A-5269-2010</t>
  </si>
  <si>
    <t>Parlikad, Ajith Kumar/0000-0001-6214-1739; Crespo del Castillo, Adolfo/0000-0002-1151-3253</t>
  </si>
  <si>
    <t>ELSEVIER SCI LTD</t>
  </si>
  <si>
    <t>London</t>
  </si>
  <si>
    <t>125 London Wall, London, ENGLAND</t>
  </si>
  <si>
    <t>0951-8320</t>
  </si>
  <si>
    <t>1879-0836</t>
  </si>
  <si>
    <t>RELIAB ENG SYST SAFE</t>
  </si>
  <si>
    <t>Reliab. Eng. Syst. Saf.</t>
  </si>
  <si>
    <t>DEC</t>
  </si>
  <si>
    <t>10.1016/j.ress.2023.109607</t>
  </si>
  <si>
    <t>SEP 2023</t>
  </si>
  <si>
    <t>Engineering, Industrial; Operations Research &amp; Management Science</t>
  </si>
  <si>
    <t>Science Citation Index Expanded (SCI-EXPANDED)</t>
  </si>
  <si>
    <t>Engineering; Operations Research &amp; Management Science</t>
  </si>
  <si>
    <t>W4MQ7</t>
  </si>
  <si>
    <t>Green Submitted, hybrid</t>
  </si>
  <si>
    <t>WOS:001091385900001</t>
  </si>
  <si>
    <t>Ogunbayo, BF; Aigbavboa, CO; Thwala, WD; Opeoluwa, OI; Edwards, D</t>
  </si>
  <si>
    <t>Ogunbayo, Babatunde Fatai; Aigbavboa, Clinton Ohis; Thwala, Wellington Didibhuku; Opeoluwa, Opeoluwa Israel; Edwards, David</t>
  </si>
  <si>
    <t>Validating elements of organisational maintenance policy for maintenance management of public buildings in Nigeria</t>
  </si>
  <si>
    <t>Built environment; Maintenance management; Nigeria; Organisational policy; Public buildings</t>
  </si>
  <si>
    <t>DELPHI METHOD; OPTIMIZATION; STRATEGIES</t>
  </si>
  <si>
    <t>Purpose Maintenance policy is an element of building maintenance management that deals with organisation policy, planning and procedures, and delineates how maintenance units in an organisation will manage specific building components, auxiliary facilities and services. Given this contextual setting, this study investigates whether organisational maintenance policies (OMPs) utilised in developed countries are relevant in developing countries - using Nigeria as a case study exemplar. Design/methodology/approach An empirical research design (using deductive reasoning) was implemented for this research. Specifically, a Delphi study conducted revealed 23 elements that impact OMP development in Nigeria. Findings Of these twenty elements, six had a very high impact on maintenance management (VHI: 9.00-10.00), nine variables had a high impact (HI: 7.00-8.99) and eight other variables scored a medium impact (MI: 5.00-6.99). Emergent findings reveal that the elements of organisational maintenance policy that engender effective building maintenance management include preparation of safety procedure, optimisation of the maintenance policy, optimisation of the maintenance action plan, well-defined priority system, risk factor establishment, suitable maintenance procedures and a clearly delineated process. Practical implications The study findings will guide policymakers in identifying the main elements required in maintenance policies development towards making national public asset preservation and economic gains. Also, the content of the future educational curriculum on maintenance management study will be more receptive to the body of knowledge and the built environment industry. Originality/value Cumulatively, the research presented illustrates that these elements replicate those adopted in other countries and that effective maintenance management of public buildings is assured when these elements are integral to the development of an OMP.</t>
  </si>
  <si>
    <t>[Ogunbayo, Babatunde Fatai; Aigbavboa, Clinton Ohis; Opeoluwa, Opeoluwa Israel] Univ Johannesburg, Fac Engn &amp; Built Environm, Cidb Ctr Excellence &amp; Sustainable Human Settlemen, Res Ctr, Johannesburg, South Africa; [Thwala, Wellington Didibhuku] Univ South Africa UNISA, Coll Sci Engn &amp; Technol, Dept Civil Engn, Pretoria, South Africa; [Edwards, David] Birmingham City Univ, Sch Engn &amp; Built Environm, Birmingham, W Midlands, England</t>
  </si>
  <si>
    <t>University of Johannesburg; University of South Africa; Birmingham City University</t>
  </si>
  <si>
    <t>Ogunbayo, BF (corresponding author), Univ Johannesburg, Fac Engn &amp; Built Environm, Cidb Ctr Excellence &amp; Sustainable Human Settlemen, Res Ctr, Johannesburg, South Africa.</t>
  </si>
  <si>
    <t>tundeogunbayo7g@gmail.com</t>
  </si>
  <si>
    <t>AKINRADEWO, OPEOLUWA/Q-7974-2018; Aigbavboa, Clinton/AAS-6493-2020; Thwala, Research Professor Wellington Didibhuku/AAE-8951-2022</t>
  </si>
  <si>
    <t>AKINRADEWO, OPEOLUWA/0000-0002-4462-0960; Aigbavboa, Clinton/0000-0003-2866-3706; Edwards, David/0000-0001-9727-6000; Thwala, Research Professor Wellington Didibhuku/0000-0002-8848-7823; babatunde fatai, ogunbayo/0000-0002-4334-9136</t>
  </si>
  <si>
    <t>JUN 21</t>
  </si>
  <si>
    <t>10.1108/JQME-05-2021-0039</t>
  </si>
  <si>
    <t>JUN 2022</t>
  </si>
  <si>
    <t>D5MP6</t>
  </si>
  <si>
    <t>WOS:000813843900001</t>
  </si>
  <si>
    <t>da Silva, Renan Favarao; de Souza, Gilberto Francisco Martha</t>
  </si>
  <si>
    <t>Discussing the applicability of the maintenance management framework for asset management (MMFAM): a hydroelectric power plant case study</t>
  </si>
  <si>
    <t>Maintenance management; MMFAM; Asset management; ISO 55000; ISO 55001; Maintenance; Framework</t>
  </si>
  <si>
    <t>MULTICRITERIA DECISION-MAKING; IDENTIFICATION</t>
  </si>
  <si>
    <t>PurposeThe Maintenance Management Framework for Asset Management (MMFAM) is a recently modeled framework to ensure the alignment of maintenance management with physical asset management based on the ISO 55000 series for asset management. In this context, the purpose of this paper is to discuss the applicability of the MMFAM considering the operational context of a hydroelectric power plant.Design/methodology/approachThe paper adopted the case study method for the discussion of the applicability of the MMFAM to a real operational context. A hydroelectric power plant was chosen as the scope of the case study due to its relevance since the electricity sector is an example of an asset-intensive industry in which asset management performance is fundamental. To gain a detailed understanding of the organization, data were collected through direct requests to the plant, informal meetings with technical collaborators, a technical visit to the hydroelectric plant and on-site data collection. Then, the MMFAM processes were demonstrated based on this information and the results supported the discussion of the MMFAM applicability.FindingsThe case study provided a deeper understanding of the processes included in the MMFAM. In addition, the results suggested the applicability of the framework to other organizations besides the hydroelectric sector due to its generic approach and the possibility of choosing appropriate tools to support and implement the MMFAM processes.Practical implicationsThe case study is expected to contribute to the practical understanding of the MMFAM processes within an operational context and assist maintenance professionals and researchers in their implementation in other organizations.Originality/valueAlthough the literature provides different maintenance management frameworks, their practical discussion based on a real operational context is still a gap. Accordingly, this paper discusses the MMFAM under a case study method to expand its understanding beyond theory and contribute to practical comprehension in depth.</t>
  </si>
  <si>
    <t>[da Silva, Renan Favarao; de Souza, Gilberto Francisco Martha] Univ Sao Paulo, Polytech Sch, Dept Mechatron &amp; Mech Syst Engn, Sao Paulo, Brazil</t>
  </si>
  <si>
    <t>da Silva, RF (corresponding author), Univ Sao Paulo, Polytech Sch, Dept Mechatron &amp; Mech Syst Engn, Sao Paulo, Brazil.</t>
  </si>
  <si>
    <t>da Silva, Renan/JFS-3797-2023; de Souza, Gilberto/P-1299-2018</t>
  </si>
  <si>
    <t>FDTE (Fundacao para o Desenvolvimento Tecnologico da Engenharia)</t>
  </si>
  <si>
    <t>The authors gratefully acknowledge the financial support provided by FDTE (Fundacao para o Desenvolvimento Tecnologico da Engenharia) for the development of the present research.</t>
  </si>
  <si>
    <t>FEB 23</t>
  </si>
  <si>
    <t>10.1108/JQME-06-2022-0038</t>
  </si>
  <si>
    <t>II1X2</t>
  </si>
  <si>
    <t>WOS:001067315700001</t>
  </si>
  <si>
    <t>Tortora, AMR; Pasquale, VD; Iannone, R</t>
  </si>
  <si>
    <t>Tortora, Alessia M. R.; Pasquale, Valentina D., I; Iannone, Raffaele</t>
  </si>
  <si>
    <t>A Strategic Roadmap to Improve the Maturity Level of Maintenance Information Management Systems</t>
  </si>
  <si>
    <t>MANAGEMENT AND PRODUCTION ENGINEERING REVIEW</t>
  </si>
  <si>
    <t>Industrial maintenance; Maintenance management information systems; MMIS; Small and Medium Enterprises; SME; Maintenance maturity models</t>
  </si>
  <si>
    <t>MODEL; SUSTAINABILITY; SMES</t>
  </si>
  <si>
    <t>Maintenance involves a large amount of data management. Although many tools, strategies, and systems, have been developed to organize the maintenance information resources, SMEs have not found the same benefits as large companies due to their inherent characteristics and, above all, the maturity level of the maintenance department. Maturity models are useful tools for assessing the maturity of maintenance information practices; however, existing models are not suitable for any type of business context, as they required companies to have a clear organizational structure and definite informative infrastructure. Moreover, they do not assist in identifying and defining actions to reach the highest level. This paper proposes a model for assessing and improving maintenance management information practices. It allows a clear measure of the maturity of the maintenance information management practices in industrial contexts and provides improvement actions identifying the information and data needed to enhance maintenance management information practices.</t>
  </si>
  <si>
    <t>[Tortora, Alessia M. R.; Pasquale, Valentina D., I; Iannone, Raffaele] Univ Salerno, Dept Ind Engn, Via Giovanni Paolo II 132, I-84084 Fisciano, SA, Italy</t>
  </si>
  <si>
    <t>University of Salerno</t>
  </si>
  <si>
    <t>Tortora, AMR (corresponding author), Univ Salerno, Dept Ind Engn, Via Giovanni Paolo II 132, I-84084 Fisciano, SA, Italy.</t>
  </si>
  <si>
    <t>altortora@unisa.it</t>
  </si>
  <si>
    <t>; Iannone, Raffaele/L-3758-2014</t>
  </si>
  <si>
    <t>Tortora, Alessia Maria Rosaria/0000-0001-7595-1132; Iannone, Raffaele/0000-0002-7937-7745</t>
  </si>
  <si>
    <t>POLSKA AKAD NAUK, POLISH ACAD SCIENCES</t>
  </si>
  <si>
    <t>WARSZAWA</t>
  </si>
  <si>
    <t>PL DEFILAD 1, WARSZAWA, 00-901, POLAND</t>
  </si>
  <si>
    <t>2080-8208</t>
  </si>
  <si>
    <t>2082-1344</t>
  </si>
  <si>
    <t>MANAG PROD ENG REV</t>
  </si>
  <si>
    <t>Manag. Prod. Eng. Rev.</t>
  </si>
  <si>
    <t>SEP</t>
  </si>
  <si>
    <t>10.24425/mper.2023.147193</t>
  </si>
  <si>
    <t>Y6ZX7</t>
  </si>
  <si>
    <t>gold</t>
  </si>
  <si>
    <t>WOS:001106735400009</t>
  </si>
  <si>
    <t>Hesla, E; Fowler, C; Huber, J</t>
  </si>
  <si>
    <t>Hesla, Erling; Fowler, Curtis; Huber, Jerry</t>
  </si>
  <si>
    <t>Maintenance Management in Multiple Plants: Examining Various Factors</t>
  </si>
  <si>
    <t>IEEE INDUSTRY APPLICATIONS MAGAZINE</t>
  </si>
  <si>
    <t>Production; Maintenance management; Companies; Safety; Standards; Personnel</t>
  </si>
  <si>
    <t>This article offers insights into practical considerations regarding implementing maintenance, operations, and safety (MOS) in multiple plants. It addresses challenges faced at the point of usage-on the factory floor. The maintenance manager must look at each plant as a unique entity, while recognizing that together they form a part of a corporation that requires a level of commonality. Maintenance requirements and corporate significance will vary, funding resources are not the same, and people are unique with changing skills and attitudes. The head office manager will use some form of matrix management to meet such demands. This article centers on an installation with a central administrative office (head office) and multiple outlying plants varying in size, staff, and budget, each with specific limitations and demands. The article recognizes that the sole purpose of the electrical system is to support operations of the factory, that management is fully committed to proper MOS practices requiring a level of consistency between outlying plants, and that a level of fairness between plants must be addressed.</t>
  </si>
  <si>
    <t>[Hesla, Erling] Hesla &amp; Associates, Edmonds, WA USA; [Fowler, Curtis] Zodiac Aerosp, Marysville, WA USA; [Huber, Jerry] OEG Inc, Seattle, WA USA</t>
  </si>
  <si>
    <t>Hesla, E (corresponding author), Hesla &amp; Associates, Edmonds, WA USA.</t>
  </si>
  <si>
    <t>e.hesla@ieee.org; curtis.fowler@zodiacaerospace.com; jerryhuber@live.com</t>
  </si>
  <si>
    <t>Hesla, Erling/0000-0002-4317-4292</t>
  </si>
  <si>
    <t>IEEE-INST ELECTRICAL ELECTRONICS ENGINEERS INC</t>
  </si>
  <si>
    <t>PISCATAWAY</t>
  </si>
  <si>
    <t>445 HOES LANE, PISCATAWAY, NJ 08855-4141 USA</t>
  </si>
  <si>
    <t>1077-2618</t>
  </si>
  <si>
    <t>1558-0598</t>
  </si>
  <si>
    <t>IEEE IND APPL MAG</t>
  </si>
  <si>
    <t>IEEE Ind. Appl. Mag.</t>
  </si>
  <si>
    <t>JUL-AUG</t>
  </si>
  <si>
    <t>10.1109/MIAS.2020.2981105</t>
  </si>
  <si>
    <t>Engineering, Industrial; Engineering, Electrical &amp; Electronic</t>
  </si>
  <si>
    <t>MB9YG</t>
  </si>
  <si>
    <t>WOS:000542953200014</t>
  </si>
  <si>
    <t>Fernández, PMG; López, AJG; Márquez, AC; Fernández, JFG; Marcos, JA</t>
  </si>
  <si>
    <t>Martinez-Galan Fernandez, Pablo; Guillen Lopez, Antonio J.; Crespo Marquez, Adolfo; Gomez Fernandez, Juan Fco; Antonio Marcos, Jose</t>
  </si>
  <si>
    <t>Dynamic Risk Assessment for CBM-based adaptation of maintenance planning</t>
  </si>
  <si>
    <t>DRA; CBM; Maintenance decision making; Maintenance planning; Risk -based maintenance; Risk levels</t>
  </si>
  <si>
    <t>CRITICALITY; MANAGEMENT</t>
  </si>
  <si>
    <t>This paper proposes a practical method for dynamic maintenance planning based on Dynamic Risk Assessment (DRA). This is founded on the interpretation, in terms of risk levels evolution, the available information of monitoring events and maintenance activities integrated in and that conform the condition-based maintenance (CBM) processes. DRA proposal is supported by ISO 31000 risk management framework in order to better understanding and results integration within other risk management approaches. Proposed method analyzes CBM results (monitoring events and maintenance activities) regarding their impact on failure risk level, and how to program and manage maintenance decision making (maintenance planning) regarding with dynamic risk evolution. This strategy not only helps maintenance management optimization but also facilitates the link of intelligent maintenance with global risk management within the organization, which is lined with modern Asset Management principles. To illustrate the method, an example of a real use case is presented where it is applied to the dynamic maintenance planning of a critical component in a high-speed train, and which integrates monitoring, predictive analytics and inspection data.</t>
  </si>
  <si>
    <t>[Martinez-Galan Fernandez, Pablo; Guillen Lopez, Antonio J.; Crespo Marquez, Adolfo; Gomez Fernandez, Juan Fco] Univ Seville, Dept Ind Management, Seville 41092, Spain; [Antonio Marcos, Jose] Patentes Talgo, Dept Smart Maintenance Engn &amp; New Projects, Majadahonda 28221, Spain</t>
  </si>
  <si>
    <t>University of Sevilla</t>
  </si>
  <si>
    <t>Fernández, PMG (corresponding author), Univ Seville, Dept Ind Management, Seville 41092, Spain.</t>
  </si>
  <si>
    <t>pmartinezgalan@us.es; ajguillen@us.es; adolfo@us.es; jfgomez@us.es; jamarcos@talgo.com</t>
  </si>
  <si>
    <t>Márquez, Adolfo/O-4907-2019; Gómez Fernández, Juan Francisco/L-5972-2014; Fernandez, Pablo/E-6362-2010</t>
  </si>
  <si>
    <t>projects Methodology for industrial application of intelligent maintenance solutions. Integration of Predictive Analytics and Machine Learning techniques in IoT platforms [CEI-19-TEP134]; INMA, Asset Digitalization for INtelligent MAintenace [PY20 RE 014 AICIA]</t>
  </si>
  <si>
    <t>projects Methodology for industrial application of intelligent maintenance solutions. Integration of Predictive Analytics and Machine Learning techniques in IoT platforms; INMA, Asset Digitalization for INtelligent MAintenace</t>
  </si>
  <si>
    <t>This paper has been written within the framework of the projects Methodology for industrial application of intelligent maintenance so-lutions. Integration of Predictive Analytics and Machine Learning techniques in IoT platforms (Grant CEI-19-TEP134) and INMA, Asset Digitalization for INtelligent MAintenace (Grant PY20 RE 014 AICIA) , and with the collaboration of Patentes Talgo and Ingeman, sharing data of an project to enhance Patentes Talgo CBM strategy and platform. All authors approved the version of the manuscript to be published.</t>
  </si>
  <si>
    <t>OXFORD</t>
  </si>
  <si>
    <t>THE BOULEVARD, LANGFORD LANE, KIDLINGTON, OXFORD OX5 1GB, OXON, ENGLAND</t>
  </si>
  <si>
    <t>JUL</t>
  </si>
  <si>
    <t>10.1016/j.ress.2022.108359</t>
  </si>
  <si>
    <t>APR 2022</t>
  </si>
  <si>
    <t>0Y5UR</t>
  </si>
  <si>
    <t>WOS:000790456600011</t>
  </si>
  <si>
    <t>Lopes, IS; Figueiredo, MC; Sá, V</t>
  </si>
  <si>
    <t>Lopes, I. S.; Figueiredo, M. C.; Sa, V.</t>
  </si>
  <si>
    <t>Criticality evaluation to support maintenance management of manufacturing systems</t>
  </si>
  <si>
    <t>INTERNATIONAL JOURNAL OF INDUSTRIAL ENGINEERING AND MANAGEMENT</t>
  </si>
  <si>
    <t>Criticality evaluation; Equipment classification; Equipment prioritization; Maintenance management; Performance ranking</t>
  </si>
  <si>
    <t>This paper focuses on criticality evaluation for supporting daily equipment maintenance management and the definition of medium and long-term maintenance actions to improve equipment. and, therefore, productivity. These two different purposes led to the development of two different methods for criticality evaluation, using criteria adjusted for each case. The first method is based on rules for defining priorities for corrective and preventive maintenance tasks. Since a failure mode of critical equipment is not necessarily critical, priorities for maintenance tasks are assigned to tasks rather than to equipment. The second method uses Analytic Hierarchy Process to prioritize equipment based on its performance. This method is based on the indicators commonly monitored by maintenance departments. In addition to assessing equipment performance, it considers the maintenance effort made to achieve the evaluated performance. The selection of the criticality criteria and the development of the methods was based on literature review and triggered by a case study in a multinational automotive company. With the integration of the proposed methods in a computerized maintenance management system, maintenance technicians and managers are able to know in real rime the tasks that should be performed first and to monitor the overall performance of equipment in the plant, focusing improvements where they are more required.</t>
  </si>
  <si>
    <t>[Lopes, I. S.; Figueiredo, M. C.; Sa, V.] Univ Minho, Dept Prod &amp; Syst, ALGORITMI Ctr, Campus Azurem, P-4800058 Guimaraes, Portugal</t>
  </si>
  <si>
    <t>Universidade do Minho</t>
  </si>
  <si>
    <t>Lopes, IS (corresponding author), Univ Minho, Dept Prod &amp; Syst, ALGORITMI Ctr, Campus Azurem, P-4800058 Guimaraes, Portugal.</t>
  </si>
  <si>
    <t>ilopes@dps.uminho.pt</t>
  </si>
  <si>
    <t>Lopes, Isabel/D-8203-2012; Figueiredo, Manuel/K-4756-2013</t>
  </si>
  <si>
    <t>Lopes, Isabel/0000-0002-8958-449X; Figueiredo, Manuel/0000-0002-0483-1341</t>
  </si>
  <si>
    <t>Portugal Incentive System for Research and Technological Development [002814/2015]; COMPETE [POCI-01- 0145 -FEDER -007043]; FCT - Fundacao para a Ciencia e Tecnologia [UID/CEC/00319/2013]</t>
  </si>
  <si>
    <t>Portugal Incentive System for Research and Technological Development; COMPETE; FCT - Fundacao para a Ciencia e Tecnologia(Fundacao para a Ciencia e a Tecnologia (FCT))</t>
  </si>
  <si>
    <t>This research is sponsored by the Portugal Incentive System for Research and Technological Development. Project in co-promotion n degrees 002814/2015 (iFACTORY 2015-2018) and has been partially supported by COMPETE: POCI-01- 0145-FEDER-007043 and FCT - Fundacao para a Ciencia e Tecnologia within the Project Scope: UID/CEC/00319/2013.</t>
  </si>
  <si>
    <t>Univ Novi Sad, Fac Technical Sciences</t>
  </si>
  <si>
    <t>Novi Sad</t>
  </si>
  <si>
    <t>Trg Dositeja Obradovica 6, Novi Sad, SERBIA</t>
  </si>
  <si>
    <t>2217-2661</t>
  </si>
  <si>
    <t>2683-345X</t>
  </si>
  <si>
    <t>INT J IND ENG MANAGE</t>
  </si>
  <si>
    <t>Int. J. Ind. Eng. Manag.</t>
  </si>
  <si>
    <t>MAR</t>
  </si>
  <si>
    <t>10.24867/IJIEM-2020-1-248</t>
  </si>
  <si>
    <t>VL3MV</t>
  </si>
  <si>
    <t>Green Submitted, gold</t>
  </si>
  <si>
    <t>WOS:000835301900002</t>
  </si>
  <si>
    <t>Naji, A; EL Oumami, M; Bouksour, O; Beidouri, Z</t>
  </si>
  <si>
    <t>Naji, Amal; EL Oumami, Mohamed; Bouksour, Otmane; Beidouri, Zitouni</t>
  </si>
  <si>
    <t>A mixed methods research toward a framework of a maintenance management model A survey in Moroccan industries</t>
  </si>
  <si>
    <t>Maintenance management; Mixed methods research; Qualitative study; Quantitative study; Maintenance model; Moroccan industries</t>
  </si>
  <si>
    <t>PERFORMANCE-MEASUREMENT FRAMEWORK; SELECTION; IMPACT; SUSTAINABILITY; IMPLEMENTATION; ORGANIZATIONS; STRATEGY</t>
  </si>
  <si>
    <t>Purpose The purpose of this paper is to provide a picture of the maintenance management status in a sample of Moroccan industries through highlighting the most impacting factors. A preliminary framework of a maintenance management model is proposed on the basis of the study findings. Design/methodology/approach A mixed methods research (MMR), including qualitative and quantitative independent studies, was conducted in a sample of Moroccan industries. The process of collecting data involved submission of questionnaires to industrial managers and on-site visits. Analyzing case studies and correlations between maintenance factors were used to define the status of maintenance management. The preliminary framework of a maintenance management model was presented through a basic graph. Findings The surveyed companies have three levels of maintenance management: inner, medium and good. The most impacting maintenance factors include the top management policy and maintenance department approach. Most of the companies surveyed do not have an overall maintenance model, as most of decisions are based on random factors rather than the data analysis approach. The preliminary framework of maintenance management model involves the main factors with recommendations to improve maintenance management performance. Practical implications The study may contribute to assess maintenance management and to develop a framework of maintenance management models in industries, especially when no previous basic study was conducted in a specific context. Originality/value The original contribution of this paper is using MMR to develop a preliminary framework of a maintenance management model. This methodology aims to narrow the gap between academic studies and maintenance management in industries.</t>
  </si>
  <si>
    <t>[Naji, Amal; EL Oumami, Mohamed; Bouksour, Otmane; Beidouri, Zitouni] Univ Hassan II Casablanca, Ecole Super Technol Casablanca, Lab Mecan Prod &amp; Genie Ind, Casablanca, Morocco</t>
  </si>
  <si>
    <t>Hassan II University of Casablanca</t>
  </si>
  <si>
    <t>Naji, A (corresponding author), Univ Hassan II Casablanca, Ecole Super Technol Casablanca, Lab Mecan Prod &amp; Genie Ind, Casablanca, Morocco.</t>
  </si>
  <si>
    <t>naji.amal@gmail.com; mohoumami@gmail.com; bouksour2@gmail.com; zbeidouri@gmail.com</t>
  </si>
  <si>
    <t>NAJI, AMAL/AAE-4804-2021; BOUKSOUR, Otmane/AAO-9369-2021</t>
  </si>
  <si>
    <t>EL OUMAMI, Mohamed/0000-0001-7234-0918</t>
  </si>
  <si>
    <t>MAY 11</t>
  </si>
  <si>
    <t>10.1108/JQME-10-2018-0079</t>
  </si>
  <si>
    <t>LB8KR</t>
  </si>
  <si>
    <t>WOS:000524879900006</t>
  </si>
  <si>
    <t>Holgado, M; Macchi, M; Evans, S</t>
  </si>
  <si>
    <t>Holgado, Maria; Macchi, Marco; Evans, Stephen</t>
  </si>
  <si>
    <t>Exploring the impacts and contributions of maintenance function for sustainable manufacturing</t>
  </si>
  <si>
    <t>INTERNATIONAL JOURNAL OF PRODUCTION RESEARCH</t>
  </si>
  <si>
    <t>Maintenance; maintenance management; maintenance strategy; responsible manufacturing; sustainable manufacturing; triple-bottom-line (TBL)</t>
  </si>
  <si>
    <t>DECISION-MAKING; CHANGING-ROLE; PERFORMANCE; PROGNOSTICS; BUSINESS; DESIGN; MANAGEMENT; OPERATIONS; FRAMEWORK; TOOLS</t>
  </si>
  <si>
    <t>This investigation studies advanced practitioners of maintenance management and seeks to uncover the related impacts and contributions of best practice maintenance toward sustainable manufacturing operations. This exploratory research conducted a novel empirical analysis focused on maintenance functions in nine manufacturing companies from diverse sectors. The analysis uncovered insights related to the economic, environmental, and social benefits of deeper involvement of maintenance function in plant operations and decision-making. We observed links of maintenance function with product competitiveness and with energy management activities that were unexpected. We confirmed benefits from keeping machinery in good working conditions and restoring promptly good working conditions when an issue happens. The depth of maintenance contribution on each area identified in this study will depend on the operational and business context of the manufacturing company; thus, companies need to reflect on these based on their specific processes, business needs and goals. Ultimately, this work can inspire managers in manufacturing companies to organise maintenance functions strategically toward fostering long-term competitive, responsible and sustainable performance.</t>
  </si>
  <si>
    <t>[Holgado, Maria] Univ Sussex, Dept Management, Brighton BN1 9SL, E Sussex, England; [Macchi, Marco] Politecn Milan, Dept Management Econ &amp; Ind Engn, Milan, Italy; [Evans, Stephen] Univ Cambridge, Inst Mfg, Dept Engn, Cambridge, England</t>
  </si>
  <si>
    <t>University of Sussex; Polytechnic University of Milan; University of Cambridge</t>
  </si>
  <si>
    <t>Holgado, M (corresponding author), Univ Sussex, Dept Management, Brighton BN1 9SL, E Sussex, England.</t>
  </si>
  <si>
    <t>m.holgado@sussex.ac.uk</t>
  </si>
  <si>
    <t>Holgado, Maria/0000-0002-6019-9598; Evans, Steve/0000-0003-1757-6842</t>
  </si>
  <si>
    <t>Technologies and Services for Maintenance (TeSeM) Observatory; Engineering and Physical Sciences Research Council (EPSRC) Centre for Innovative Manufacturing in Industrial Sustainability [EP/I033351/1]; EPSRC [EP/I033351/1] Funding Source: UKRI</t>
  </si>
  <si>
    <t>Technologies and Services for Maintenance (TeSeM) Observatory; Engineering and Physical Sciences Research Council (EPSRC) Centre for Innovative Manufacturing in Industrial Sustainability(UK Research &amp; Innovation (UKRI)Engineering &amp; Physical Sciences Research Council (EPSRC)); EPSRC(UK Research &amp; Innovation (UKRI)Engineering &amp; Physical Sciences Research Council (EPSRC))</t>
  </si>
  <si>
    <t>The research work acknowledges support from the Technologies and Services for Maintenance (TeSeM) Observatory (www.tesem.net) and the Engineering and Physical Sciences Research Council (EPSRC) Centre for Innovative Manufacturing in Industrial Sustainability (Grant Reference: EP/I033351/1).</t>
  </si>
  <si>
    <t>TAYLOR &amp; FRANCIS LTD</t>
  </si>
  <si>
    <t>ABINGDON</t>
  </si>
  <si>
    <t>2-4 PARK SQUARE, MILTON PARK, ABINGDON OR14 4RN, OXON, ENGLAND</t>
  </si>
  <si>
    <t>0020-7543</t>
  </si>
  <si>
    <t>1366-588X</t>
  </si>
  <si>
    <t>INT J PROD RES</t>
  </si>
  <si>
    <t>Int. J. Prod. Res.</t>
  </si>
  <si>
    <t>DEC 1</t>
  </si>
  <si>
    <t>10.1080/00207543.2020.1808257</t>
  </si>
  <si>
    <t>AUG 2020</t>
  </si>
  <si>
    <t>Engineering, Industrial; Engineering, Manufacturing; Operations Research &amp; Management Science</t>
  </si>
  <si>
    <t>Science Citation Index Expanded (SCI-EXPANDED); Social Science Citation Index (SSCI)</t>
  </si>
  <si>
    <t>OU3DE</t>
  </si>
  <si>
    <t>Green Accepted, Green Submitted</t>
  </si>
  <si>
    <t>WOS:000567088200001</t>
  </si>
  <si>
    <t>Wang, C; Li, H; Yap, JBH; Khalid, AE</t>
  </si>
  <si>
    <t>Wang, Chen; Li, Heng; Yap, Jeffrey Boon Hui; Khalid, Azrul Effendi</t>
  </si>
  <si>
    <t>Systemic Approach for Constraint-Free Computer Maintenance Management System in Oil and Gas Engineering</t>
  </si>
  <si>
    <t>JOURNAL OF MANAGEMENT IN ENGINEERING</t>
  </si>
  <si>
    <t>Constraint-free; Maintenance management; Oil and gas (O&amp;G) engineering; Computerized maintenance management system (CMMS); Causal loop diagram (CLD)</t>
  </si>
  <si>
    <t>DESIGN CHANGES; FRAMEWORK; REQUIREMENTS; PROJECTS; WORK</t>
  </si>
  <si>
    <t>Maintenance works in oil and gas (O&amp;G) engineering are routinely plagued by delays, cost overruns, and noncompliance. When constraints are not properly identified, subsequent conflicts could be more inevitable. This study, therefore, aims to develop a constraint-free framework and a causal loop diagram (CLD) of computerized maintenance management systems (CMMSs) to improve conventional maintenance operation systems in O&amp;G engineering and attaining maintenance management success. First, the practical constraints encountered by CMMS expert users from a leading international O&amp;G company in managing maintenance equipment on O&amp;G platforms are ascertained through a quantitative approach. Using the repertory grid technique encompassing 32 constructs relating to user interaction on a display screen, terminology and system information, learning and operation, and system capabilities influenced the application of CMMS and human interactions with the system. Second, a questionnaire survey is conducted to prioritize the factors influencing the efficacy of CMMS application. Afterward, the qualitative phase involving case study and observation within the chosen O&amp;G company corroborated the constraint-free CMMS enhancement framework for O&amp;G engineering involving maintenance management, human factor among maintenance crews, and data usability. Finally, a systemic approach is used to conceptualize an integrated causal mapping for a better understanding of the underlying dynamics involved in maintenance management to engender a holistic view of operations. As such, the contribution of this work lies in its examination of the potentials of a good CMMS under complex conditions, particularly to facilitate dynamic maintenance processes and optimize the administration of resources, such as labor, inventory, tools, and information, needed to shift toward sustainable and dependable operational stability.</t>
  </si>
  <si>
    <t>[Wang, Chen] Huaqiao Univ, Coll Civil Engn, Intelligence &amp; Automat Construct Fujian Prov High, Xiamen 361021, Peoples R China; [Li, Heng] Hong Kong Polytech Univ, Fac Construct &amp; Environm, Dept Bldg &amp; Real Estate, Hong Kong, Peoples R China; [Yap, Jeffrey Boon Hui] UTAR, Lee Kong Chian Fac Engn &amp; Sci, Dept Surveying, Kajang 43000, Selangor, Malaysia; [Khalid, Azrul Effendi] Huaqiao Univ, Coll Civil Engn, Xiamen 361021, Peoples R China</t>
  </si>
  <si>
    <t>Huaqiao University; Hong Kong Polytechnic University; Huaqiao University</t>
  </si>
  <si>
    <t>Yap, JBH (corresponding author), UTAR, Lee Kong Chian Fac Engn &amp; Sci, Dept Surveying, Kajang 43000, Selangor, Malaysia.</t>
  </si>
  <si>
    <t>derekisleon@gmail.com; heng.li@polyu.edu.hk; bhyap@utar.edu.my; azrula@163.com</t>
  </si>
  <si>
    <t>; Wang, Chen/F-1586-2010; Li, Heng/B-2821-2015</t>
  </si>
  <si>
    <t>Yap, Jeffrey Boon Hui/0000-0003-4332-0031; Wang, Chen/0000-0001-7892-3575; Li, Heng/0000-0002-3187-9041</t>
  </si>
  <si>
    <t>ASCE-AMER SOC CIVIL ENGINEERS</t>
  </si>
  <si>
    <t>RESTON</t>
  </si>
  <si>
    <t>1801 ALEXANDER BELL DR, RESTON, VA 20191-4400 USA</t>
  </si>
  <si>
    <t>0742-597X</t>
  </si>
  <si>
    <t>1943-5479</t>
  </si>
  <si>
    <t>J MANAGE ENG</t>
  </si>
  <si>
    <t>J. Manage. Eng.</t>
  </si>
  <si>
    <t>MAY 1</t>
  </si>
  <si>
    <t>10.1061/(ASCE)ME.1943-5479.0000689</t>
  </si>
  <si>
    <t>Engineering, Industrial; Engineering, Civil</t>
  </si>
  <si>
    <t>HT2KZ</t>
  </si>
  <si>
    <t>WOS:000464392900002</t>
  </si>
  <si>
    <t>del Castillo, AC; Parlikad, AK</t>
  </si>
  <si>
    <t>del Castillo, Adolfo Crespo; Parlikad, Ajith Kumar</t>
  </si>
  <si>
    <t>Dynamic fleet management: Integrating predictive and preventive maintenance with operation workload balance to minimise cost</t>
  </si>
  <si>
    <t>Dynamic fleet management; Dynamic fleet maintenance; Predictive maintenance; Criticality; Digitalisation; Asset management</t>
  </si>
  <si>
    <t>OPTIMIZATION</t>
  </si>
  <si>
    <t>The optimization of fleet maintenance management is of utmost importance to ensure the efficient and reliable operation of asset fleets. Traditional maintenance strategies are often reactive or rely on predetermined schedules, which can lead to inefficient resource allocation and increased operational costs. The advent of digital technologies has allowed the integration of predictive maintenance into fleet management. This paradigm shift towards a more data-driven approach enables fleet management to dynamically respond to issues identified through sensors and algorithms that detect anomalies and provide prognostic insights regarding the remaining useful life of components. However, a notable deficiency exists in the integration of predictive maintenance with calendar-based preventive maintenance and fleet operational allocation, thereby impeding value creation for businesses. This paper presents an optimisation model to address this issue by incorporating preventive and predictive maintenance while simultaneously striving to balance the workload to meet operational demand and mitigate potential penalties resulting from failure to meet these demands. The paper also examines the role of component criticality as well as the precision of the RUL (Remaining Useful Life) prognosis. Through the experiments conducted, it has been demonstrated that the allocation of the fleet is subject to change depending on the level of criticality of monitored components. These findings reveal the potential risks and penalties that could arise from an insufficient definition of failure impact severity when integrating predictive maintenance with existing preventive approaches and operational workload balance. Additionally, the experiments underscore the impact of RUL distributions precision on total operating costs, showing the confidence intervals through a sensitivity analysis.</t>
  </si>
  <si>
    <t>[del Castillo, Adolfo Crespo; Parlikad, Ajith Kumar] Univ Cambridge, Inst Mfg, Dept Engn, 17 Charles Babbage Rd, Cambridge CB3 0FS, England</t>
  </si>
  <si>
    <t>; Parlikad, Ajith Kumar/A-5269-2010</t>
  </si>
  <si>
    <t>Crespo del Castillo, Adolfo/0000-0002-1151-3253; Parlikad, Ajith Kumar/0000-0001-6214-1739</t>
  </si>
  <si>
    <t>10.1016/j.ress.2024.110243</t>
  </si>
  <si>
    <t>JUN 2024</t>
  </si>
  <si>
    <t>UU9H2</t>
  </si>
  <si>
    <t>WOS:001250688700001</t>
  </si>
  <si>
    <t>Jakkula, B; Raj, MG; Murthy, CSN</t>
  </si>
  <si>
    <t>Jakkula, Balaraju; Raj, M. Govinda; Murthy, Ch. S. N.</t>
  </si>
  <si>
    <t>Maintenance management of load haul dumper using reliability analysis</t>
  </si>
  <si>
    <t>Performance measurement; Preventive maintenance; Productivity; Agent-based component model; Maintenance analytics; Regulations reliability centred maintenance</t>
  </si>
  <si>
    <t>JAJARM-BAUXITE MINE; EQUIPMENT; OPTIMIZATION; ALGORITHM; MACHINES</t>
  </si>
  <si>
    <t>Purpose Load haul dumper (LHD) is one of the main ore transporting machineries used in underground mining industry. Reliability of LHD is very significant to achieve the expected targets of production. The performance of the equipment should be maintained at its highest level to fulfill the targets. This can be accomplished only by reducing the sudden breakdowns of component/subsystems in a complex system. The identification of defective component/subsystems can be possible by performing the downtime analysis. Hence, it is very important to develop the proper maintenance strategies for replacement or repair actions of the defective ones. Suitable maintenance management actions improve the performance of the equipment. This paper aims to discuss this issue. Design/methodology/approach Reliability analysis (renewal approach) has been used to analyze the performance of LHD machine. Allocations of best-fit distribution of data sets were made by the utilization of Kolmogorov-Smirnov (K-S) test. Parametric estimation of theoretical probability distributions was made by utilizing the maximum likelihood estimate (MLE) method. Findings Independent and identical distribution (IID) assumption of data sets was validated through trend and serial correlation tests. On the basis of test results, the data sets are in accordance with IID assumption. Therefore, renewal process approach has been utilized for further investigation. Allocations of best-fit distribution of data sets were made by the utilization of Kolmogorov-Smirnov (K-S) test. Parametric estimation of theoretical probability distributions was made by utilizing the MLE method. Reliability of each individual subsystem has been computed according to the best-fit distribution. In respect of obtained reliability results, the reliability-based preventive maintenance (PM) time schedules were calculated for the expected 90 percent reliability level. Originality/value The present study throws light on this equipment that need a tailored maintenance schedule, partly due to the peculiar mining conditions, under which they operate. This study mainly focuses on estimating the performance of four numbers of well-mechanized LHD systems with reliability, availability and maintainability (RAM) modeling. Based on the drawn results, reasons for performance drop of each machine were identified. Suitable recommendations were suggested for the enhancement of performance of capital intensive production equipment. As the maintenance management is only the means for performance improvement of the machinery, PM time intervals were estimated with respect to the expected rate of reliability level.</t>
  </si>
  <si>
    <t>[Jakkula, Balaraju; Raj, M. Govinda; Murthy, Ch. S. N.] Natl Inst Technol Karnataka, Dept Min Engn, Surathkal, India</t>
  </si>
  <si>
    <t>National Institute of Technology (NIT System); National Institute of Technology Karnataka</t>
  </si>
  <si>
    <t>Jakkula, B (corresponding author), Natl Inst Technol Karnataka, Dept Min Engn, Surathkal, India.</t>
  </si>
  <si>
    <t>jakkulabalraj@gmail.com; mandelaraj88@gmail.com; chsn58@gmail.com</t>
  </si>
  <si>
    <t>JAKKULA, Dr BALARAJU/H-2837-2018</t>
  </si>
  <si>
    <t>JAKKULA, Dr BALARAJU/0000-0002-3958-9137</t>
  </si>
  <si>
    <t>10.1108/JQME-10-2018-0083</t>
  </si>
  <si>
    <t>WOS:000524879900007</t>
  </si>
  <si>
    <t>Pieterse, B; Agyekum, K; Manu, P; Mohandes, SR; Cheung, C; Yunusa-Kaltungo, A</t>
  </si>
  <si>
    <t>Pieterse, Bryan; Agyekum, Kofi; Manu, Patrick; Mohandes, Saeed Reza; Cheung, Clara; Yunusa-Kaltungo, Akilu</t>
  </si>
  <si>
    <t>Examining critical project management skills for successful delivery of major maintenance projects: insights from the United Kingdom energy sector</t>
  </si>
  <si>
    <t>ENGINEERING CONSTRUCTION AND ARCHITECTURAL MANAGEMENT</t>
  </si>
  <si>
    <t>Asset maintenance; Maintenance strategies; Project management skills; Energy sector; Survey</t>
  </si>
  <si>
    <t>PurposeMajor maintenance projects are often regarded as maintenance activities regardless of the projects' complexity and scale. Consequently, very scarce research attention has hitherto been paid to the critical skills required when undertaking these projects. More specifically, the body of relevant knowledge is deprived of a study focusing on maintenance projects within the energy sector. In view of this shortcoming, this research aims to examine the critical project management (PM) skills required to deliver major maintenance projects within the energy sector.Design/methodology/approachBased on a quantitative research strategy, this study addressed the knowledge gap through a cross-sectional survey of professionals involved in the delivery of major maintenance projects in the United Kingdom's (UK) energy sector. Data obtained were analyzed via descriptive (e.g. frequencies, mean and standard deviation [SD]) and inferential statistical analyses (One sample t-test and exploratory factor analysis (EFA)).FindingsOut of the 45 PM skills identified in the literature and examined by the respondents, the results obtained from the One sample t-test (based on p (1-tailed) = 0.05) showed that 37 were considered to be at least important, accounting for 80.4% of all the skills identified. EFA revealed a clustering of the PM skills items into seven components: skills related to work scheduling and coordination; communication, risk, safety and stakeholder management skills; quality assurance skills; people management skills; skills related to forecasting scope and duration of outage; implementation of processes and time management skills and technical/engineering skills and experience pertaining to the outage and local site knowledge.Originality/valueThis study has identified and contributed to the limited state-of-the-art skills project managers must possess to manage major maintenance projects in the energy sector successfully. The findings would be useful to organizations within the energy sector in ensuring that the organizations have suitable personnel in place to deliver major maintenance projects on the organizations' assets.</t>
  </si>
  <si>
    <t>[Pieterse, Bryan; Manu, Patrick; Mohandes, Saeed Reza; Cheung, Clara; Yunusa-Kaltungo, Akilu] Univ Manchester, Dept Mech Aerosp &amp; Civil Engn, Manchester, England; [Agyekum, Kofi] Kwame Nkrumah Univ Sci &amp; Technol, Dept Construction Technol &amp; Management, Kumasi, Ghana</t>
  </si>
  <si>
    <t>University of Manchester; Kwame Nkrumah University Science &amp; Technology</t>
  </si>
  <si>
    <t>Manu, P (corresponding author), Univ Manchester, Dept Mech Aerosp &amp; Civil Engn, Manchester, England.</t>
  </si>
  <si>
    <t>bryan.pieterse@hotmail.com; agyekum.kofi1@gmail.com; patrick.manu@manchester.ac.uk; saeedreza.mohandes@manchester.ac.uk; clara.cheung@manchester.ac.uk; akilu.kaltungo@manchester.ac.uk</t>
  </si>
  <si>
    <t>MOHANDES, SAEED REZA/HTN-4820-2023; yunusa-kaltungo, akilu/AFM-7988-2022; Manu, Patrick/N-9004-2013; Agyekum, Kofi/R-1479-2018; Cheung, Clara/U-3827-2017</t>
  </si>
  <si>
    <t>yunusa-kaltungo, akilu/0000-0001-5138-3783; MOHANDES, SAEED REZA/0000-0001-9149-3928; Manu, Patrick/0000-0001-7766-8824; Agyekum, Kofi/0000-0002-7903-5390; Cheung, Clara/0000-0002-8996-7351</t>
  </si>
  <si>
    <t>0969-9988</t>
  </si>
  <si>
    <t>1365-232X</t>
  </si>
  <si>
    <t>ENG CONSTR ARCHIT MA</t>
  </si>
  <si>
    <t>Eng. Constr. Archit. Manag.</t>
  </si>
  <si>
    <t>APR 2</t>
  </si>
  <si>
    <t>10.1108/ECAM-07-2022-0658</t>
  </si>
  <si>
    <t>DEC 2022</t>
  </si>
  <si>
    <t>Engineering, Industrial; Engineering, Civil; Management</t>
  </si>
  <si>
    <t>Engineering; Business &amp; Economics</t>
  </si>
  <si>
    <t>MI2O0</t>
  </si>
  <si>
    <t>Green Accepted</t>
  </si>
  <si>
    <t>WOS:000897877500001</t>
  </si>
  <si>
    <t>Roham, H; Gomes, JFS</t>
  </si>
  <si>
    <t>Roham, Hamid; Gomes, Jorge F. S.</t>
  </si>
  <si>
    <t>Knowledge management and knowledge sharing in maintenance department of high-tech industries</t>
  </si>
  <si>
    <t>Knowledge management; Knowledge sharing; Industrial maintenance; Novices; Physical asset management; Knowledge sharing barriers</t>
  </si>
  <si>
    <t>PERFORMANCE; SUPPORT; MODEL</t>
  </si>
  <si>
    <t>PurposeThe competition and competitive advantage among firms in various industries have shifted toward a knowledge-based economy. This is particularly evident in knowledge-intensive industries where a company's competitive edge relies heavily on its ability to generate and utilize new knowledge solutions. Knowledge management (KM) is essential for all organizations, but it holds greater significance in specific functional units, such as maintenance. Industrial maintenance is a knowledge-intensive field and knowledge sharing (KS) motivation is low due to the tacit and intricate nature of knowledge. Despite these challenges, sharing knowledge between experienced and novice employees is fundamental to industrial maintenance, and much remains to be examined in this area. This study explores how novices' knowledge and KS with other workers can be improved via Training by Novices program in industrial maintenance.Design/methodology/approachThis study adopted an action-research approach within a high-tech company's maintenance department, involving 103 maintenance employees. The research unfolded in three pivotal phases: first, an initial evaluation of KM and KS was carried out; second, training programs by novices aimed at strengthening KS between novices and department members were implemented and third, data were collected to assess changes and facilitate improvement in knowledge exchange and collaboration within the department.FindingsThe study demonstrates that involving novices in training programs as trainers within high-tech industries' maintenance departments enhances KM and KS among all employees. The training programs led to substantial increases in knowledge for novices and experienced workers and fostered a culture of continuous learning. Despite the short training duration, participants' overall knowledge increased, and they found the program effective and expressed willingness to continue, indicating potential for long-term improvements in KS practices.Research limitations/implicationsThis research challenges conventional wisdom regarding KS among novices in industrial maintenance. Showcasing the effectiveness of novices as trainers offers a fresh perspective on enhancing KS practices within knowledge-intensive industries.Practical implicationsThis study provides actionable insights for maintenance managers grappling with KS challenges. Organizations can boost employees' knowledge and KS practices by advocating for structured training programs led by novices, fostering a more collaborative workplace culture.Originality/valueThis study introduces a novel approach by empowering novices to engage actively in KS within industrial maintenance settings. By utilizing novices as trainers, the research demonstrates a practical means of enhancing both their own knowledge and that of their peers. This innovative strategy not only addresses common challenges in KM within maintenance units but also promotes a culture of continuous learning and development. This research offers valuable insights into improving KS practices and fostering a more collaborative organizational culture.</t>
  </si>
  <si>
    <t>[Roham, Hamid; Gomes, Jorge F. S.] Univ Lisbon, ISEG, Lisbon, Portugal</t>
  </si>
  <si>
    <t>Universidade de Lisboa</t>
  </si>
  <si>
    <t>Roham, H (corresponding author), Univ Lisbon, ISEG, Lisbon, Portugal.</t>
  </si>
  <si>
    <t>hamid.roham@outlook.com; jorgegomes@iseg.ulisboa.pt</t>
  </si>
  <si>
    <t>Roham, Hamid/0000-0003-2677-4488</t>
  </si>
  <si>
    <t>NOV 14</t>
  </si>
  <si>
    <t>10.1108/JQME-11-2023-0110</t>
  </si>
  <si>
    <t>OCT 2024</t>
  </si>
  <si>
    <t>M1Y7Z</t>
  </si>
  <si>
    <t>WOS:001338749700001</t>
  </si>
  <si>
    <t>Marttonen-Arola, S; Baglee, D; Ylä-Kujala, A; Sinkkonen, T; Kärri, T</t>
  </si>
  <si>
    <t>Marttonen-Arola, Salla; Baglee, David; Yla-Kujala, Antti; Sinkkonen, Tiina; Karri, Timo</t>
  </si>
  <si>
    <t>Modeling the wasted value of data in maintenance investments</t>
  </si>
  <si>
    <t>Maintenance cost management; Value creation; Maintenance process</t>
  </si>
  <si>
    <t>LEAN INFORMATION-MANAGEMENT; COMPUTERIZED MAINTENANCE; PREVENTIVE MAINTENANCE; CURRENT TRENDS; COST; FRAMEWORK; SYSTEM; STRATEGIES; FUTURE</t>
  </si>
  <si>
    <t>Purpose Big data and related technologies are expected to drastically change the way industrial maintenance is managed. However, at the moment, many companies are collecting large amounts of data without knowing how to systematically exploit it. It is therefore important to find new ways of evaluating and quantifying the value of data. This paper addresses the value of data-based profitability of maintenance investments. Design/methodology/approach An analytical wasted value of data model (WVD-model) is presented to quantify how the value of data can be increased through eliminating waste. The use of the model is demonstrated with a case example of a maintenance investment appraisal of an automotive parts manufacturer. Findings The presented model contributes to the gap between the academic research and the solutions implemented in practice in the area of value optimization. The model provides a systematic way of evaluating if the benefits of investing in maintenance data exceed the additional costs incurred. Applying the model to a case study revealed that even though the case company would need to spend more time in analyzing and processing the increased data, the investment would be profitable if even a modest share of the current asset failures could be prevented through improved data analysis. Originality/value The model is designed and developed on the principle of eliminating waste to increase value, which has not been previously extensively discussed in the context of data management.</t>
  </si>
  <si>
    <t>[Marttonen-Arola, Salla; Baglee, David] Univ Sunderland, Fac Technol, Sunderland, England; [Yla-Kujala, Antti; Sinkkonen, Tiina; Karri, Timo] LUT Univ, Sch Engn Sci, Lappeenranta, Finland</t>
  </si>
  <si>
    <t>University of Sunderland; Lappeenranta-Lahti University of Technology LUT</t>
  </si>
  <si>
    <t>Marttonen-Arola, S (corresponding author), Univ Sunderland, Fac Technol, Sunderland, England.</t>
  </si>
  <si>
    <t>salla.marttonenarola@gmail.com</t>
  </si>
  <si>
    <t>Sinkkonen, Tiina/0000-0003-3821-5800</t>
  </si>
  <si>
    <t>European Union's Horizon 2020 research and innovation programme under the Marie Skodowska-Curie grant [751622]; Marie Curie Actions (MSCA) [751622] Funding Source: Marie Curie Actions (MSCA)</t>
  </si>
  <si>
    <t>European Union's Horizon 2020 research and innovation programme under the Marie Skodowska-Curie grant; Marie Curie Actions (MSCA)(Marie Curie Actions)</t>
  </si>
  <si>
    <t>This project has received funding from the European Union's Horizon 2020 research and innovation programme under the Marie Skodowska-Curie grant agreement No 751622.</t>
  </si>
  <si>
    <t>FEB 11</t>
  </si>
  <si>
    <t>10.1108/JQME-03-2020-0013</t>
  </si>
  <si>
    <t>DEC 2020</t>
  </si>
  <si>
    <t>ZD5JV</t>
  </si>
  <si>
    <t>WOS:000599419400001</t>
  </si>
  <si>
    <t>Hinrichs, M; Prifti, L; Schneegass, S</t>
  </si>
  <si>
    <t>Hinrichs, Maren; Prifti, Loina; Schneegass, Stefan</t>
  </si>
  <si>
    <t>Data-driven decision-making in maintenance management and coordination throughout the asset life cycle: an empirical study</t>
  </si>
  <si>
    <t>Maintenance optimization; Data combination; Decision support system; E-Maintenance</t>
  </si>
  <si>
    <t>INDUSTRIAL MAINTENANCE; JOINT PRODUCTION; SPARE PARTS; FRAMEWORK; QUALITY; SYSTEMS; MODEL</t>
  </si>
  <si>
    <t>PurposeWith production systems become more digitized, data-driven maintenance decisions can improve the performance of production systems. While manufacturers are introducing predictive maintenance and maintenance reporting to increase maintenance operation efficiency, operational data may also be used to improve maintenance management. Research on the value of data-driven decision support to foster increased internal integration of maintenance with related functions is less explored. This paper explores the potential for further development of solutions for cross-functional responsibilities that maintenance shares with production and logistics through data-driven approaches.Design/methodology/approachFifteen maintenance experts were interviewed in semi-structured interviews. The interview questions were derived based on topics identified through a structured literature analysis of 126 papers.FindingsThe main findings show that data-driven decision-making can support maintenance, asset, production and material planning to coordinate and collaborate on cross-functional responsibilities. While solutions for maintenance planning and scheduling have been explored for various operational conditions, collaborative solutions for maintenance, production and logistics offer the potential for further development. Enablers for data-driven collaboration are the internal synchronization and central definition of goals, harmonization of information systems and information visualization for decision-making.Originality/valueThis paper outlines future research directions for data-driven decision-making in maintenance management as well as the practical requirements for implementation.</t>
  </si>
  <si>
    <t>[Hinrichs, Maren; Prifti, Loina] BMW Grp, Munich, Germany; [Hinrichs, Maren; Schneegass, Stefan] Univ Duisburg Essen, Essen, Germany</t>
  </si>
  <si>
    <t>BMW AG; University of Duisburg Essen</t>
  </si>
  <si>
    <t>Hinrichs, M (corresponding author), BMW Grp, Munich, Germany.;Hinrichs, M (corresponding author), Univ Duisburg Essen, Essen, Germany.</t>
  </si>
  <si>
    <t>maren.hinrichs@bmw.de</t>
  </si>
  <si>
    <t>Schneegass, Stefan/0000-0002-0132-4934; Hinrichs, Maren/0000-0001-6934-8900</t>
  </si>
  <si>
    <t>10.1108/JQME-04-2023-0038</t>
  </si>
  <si>
    <t>DEC 2023</t>
  </si>
  <si>
    <t>WOS:001129383200001</t>
  </si>
  <si>
    <t>Agergaard, JK; Sigsgaard, KV; Mortensen, NH; Ge, JR; Hansen, KB</t>
  </si>
  <si>
    <t>Agergaard, Julie Krogh; Sigsgaard, Kristoffer Vandrup; Mortensen, Niels Henrik; Ge, Jingrui; Hansen, Kasper Barslund</t>
  </si>
  <si>
    <t>Quantifying the impact of early-stage maintenance clustering</t>
  </si>
  <si>
    <t>Knowledge management; Productivity; Maintenance process; Maintenance performance; Maintenance cost management</t>
  </si>
  <si>
    <t>OPPORTUNISTIC MAINTENANCE; COMPONENTS; POLICIES; SYSTEM; COSTS</t>
  </si>
  <si>
    <t>Purpose The purpose of this paper is to investigate the impact of early-stage maintenance clustering. Few researchers have previously studied early-stage maintenance clustering. Experience from product and service development has shown that early stages are critical to the development process, as most decisions are made during these stages. Similarly, most maintenance decisions are made during the early stages of maintenance development. Developing maintenance for clustering is expected to increase the potential of clustering. Design/methodology/approach A literature study and three case studies using the same data set were performed. The case studies simulate three stages of maintenance development by clustering based on the changes available at each given stage. Findings The study indicates an increased impact of maintenance clustering when clustering already in the first maintenance development stage. By performing clustering during the identification phase, 4.6% of the planned work hours can be saved. When clustering is done in the planning phase, 2.7% of the planned work hours can be saved. When planning is done in the scheduling phase, 2.4% of the planned work hours can be saved. The major difference in potential from the identification to the scheduling phase came from avoiding duplicate, unnecessary and erroneous work. Originality/value The findings from this study indicate a need for more studies on early-stage maintenance clustering, as few others have studied this.</t>
  </si>
  <si>
    <t>[Agergaard, Julie Krogh; Sigsgaard, Kristoffer Vandrup; Mortensen, Niels Henrik; Ge, Jingrui; Hansen, Kasper Barslund] Tech Univ Denmark, Dept Mech Engn, Lyngby, Denmark</t>
  </si>
  <si>
    <t>Technical University of Denmark</t>
  </si>
  <si>
    <t>Agergaard, JK (corresponding author), Tech Univ Denmark, Dept Mech Engn, Lyngby, Denmark.</t>
  </si>
  <si>
    <t>jkrag@mek.dtu.dk</t>
  </si>
  <si>
    <t>Hansen, Kasper/AIC-8012-2022</t>
  </si>
  <si>
    <t>Agergaard, Julie Krogh/0000-0002-9875-3304; Ge, Jingrui/0000-0003-2224-9678; Hansen, Kasper Barslund/0000-0003-4146-4824; Mortensen, Niels Henrik/0000-0002-1886-5358; Sigsgaard, Kristoffer Vandrup/0000-0002-9255-6270</t>
  </si>
  <si>
    <t>Danish Offshore Technology Centre</t>
  </si>
  <si>
    <t>The authors of this paper acknowledge the funding received from the Danish Offshore Technology Centre.</t>
  </si>
  <si>
    <t>JUN 13</t>
  </si>
  <si>
    <t>10.1108/JQME-07-2021-0056</t>
  </si>
  <si>
    <t>D5MO5</t>
  </si>
  <si>
    <t>WOS:000809166300001</t>
  </si>
  <si>
    <t>Wang, JT; Ma, XB; Gao, KY; Zhao, Y; Yang, L</t>
  </si>
  <si>
    <t>Wang, Jiantai; Ma, Xiaobing; Gao, Kaiye; Zhao, Yu; Yang, Li</t>
  </si>
  <si>
    <t>Condition-based maintenance management for two-stage continuous deterioration with two-dimensional inspection errors</t>
  </si>
  <si>
    <t>QUALITY AND RELIABILITY ENGINEERING INTERNATIONAL</t>
  </si>
  <si>
    <t>cost-efficiency; inspection errors; maintenance management; multistage degradation; replacement decision-making</t>
  </si>
  <si>
    <t>DEGRADATION; POLICY</t>
  </si>
  <si>
    <t>Inspections often perform imperfect outcomes during maintenance processes owing to human errors, management issues and other limitations. In particular, such imperfection affects the maintenance management of multistage deterioration significantly due to both false state identification and measurement errors, whose quantitative analysis, however, is seldom reported in the literature. To fill these gaps, this paper devises a condition-based maintenance management strategy oriented to two-stage continuous degradation under two-dimensional inspection imperfection. Specifically, a threshold-based replacement is executed under the normal-working state if the detected degradation value exceeds the preset limit; additionally, preventive replacement is immediately performed once the defective state is identified. Notably, the detection outcome rather than the actual working condition decides how preventive maintenance operates. The long-run cost rate is minimized via the optimization of the inspection cycle and replacement limit. Besides, numerical experiments conducted on train bogie bearing are provided, showing substantial superiorities over cost-effectiveness promotion and performance improvement.</t>
  </si>
  <si>
    <t>[Wang, Jiantai; Ma, Xiaobing; Zhao, Yu; Yang, Li] Beihang Univ, Sch Reliabil &amp; Syst Engn, Beijing, Peoples R China; [Gao, Kaiye] Beijing Forestry Univ, Sch Econ &amp; Management, Beijing, Peoples R China</t>
  </si>
  <si>
    <t>Beihang University; Beijing Forestry University</t>
  </si>
  <si>
    <t>Yang, L (corresponding author), Beihang Univ, Sch Reliabil &amp; Syst Engn, Beijing, Peoples R China.;Gao, KY (corresponding author), Beijing Forestry Univ, Sch Econ &amp; Management, Beijing, Peoples R China.</t>
  </si>
  <si>
    <t>kygao@foxmail.com; yanglirass@buaa.edu.cn</t>
  </si>
  <si>
    <t>, Jiantai/0009-0003-1919-9515</t>
  </si>
  <si>
    <t>National Natural Science Foundation of China [72101010, 72001027]</t>
  </si>
  <si>
    <t>National Natural Science Foundation of China(National Natural Science Foundation of China (NSFC))</t>
  </si>
  <si>
    <t>National Natural Science Foundation of China, Grant/Award Numbers: 72101010, 72001027</t>
  </si>
  <si>
    <t>WILEY</t>
  </si>
  <si>
    <t>HOBOKEN</t>
  </si>
  <si>
    <t>111 RIVER ST, HOBOKEN 07030-5774, NJ USA</t>
  </si>
  <si>
    <t>0748-8017</t>
  </si>
  <si>
    <t>1099-1638</t>
  </si>
  <si>
    <t>QUAL RELIAB ENG INT</t>
  </si>
  <si>
    <t>Qual. Reliab. Eng. Int.</t>
  </si>
  <si>
    <t>NOV</t>
  </si>
  <si>
    <t>10.1002/qre.3613</t>
  </si>
  <si>
    <t>JUL 2024</t>
  </si>
  <si>
    <t>Engineering, Multidisciplinary; Engineering, Industrial; Operations Research &amp; Management Science</t>
  </si>
  <si>
    <t>I4G5X</t>
  </si>
  <si>
    <t>WOS:001262114900001</t>
  </si>
  <si>
    <t>Pampana, AK; Jeon, J; Yoon, S; Weidner, TJ</t>
  </si>
  <si>
    <t>Pampana, Ashish Kumar; Jeon, JungHo; Yoon, Soojin; Weidner, Theodore J.</t>
  </si>
  <si>
    <t>Comprehensive maintenance dataset of building facilities for planned preventive and unplanned maintenance in North American universities</t>
  </si>
  <si>
    <t>DATA IN BRIEF</t>
  </si>
  <si>
    <t>Facility management; Maintenance; Planned preventive maintenance (PPM); Unplanned maintenance (UPM); Database; FMUCD</t>
  </si>
  <si>
    <t>Historical building maintenance data were collected from twelve universities in the United States (U.S.) and Canada, spanning from the year 2002 to 2021, with a particular focus on Planned Preventive Maintenance (PPM) and Unplanned Maintenance (UPM). The collected data underwent preprocessing and organization based on the Facility Management Unified Classification Code (FMUCO), Fig. 1 which was developed to classify heterogeneous building maintenance data. The resulting dataset comprises nine attribute groups (university, building, system, subsystem, component, work order, work order cost, work order labor, and weather) and their corresponding data attributes. The dataset aims to (1) provide insights into the current status of building management for campus-sized institutions and (2) facilitate data-driven analyses of facility management. (c) 2024 The Author(s). Published by Elsevier Inc. This is an open access article under the CC BY-NC license ( http://creativecommons.org/licenses/by-nc/4.0/ )</t>
  </si>
  <si>
    <t>[Pampana, Ashish Kumar] Oklahoma State Univ, Civil &amp; Environm Engn, 505 Engn North, Stillwater, OK 74078 USA; [Jeon, JungHo] Pusan Natl Univ, Dept Architectural Engn, 63 Beon Gil, Busan 46241, South Korea; [Yoon, Soojin] Oklahoma State Univ, Div Engn Technol, 511 Engn North, Stillwater, OK 74078 USA; [Weidner, Theodore J.] Purdue Univ, Div Construct Engn &amp; Management, 550 Stadium Mall Dr, W Lafayette, IN 47907 USA</t>
  </si>
  <si>
    <t>Oklahoma State University System; Oklahoma State University - Stillwater; Pusan National University; Oklahoma State University System; Oklahoma State University - Stillwater; Purdue University System; Purdue University</t>
  </si>
  <si>
    <t>Yoon, S (corresponding author), Oklahoma State Univ, Div Engn Technol, 511 Engn North, Stillwater, OK 74078 USA.</t>
  </si>
  <si>
    <t>ashish.pampana@okstate.edu; junghojeon@pusan.ac.kr; syoon@okstate.edu; tjweidne@purdue.edu</t>
  </si>
  <si>
    <t>Jeon, JungHo/ABA-9395-2020</t>
  </si>
  <si>
    <t>Jeon, JungHo/0000-0001-6816-0092; Yoon, Soojin/0000-0001-7832-6834</t>
  </si>
  <si>
    <t>ELSEVIER</t>
  </si>
  <si>
    <t>AMSTERDAM</t>
  </si>
  <si>
    <t>RADARWEG 29, 1043 NX AMSTERDAM, NETHERLANDS</t>
  </si>
  <si>
    <t>2352-3409</t>
  </si>
  <si>
    <t>DATA BRIEF</t>
  </si>
  <si>
    <t>Data Brief</t>
  </si>
  <si>
    <t>10.1016/j.dib.2024.110845</t>
  </si>
  <si>
    <t>SEP 2024</t>
  </si>
  <si>
    <t>Multidisciplinary Sciences</t>
  </si>
  <si>
    <t>Science &amp; Technology - Other Topics</t>
  </si>
  <si>
    <t>H6I4S</t>
  </si>
  <si>
    <t>Green Published, gold</t>
  </si>
  <si>
    <t>WOS:001324454200001</t>
  </si>
  <si>
    <t>Manco, P; Rinaldi, M; Caterino, M; Fera, M; Macchiaroli, R</t>
  </si>
  <si>
    <t>Manco, Pasquale; Rinaldi, Marta; Caterino, Mario; Fera, Marcello; Macchiaroli, Roberto</t>
  </si>
  <si>
    <t>Maintenance management for geographically distributed assets: a criticality-based approach</t>
  </si>
  <si>
    <t>Geographically Distributed Asset; Multi-system multi-component network; Maintenance cost; Opportunistic maintenance; Preventive Maintenance; Criticality analysis</t>
  </si>
  <si>
    <t>OPPORTUNISTIC MAINTENANCE; SYSTEMS; MODEL</t>
  </si>
  <si>
    <t>This paper provides a model to help decision-makers to choose the daily maintenance strategy for geographically distributed assets (GDA) where sites are located in a wide geographical area and a single maintenance centre is involved in managing the maintenance. A hierarchical structure has been used to represent the Multi-System Multi-Component network (MSMCN). A quantitative framework with sequential steps has been developed to plan a daily mix of maintenance actions. First, a dynamic criticality analysis identifies the critical items. A second screening adopts reliability thresholds to determine components that could be preventively replaced. Finally, an iterative economic comparison procedure selects the activities to schedule day by day. The proposed approach also considers time and resources constraints. The model was applied to a real case study to verify its feasibility. Results were compared to the results obtained implementing the current strategy in terms of total downtime, total number of sites visited and total maintenance cost. It was demonstrated that it is possible to reduce the total maintenance cost and the total number of sites visited in a year by balancing opportunistic and preventive maintenance activities with an appropriate selection of the model's thresholds.</t>
  </si>
  <si>
    <t>[Manco, Pasquale; Rinaldi, Marta; Caterino, Mario; Fera, Marcello; Macchiaroli, Roberto] Univ Campania Luigi Vanvitelli, Dept Engn, Via Roma 29, I-81031 Aversa, Italy</t>
  </si>
  <si>
    <t>Universita della Campania Vanvitelli</t>
  </si>
  <si>
    <t>Manco, P (corresponding author), Univ Campania Luigi Vanvitelli, Dept Engn, Via Roma 29, I-81031 Aversa, Italy.</t>
  </si>
  <si>
    <t>pasquale.manco@unicampania.it</t>
  </si>
  <si>
    <t>MANCO, PASQUALE/HGC-8457-2022; Fera, Marcello/I-1284-2019; Macchiaroli, Roberto/AAS-2112-2021; Caterino, Mario/HJP-3641-2023</t>
  </si>
  <si>
    <t>FEB</t>
  </si>
  <si>
    <t>B</t>
  </si>
  <si>
    <t>10.1016/j.ress.2021.108148</t>
  </si>
  <si>
    <t>NOV 2021</t>
  </si>
  <si>
    <t>XM1ML</t>
  </si>
  <si>
    <t>WOS:000728599800002</t>
  </si>
  <si>
    <t>Sun, JZ; Sun, YC; Chen, D; Liu, H</t>
  </si>
  <si>
    <t>Sun, Jianzhong; Sun, Yuanchu; Chen, Dan; Liu, He</t>
  </si>
  <si>
    <t>An integrated life-cycle maintenance modeling and simulation framework for aero engine fleet management decision support</t>
  </si>
  <si>
    <t>PROCEEDINGS OF THE INSTITUTION OF MECHANICAL ENGINEERS PART O-JOURNAL OF RISK AND RELIABILITY</t>
  </si>
  <si>
    <t>Engine fleet management; maintenance modeling; shop visit; work scope; spare engine</t>
  </si>
  <si>
    <t>Aero engine fleet management concerns the engine life-cycle maintenance, repair, and overhaul process decision making as well as the associated fleet spare inventory management, which is strongly influenced by the environmental and operating conditions they are subjected to in service. In this paper a comprehensive life-cycle simulation framework is proposed for engine fleet management decision making support, covering the entire process from individual engine shop visit maintenance modeling to fleet level engine spare inventory planning. The result of case study shows that the proposed simulation framework is useful not only for lifetime reliability and maintenance cost prediction and fleet engine spares planning by properly accounting for the varying environmental and operating conditions, but also provides an effective decision support tool for engine fleet maintenance management.</t>
  </si>
  <si>
    <t>[Sun, Jianzhong; Sun, Yuanchu; Liu, He] Nanjing Univ Aeronaut &amp; Astronaut, Coll Civil Aviat, 29 Jiangning, Nanjing 210016, Jiangsu, Peoples R China; [Chen, Dan] Nanjing Inst Technol, Sch Automot &amp; Rail Transit, Nanjing, Jiangsu, Peoples R China</t>
  </si>
  <si>
    <t>Nanjing University of Aeronautics &amp; Astronautics; Nanjing Institute of Technology</t>
  </si>
  <si>
    <t>Sun, JZ (corresponding author), Nanjing Univ Aeronaut &amp; Astronaut, Coll Civil Aviat, 29 Jiangning, Nanjing 210016, Jiangsu, Peoples R China.</t>
  </si>
  <si>
    <t>sunjianzhong@nuaa.edu.cn</t>
  </si>
  <si>
    <t>National Natural Science Foundation of China [52072176, 61903185]; Natural Science Foundation of Jiangsu Province [BK20191014]</t>
  </si>
  <si>
    <t>National Natural Science Foundation of China(National Natural Science Foundation of China (NSFC)); Natural Science Foundation of Jiangsu Province(Natural Science Foundation of Jiangsu Province)</t>
  </si>
  <si>
    <t>The author(s) disclosed receipt of the following financial support for the research, authorship, and/or publication of this article: This work was supported by the National Natural Science Foundation of China (No. 52072176 and 61903185) and Natural Science Foundation of Jiangsu Province (BK20191014).</t>
  </si>
  <si>
    <t>SAGE PUBLICATIONS LTD</t>
  </si>
  <si>
    <t>LONDON</t>
  </si>
  <si>
    <t>1 OLIVERS YARD, 55 CITY ROAD, LONDON EC1Y 1SP, ENGLAND</t>
  </si>
  <si>
    <t>1748-006X</t>
  </si>
  <si>
    <t>1748-0078</t>
  </si>
  <si>
    <t>P I MECH ENG O-J RIS</t>
  </si>
  <si>
    <t>Proc. Inst. Mech. Eng. Part O-J. Risk Reliab.</t>
  </si>
  <si>
    <t>JUN</t>
  </si>
  <si>
    <t>SI</t>
  </si>
  <si>
    <t>1748006X221099767</t>
  </si>
  <si>
    <t>10.1177/1748006X221099767</t>
  </si>
  <si>
    <t>G2EX8</t>
  </si>
  <si>
    <t>WOS:000810980100001</t>
  </si>
  <si>
    <t>Mazloumi, SHH; Moini, A; Kermani, MAMA</t>
  </si>
  <si>
    <t>Mazloumi, Seyed Hesam Hosseinizadeh; Moini, Alireza; Kermani, Mehrdad Agha Mohammad Ali</t>
  </si>
  <si>
    <t>Designing synchronizer module in CMMS software based on lean smart maintenance and process mining</t>
  </si>
  <si>
    <t>Maintenance; Smart maintenance; Lean smart maintenance; Maintenance performance measurement; Performance measurement; Information systems; CMMS; EAM; Synchronization; Process mining</t>
  </si>
  <si>
    <t>PERFORMANCE-MEASUREMENT; PREDICTIVE MAINTENANCE; MANAGEMENT; INTEGRATION; FRAMEWORK; SYSTEMS; MODEL</t>
  </si>
  <si>
    <t>Purpose - New maintenance hypotheses such as lean smart maintenance emphasized internal integration. Since the maintenance process is not fully integrated with other business processes, it indicates that some of the problems in the maintenance process are caused by other departments. Additionally, nothing can be managed or improved without first measuring it. In order to enhance internal integration, this study developed a model that makes use of information systems data to examine synchronization and collaboration across departments engaged in maintenance operations. Design/methodology/approach - This research connects maintenance management and business process management through information systems. A conceptual module model based on CMMS is proposed that will use data which are already available in CMMS and, using process mining, will assess the level of synchronization between departments within an organization. Findings - This conceptual model will serve as a roadmap for creating better value-added CMMS software. This system operates as a performance measurement tool in three majors, including organizational analysis, workflow analysis and eventually, a future simulation of maintenance processes. This module will serve as a decision support system, highlighting opportunities for improvement in maintenance processes. Originality/value - A practical guideline is provided for the future development of CMMSs and their enhancement to intelligence. All assumptions are based on maintenance theories, techniques for measuring maintenance performance and business process management and process mining.</t>
  </si>
  <si>
    <t>[Mazloumi, Seyed Hesam Hosseinizadeh; Moini, Alireza; Kermani, Mehrdad Agha Mohammad Ali] Iran Univ Sci &amp; Technol, Fac Management Econ &amp; Progress Engn, Tehran, Iran</t>
  </si>
  <si>
    <t>Iran University Science &amp; Technology</t>
  </si>
  <si>
    <t>Kermani, MAMA (corresponding author), Iran Univ Sci &amp; Technol, Fac Management Econ &amp; Progress Engn, Tehran, Iran.</t>
  </si>
  <si>
    <t>M_kermani@iust.ac.ir</t>
  </si>
  <si>
    <t>Agha Mohammad Ali Kermani, Mehrdad/AAH-7948-2019; moini, alireza/S-9310-2018</t>
  </si>
  <si>
    <t>Hosseinizadeh Mazluomi, Seyed Hesam/0000-0002-4790-8206</t>
  </si>
  <si>
    <t>[R01GM211022]</t>
  </si>
  <si>
    <t>The authors would like to pay special regards to Behfalab as a process mining tool vendor for funding support for this research under award number R01GM211022.</t>
  </si>
  <si>
    <t>APR 5</t>
  </si>
  <si>
    <t>10.1108/JQME-10-2021-0077</t>
  </si>
  <si>
    <t>MAY 2022</t>
  </si>
  <si>
    <t>D3VP5</t>
  </si>
  <si>
    <t>WOS:000799886800001</t>
  </si>
  <si>
    <t>Drozyner, P</t>
  </si>
  <si>
    <t>Drozyner, Przemyslaw</t>
  </si>
  <si>
    <t>The impact of the implementation of management system on the perception of role and tasks of maintenance services and effectiveness of their functioning</t>
  </si>
  <si>
    <t>Industrial maintenance; Maintenance performance; Maintenance function</t>
  </si>
  <si>
    <t>ANALYTIC HIERARCHY PROCESS; ENVIRONMENTAL IMPACTS; MODEL; OPPORTUNITIES; CHALLENGES; FRAMEWORK</t>
  </si>
  <si>
    <t>Purpose The first goal of the article was to examine how the perception of the role and scope of operation of maintenance services in the enterprise changes, depending on whether the company has an integrated management system (IMS), only a quality management system implemented in accordance with ISO 9001 and in the absence of a formal, certified management system. The second goal was to propose a model for assessing the quality of maintenance service functioning in enterprise with IMS implemented. Design/methodology/approach The author's experience of over 1,000 audits in enterprises in various industries: food, automotive, construction, petrochemical, electronic and so on was used in the work. The audits were carried out in three types of companies: which had IMSs (800 audits), which only had a system implementation certificate ISO 9001 (140 audits) and without any standardized management system implemented (so-called second-party audits, commissioned by the client of the audited company. Findings The most important conclusion is - the role of UR services in enterprises with the implemented IMS is much broader and goes beyond the classic framework for planning, implementation and settlement of maintenance and repair work. Maintenance is understood more broadly and includes in its scope also the safety of people and the environment, the efficiency of production and consumption of utilities as well as the quality of products and services. Maintenance issues include not only strictly technical aspects but also economic, logistic, legal and organizational and management aspects. Practical implications Research shows that enterprises, especially those with high technical and organizational culture, should not treat management systems as costs, but as a driving force for the implementation of new technologies, new organizational solutions and the development of employees' competences. Social implications Broad views on stakeholders of maintenance services (including employees, their families, control institutions) and their requirements make enterprises begin to see the need to maintain the so-called lifetime balance, as well as the safety and comfort of work of employees of these services. Originality/value The author did not find in literature any reports on studies of the impact of formal, certified management systems on the quality of maintenance services; this article shows that this impact is large and, above all, positive; with such a broad understanding of the role of maintenance, there is a need to develop a common platform for such seemingly distant concepts as machine technical condition or fatigue life versus cost accounting and quality management.</t>
  </si>
  <si>
    <t>[Drozyner, Przemyslaw] Univ Warmia &amp; Mazury, Olsztyn, Poland</t>
  </si>
  <si>
    <t>University of Warmia &amp; Mazury</t>
  </si>
  <si>
    <t>Drozyner, P (corresponding author), Univ Warmia &amp; Mazury, Olsztyn, Poland.</t>
  </si>
  <si>
    <t>przemyslaw.drozyner@uwm.edu.pl</t>
  </si>
  <si>
    <t>Drozyner, Przemyslaw/0000-0002-6125-8035</t>
  </si>
  <si>
    <t>APR 27</t>
  </si>
  <si>
    <t>10.1108/JQME-09-2019-0089</t>
  </si>
  <si>
    <t>APR 2020</t>
  </si>
  <si>
    <t>RU5NI</t>
  </si>
  <si>
    <t>WOS:000528887400001</t>
  </si>
  <si>
    <t>Najari, F</t>
  </si>
  <si>
    <t>Najari, Farid</t>
  </si>
  <si>
    <t>Preparation and Ranking Maintenance Strategy to Achieve of Physical Asset Management under Uncertainty by Numerical Decision-Making Methodology</t>
  </si>
  <si>
    <t>INDUSTRIAL ENGINEERING AND MANAGEMENT SYSTEMS</t>
  </si>
  <si>
    <t>Physical Asset Management; Optimum Maintenance Strategy; Uncertainty; Hybrid Decision Making; Methods</t>
  </si>
  <si>
    <t>OPTIMIZATION; MULTIMOORA; SELECTION</t>
  </si>
  <si>
    <t>The management of physical assets has become a popular field of study over recent years and is being acknowledged in multiple disciplines worldwide. In this project, research on Physical Asset Management (PAM), maintenance and decision making are presented. PAM is a complex subject and requires the participation of multiple disciplines in order to successfully manage physical assets. Moreover, the management of maintenance makes a big contribution in achieving successful PAM. Decision making is a core element to manage maintenance efficiently. Various methods and techniques can be used to aid the decision making process such as, using decision-making methods. In this project, the importance of decision making is researched, especially in maintenance related decisions. The purpose of this research is to select the best maintenance strategy in conditions of uncertainty using the hybrid decision methods including AHP-GRAY, TOPSIS-GRAY, WASPAS-G, MULTIMOORA-G, COPRAS-G, ARAS-G and EDAS-G. It is done in three phases. The first phase uses the AHP-GRAY method and identifies a critical asset, for the second phase, three WASPAS-G, MULTIMOORA-G, and EDAS-G techniques that prioritize identifiable assets. In the third step, the most optimal Maintenance strategy for each of the failure modes was performed using three techniques TOPSIS-G, COPRAS-G, ARAS-G. An evaluation and validation of the toolbox is done through the case study to conclude whether it has value in practice or not.</t>
  </si>
  <si>
    <t>[Najari, Farid] Kharazmi Univ, Dept Ind Engn, Fac Engn, Tehran, Iran</t>
  </si>
  <si>
    <t>Kharazmi University</t>
  </si>
  <si>
    <t>Najari, F (corresponding author), Kharazmi Univ, Dept Ind Engn, Fac Engn, Tehran, Iran.</t>
  </si>
  <si>
    <t>Farid.najari@gmail.com</t>
  </si>
  <si>
    <t>Najari, F/KJL-5803-2024</t>
  </si>
  <si>
    <t>najari, farid/0000-0002-2378-9484</t>
  </si>
  <si>
    <t>KOREAN INST INDUSTRIAL ENGINEERS</t>
  </si>
  <si>
    <t>SEOUL</t>
  </si>
  <si>
    <t>VICTORIA BLDG RM 509, 705-1 YEOKSAM-DONG, KANGNAM-GU, SEOUL, 135-080, SOUTH KOREA</t>
  </si>
  <si>
    <t>1598-7248</t>
  </si>
  <si>
    <t>2234-6473</t>
  </si>
  <si>
    <t>IND ENG MANAG SYST</t>
  </si>
  <si>
    <t>Ind. Eng. Manag. Syst.</t>
  </si>
  <si>
    <t>10.7232/iems.2023.22.4.363</t>
  </si>
  <si>
    <t>IP7Y3</t>
  </si>
  <si>
    <t>WOS:001167610600001</t>
  </si>
  <si>
    <t>Mancuso, A; Compare, M; Salo, A; Zio, E</t>
  </si>
  <si>
    <t>Mancuso, A.; Compare, M.; Salo, A.; Zio, E.</t>
  </si>
  <si>
    <t>Optimal Prognostics and Health Management-driven inspection and maintenance strategies for industrial systems</t>
  </si>
  <si>
    <t>Predictive maintenance; Prognostics and Health Management; Influence diagrams; Decision Programming; Value of Perfect Information; Gas turbine</t>
  </si>
  <si>
    <t>OPTIMIZATION; POLICIES; MODEL; INFORMATION; FRAMEWORK</t>
  </si>
  <si>
    <t>The performance of the Prognostics and Health Management (PHM) depends both on the functioning of the measurement acquisition system and on the actual state of the system being monitored. The dependencies between these systems must be considered when developing optimal inspection and maintenance strategies. This paper presents a methodology to support the definition maintenance strategies for PHM-equipped industrial systems. The methodology employs influence diagrams when seeking to maximize the expected utility of system operation. The optimization problem is solved by mixed-integer linear programming, subject to budget and technical constraints. Chance constraints can be also included, for instance to curtail risks based on measures such as the Value at Risk (VaR) and the Conditional Value at Risk (CVaR) of system operation. The viability of the methodology is demonstrated by optimizing the inspection and maintenance strategy for a gas turbine equipped with PHM solution. The computation of the Value of Perfect Information (VoPI) provides additional insights on maintenance management.</t>
  </si>
  <si>
    <t>[Mancuso, A.; Salo, A.] Aalto Univ, Dept Math &amp; Syst Anal, Espoo, Finland; [Zio, E.] PSL Res Univ, CRC, MINES ParisTech, Sophia Antipolis, France; [Mancuso, A.; Compare, M.; Zio, E.] Politecn Milan, Dipartimento Energia, Milan, Italy; [Compare, M.; Zio, E.] Aramis Srl, Milan, Italy</t>
  </si>
  <si>
    <t>Aalto University; Universite PSL; MINES ParisTech; Polytechnic University of Milan</t>
  </si>
  <si>
    <t>Mancuso, A (corresponding author), Aalto Univ, Dept Math &amp; Syst Anal, Espoo, Finland.</t>
  </si>
  <si>
    <t>alessandro.mancuso@aalto.fi</t>
  </si>
  <si>
    <t>Mancuso, Alessandro/V-6968-2017; Salo, Ahti/G-2412-2013</t>
  </si>
  <si>
    <t>Zio, Enrico/0000-0002-7108-637X</t>
  </si>
  <si>
    <t>project Platform Value Now - Strategic Research Council of the Academy of Finland [314207]; Academy of Finland (AKA) [314207] Funding Source: Academy of Finland (AKA)</t>
  </si>
  <si>
    <t>project Platform Value Now - Strategic Research Council of the Academy of Finland; Academy of Finland (AKA)(Research Council of Finland)</t>
  </si>
  <si>
    <t>The research has been supported by the project Platform Value Now, funded by the Strategic Research Council of the Academy of Finland (grant number 314207). The case study has been performed using Julia Programming language with the technical support of M.Sc. Juho Andelmin.</t>
  </si>
  <si>
    <t>10.1016/j.ress.2021.107536</t>
  </si>
  <si>
    <t>FEB 2021</t>
  </si>
  <si>
    <t>SV6DD</t>
  </si>
  <si>
    <t>Green Published, hybrid</t>
  </si>
  <si>
    <t>WOS:000663909400036</t>
  </si>
  <si>
    <t>Zhang, XQ; Jiang, H; Zheng, B; Li, ZS; Gao, HY</t>
  </si>
  <si>
    <t>Zhang, Xiaoqiang; Jiang, Hao; Zheng, Bo; Li, Zhoushuo; Gao, Huiying</t>
  </si>
  <si>
    <t>Optimal maintenance period and maintenance sequence planning under imperfect maintenance</t>
  </si>
  <si>
    <t>baggage handling system; imperfect maintenance; maintenance period; maintenance sequence optimization</t>
  </si>
  <si>
    <t>WARRANTY; SYSTEM; QUALITY</t>
  </si>
  <si>
    <t>Maintenance is essential for today's equipment or systems and maintenance costs account for a significant portion of the overall expenditure of devices. Maintenance period optimization and maintenance sequence planning are primary aspects of maintainability. To this end, this paper proposes an approach for maintenance period optimization and maintenance sequence planning, with the consideration of imperfect maintenance. A model of the total maintenance cost per unit time is set up, and the optimal time period for preventive maintenance is calculated. In addition, a new index is created to evaluate the maintenance efficiency of optimal maintenance sequences in different scenarios. The performance of the proposed method is validated by a maintenance sequence optimization and maintenance sequence planning of baggage handling systems. The results indicate that the proposed method is efficient and contributes to maintenance cost savings.</t>
  </si>
  <si>
    <t>[Zhang, Xiaoqiang; Jiang, Hao; Zheng, Bo] Civil Aviat Flight Univ China, Inst Elect &amp; Elect Engn, Guanghan, Peoples R China; [Zhang, Xiaoqiang] Beihang Univ, Sch Elect &amp; Informat Engn, Beijing, Peoples R China; [Li, Zhoushuo] Civil Aviat Flight Univ China, Air Traff Management Coll, Guanghan, Peoples R China; [Gao, Huiying] Civil Aviat Flight Univ China, Aviat Engn Inst, Guanghan 618307, Peoples R China</t>
  </si>
  <si>
    <t>Civil Aviation Flight University of China; Beihang University; Civil Aviation Flight University of China; Civil Aviation Flight University of China</t>
  </si>
  <si>
    <t>Gao, HY (corresponding author), Civil Aviat Flight Univ China, Aviat Engn Inst, Guanghan 618307, Peoples R China.</t>
  </si>
  <si>
    <t>gaohuiying0707@126.com</t>
  </si>
  <si>
    <t>姜, 姜皓/JRX-6602-2023</t>
  </si>
  <si>
    <t>National Natural Science Foundation of China [61822102, 71731001]; Sichuan Science and Technology Program [2021YJ0519]; General Program of Civil Aviation Flight University of China [J2021-032, J2021-034]</t>
  </si>
  <si>
    <t>National Natural Science Foundation of China(National Natural Science Foundation of China (NSFC)); Sichuan Science and Technology Program; General Program of Civil Aviation Flight University of China</t>
  </si>
  <si>
    <t>National Natural Science Foundation of China, Grant/Award Numbers: 61822102, 71731001; Sichuan Science and Technology Program, Grant/Award Number: 2021YJ0519; General Program of Civil Aviation Flight University of China, Grant/Award Numbers: J2021-032, J2021-034</t>
  </si>
  <si>
    <t>10.1002/qre.3192</t>
  </si>
  <si>
    <t>AUG 2022</t>
  </si>
  <si>
    <t>L6XH3</t>
  </si>
  <si>
    <t>WOS:000847113900001</t>
  </si>
  <si>
    <t>Al-Refaie, A; Almowas, H</t>
  </si>
  <si>
    <t>Al-Refaie, Abbas; Almowas, Hiba</t>
  </si>
  <si>
    <t>Multi-objective maintenance planning under preventive maintenance</t>
  </si>
  <si>
    <t>Optimization; Preventive maintenance; Corrective; Series system</t>
  </si>
  <si>
    <t>INTEGRATED PRODUCTION; SINGLE-MACHINE; RELIABILITY; OPTIMIZATION; AVAILABILITY; COST; PM</t>
  </si>
  <si>
    <t>Purpose This research developed and examined a mathematical model for concurrent corrective and preventive maintenance policy of a system of series configuration. Design/methodology/approach A mathematical model was developed to maximize availability, and maximal net revenues, and minimal cost. Different probability distributions for time to failure and time to repair were considered. The model was then implemented on a real case study, which was studied under corrective maintenance policy and concurrent corrective and preventive policy. Findings A comparison between results at current policy (90 days) and optimal period of corrective and preventive policy was conducted. It was found that availability, profit was increased from 94.4% and $20.091 - 96.5% and $24.803, respectively. Further, the cost was reduced from $1104.8 to $797.22. Research limitations/implications The proposed optimization model can be adopted in planning maintenance activities for a single machine as well as for a system of series configuration machines under various probability distributions. Practical implications The proposed model can significantly enhance performance of the production as well as maintenance systems. In addition, the developed model may support maintenance engineering in effective management of maintenance resources and the performance of its activities. Originality/value This research considers a mathematical model with multi-objective functions and distinct probability distributions for time-to-failure for a system of series machines. Moreover, appropriate approximation solution was deployed to find integral of some functions. Finally, it provides maintenance planning for a single machine or a series of machines.</t>
  </si>
  <si>
    <t>[Al-Refaie, Abbas] Univ Jordan, Ind Engn, Amman, Jordan; [Almowas, Hiba] Univ Jordan, Amman, Jordan</t>
  </si>
  <si>
    <t>University of Jordan; University of Jordan</t>
  </si>
  <si>
    <t>Al-Refaie, A (corresponding author), Univ Jordan, Ind Engn, Amman, Jordan.</t>
  </si>
  <si>
    <t>abbas.alrefai@ju.edu.jo</t>
  </si>
  <si>
    <t>Al-Refaie, Abbas/C-8170-2015</t>
  </si>
  <si>
    <t>Al-Refaie, Abbas/0000-0002-3291-0805</t>
  </si>
  <si>
    <t>MAR 7</t>
  </si>
  <si>
    <t>10.1108/JQME-05-2021-0035</t>
  </si>
  <si>
    <t>9P0UE</t>
  </si>
  <si>
    <t>WOS:000722886300001</t>
  </si>
  <si>
    <t>Hatsey, NH; Birkie, SE</t>
  </si>
  <si>
    <t>Hatsey, Niguss Haregot; Birkie, Seyoum Eshetu</t>
  </si>
  <si>
    <t>Total cost optimization of submersible irrigation pump maintenance using simulation</t>
  </si>
  <si>
    <t>Corrective maintenance; Maintenance cost management; Maintenance optimization; Optimal control; Replacement rule</t>
  </si>
  <si>
    <t>LIFE-CYCLE COST; SYSTEM; MODEL; FRAMEWORK; FAILURE; REPAIR; RISK</t>
  </si>
  <si>
    <t>Purpose The unpredictable failure of submersible pump (SP) in groundwater irrigation systems has considerable negative economic consequences. The purpose of this paper is to develop a total cost minimization model that aims to optimize maintenance actions for SP. It reports on simulation-based stochastic scenario analysis for evaluating total cost of maintenance. Design/methodology/approach Stochastic simulation modeling has been performed for failure of pump motor and corresponding maintenance. Five alternative scenarios were compared for total cost over 15 years starting with empirical data from a northern Ethiopian site. Downtime probabilities and spare part supply uncertainty have been considered in the mathematical model. The model is also validated using multiple ways. Findings The scenario comparisons indicate that despite the challenges of accessing SP doing one motor rewinding for each purchased pump system upon failure (preferably with shorter supply lead time and variability) seems to result in lowest overall costs for the time horizon considered. Practical implications The model should help to make informed practical decision regarding planning and management of SP failure systems in a developing economy context. This should, therefore, lead to better revenue for smallholder farmers and improved food security in similar context. Originality/value There are limited number of publications that consider the life cycle costs with stochastic analysis when it comes to maintenance of SPs. To the best of the authors' knowledge, no paper has previously directly addressed maintenance cost optimization for SP in irrigation. The study could be used to develop more sophisticated stochastic models with more efficient algorithms and consideration of additional sources of stochasticity for such system.</t>
  </si>
  <si>
    <t>[Hatsey, Niguss Haregot] Mekelle Univ, Sch Mech &amp; Ind Engn, Mekelle, Ethiopia; [Birkie, Seyoum Eshetu] KTH Royal Inst Technol, Dept Sustainable Prod Dev, Stockholm, Sweden</t>
  </si>
  <si>
    <t>Mekelle University; Royal Institute of Technology</t>
  </si>
  <si>
    <t>Hatsey, NH (corresponding author), Mekelle Univ, Sch Mech &amp; Ind Engn, Mekelle, Ethiopia.</t>
  </si>
  <si>
    <t>nhpg23@gmail.com; seyoume@kth.se</t>
  </si>
  <si>
    <t>hatsey, niguss/AAT-3239-2020; Birkie, Seyoum/G-7213-2014</t>
  </si>
  <si>
    <t>Birkie, Seyoum Eshetu/0000-0002-4123-0721; Hatsey, Niguss Haregot/0000-0003-0532-3119</t>
  </si>
  <si>
    <t>FEB 16</t>
  </si>
  <si>
    <t>10.1108/JQME-08-2018-0064</t>
  </si>
  <si>
    <t>JUN 2020</t>
  </si>
  <si>
    <t>QK8PX</t>
  </si>
  <si>
    <t>WOS:000541628600001</t>
  </si>
  <si>
    <t>Syamsundar, A; Naikan, VNA; Wu, SM</t>
  </si>
  <si>
    <t>Syamsundar, A.; Naikan, V. N. A.; Wu, Shaomin</t>
  </si>
  <si>
    <t>Estimating maintenance effectiveness of a repairable system under time-based preventive maintenance</t>
  </si>
  <si>
    <t>COMPUTERS &amp; INDUSTRIAL ENGINEERING</t>
  </si>
  <si>
    <t>Repairable system; Preventive maintenance; Corrective maintenance; PM and CM models; Imperfect repair; Maintenance effectiveness</t>
  </si>
  <si>
    <t>IMPERFECT REPAIR; INTENSITY; POLICY; MODEL</t>
  </si>
  <si>
    <t>Corrective maintenance (CM) is carried out to correct failures while preventive maintenance (PM) is to avert failure. They both play an important role in asset management. Accurately estimating the effectiveness of PM is needed as it has an impact on system health management. Given failure times and maintenance related data, it is possible to estimate the effectiveness of maintenance. This paper proposes PM and CM models based on the different combinations of the type of maintenance carried out, estimates the parameters in those models, simulates their failure intensities and then studies the maintenance effectiveness using maintenance data of industrial equipment.</t>
  </si>
  <si>
    <t>[Syamsundar, A.] Visakhapatnam Steel Plant, Res &amp; Dev Ctr, Visakhapatnam, Andhra Pradesh, India; [Naikan, V. N. A.] Indian Inst Technol, Subir Chowdhury Sch Qual &amp; Reliabil, Kharagpur, W Bengal, India; [Wu, Shaomin] Univ Kent, Kent Business Sch, Canterbury CT2 7FS, Kent, England</t>
  </si>
  <si>
    <t>Indian Institute of Technology System (IIT System); Indian Institute of Technology (IIT) - Kharagpur; University of Kent</t>
  </si>
  <si>
    <t>Syamsundar, A (corresponding author), Visakhapatnam Steel Plant, Res &amp; Dev Ctr, Visakhapatnam, Andhra Pradesh, India.</t>
  </si>
  <si>
    <t>syamsundar.annamraju@gmail.com</t>
  </si>
  <si>
    <t>Wu, Shaomin/A-1940-2010</t>
  </si>
  <si>
    <t>Wu, Shaomin/0000-0001-9786-3213</t>
  </si>
  <si>
    <t>PERGAMON-ELSEVIER SCIENCE LTD</t>
  </si>
  <si>
    <t>THE BOULEVARD, LANGFORD LANE, KIDLINGTON, OXFORD OX5 1GB, ENGLAND</t>
  </si>
  <si>
    <t>0360-8352</t>
  </si>
  <si>
    <t>1879-0550</t>
  </si>
  <si>
    <t>COMPUT IND ENG</t>
  </si>
  <si>
    <t>Comput. Ind. Eng.</t>
  </si>
  <si>
    <t>10.1016/j.cie.2021.107278</t>
  </si>
  <si>
    <t>APR 2021</t>
  </si>
  <si>
    <t>Computer Science, Interdisciplinary Applications; Engineering, Industrial</t>
  </si>
  <si>
    <t>Computer Science; Engineering</t>
  </si>
  <si>
    <t>RY3WK</t>
  </si>
  <si>
    <t>WOS:000647845400048</t>
  </si>
  <si>
    <t>Sayyah, A; Abbasi-Pooya, A; Kazemzadeh, RB</t>
  </si>
  <si>
    <t>Sayyah, Ali; Abbasi-Pooya, Amin; Kazemzadeh, Reza Baradaran</t>
  </si>
  <si>
    <t>A new multi-objective-multi-criteria model for determining physical asset management strategy based on maintenance and procurement factors</t>
  </si>
  <si>
    <t>EUROPEAN JOURNAL OF INDUSTRIAL ENGINEERING</t>
  </si>
  <si>
    <t>physical asset management; PAM; maintenance planning; contract management; reliability; availability; equipment management</t>
  </si>
  <si>
    <t>OPTIMAL PREVENTIVE MAINTENANCE; 2-DIMENSIONAL WARRANTY; LEASED EQUIPMENT; OPTIMIZATION; SYSTEM; POLICY; PROMETHEE; PRODUCTS; CONTRACT; DESIGN</t>
  </si>
  <si>
    <t>In this research, a new multi-objective-multi-criteria model is presented to determine physical asset management strategy for capital equipment. Initially, a multi-objective model is formulated to determine non-dominated strategies considering cost, reliability, and availability as objective functions. Secondly, the strategies will be ranked based on decision maker preferences and restrictions using a PROMETHEE-entropy module. Each strategy is a vector of procurement variables (dealer-manufacturer and contract type) and maintenance planning variables (PM action level, PM interval and the degree of upgrade action). The multi-objective model, which is a new nonlinear mixed integer optimisation model, is solved using a customised NSGA-II. Buy, lease, rent and upgrading a used equipment are contract types that are considered. The model is used in a real case for determination of asset management strategy for a truck to be used in a mine for 48 months. A piece of software is designed for simplification of using the model.</t>
  </si>
  <si>
    <t>[Sayyah, Ali] Univ Qom, Engn Fac, Dept Ind Engn, Qom, Iran; [Abbasi-Pooya, Amin; Kazemzadeh, Reza Baradaran] Tarbiat Modares Univ, Fac Ind &amp; Syst Engn, Tehran, Iran</t>
  </si>
  <si>
    <t>University of Qom; Tarbiat Modares University</t>
  </si>
  <si>
    <t>Sayyah, A (corresponding author), Univ Qom, Engn Fac, Dept Ind Engn, Qom, Iran.</t>
  </si>
  <si>
    <t>sayyah.ali@gmail.com; a.abbasipooya@modares.ac.ir; rkazem@modares.ac.ir</t>
  </si>
  <si>
    <t>Baradaran Kazemzadeh, Reza/X-7766-2019</t>
  </si>
  <si>
    <t>Abbasi-Pooya, Amin/0000-0002-1456-948X; Baradaran Kazemzadeh, Reza/0000-0001-5990-829X</t>
  </si>
  <si>
    <t>INDERSCIENCE ENTERPRISES LTD</t>
  </si>
  <si>
    <t>GENEVA</t>
  </si>
  <si>
    <t>WORLD TRADE CENTER BLDG, 29 ROUTE DE PRE-BOIS, CASE POSTALE 856, CH-1215 GENEVA, SWITZERLAND</t>
  </si>
  <si>
    <t>1751-5254</t>
  </si>
  <si>
    <t>1751-5262</t>
  </si>
  <si>
    <t>EUR J IND ENG</t>
  </si>
  <si>
    <t>Eur. J. Ind. Eng.</t>
  </si>
  <si>
    <t>10.1504/EJIE.2021.114019</t>
  </si>
  <si>
    <t>RJ7QQ</t>
  </si>
  <si>
    <t>WOS:000637797100001</t>
  </si>
  <si>
    <t>Sigsgaard, KV; Soleymani, I; Mortensen, NH; Khalid, W; Hansen, KB</t>
  </si>
  <si>
    <t>Sigsgaard, Kristoffer Vandrup; Soleymani, Iman; Mortensen, Niels Henrik; Khalid, Waqas; Hansen, Kasper Barslund</t>
  </si>
  <si>
    <t>Toward a framework for a maintenance architecture</t>
  </si>
  <si>
    <t>Maintenance optimization; Maintenance performance; Maintenance strategies; Decision support system</t>
  </si>
  <si>
    <t>Purpose This paper aims to investigate how the product architecture and service architecture methodology can be applied in strategic maintenance optimization to reduce the non-value-adding variance of maintenance, decrease the complexity and ensure alignment in maintenance practices in asset-intensive companies. The proposed maintenance architecture model will make it possible to make data-driven decisions regarding how the equipment should be grouped and maintained. Design/methodology/approach The research approach is considered exploratory, and the main research strategy is a case study. The maintenance architecture model is developed based on the product architecture methodology and then tested in three different cases in the oil and gas sector. Findings Through the maintenance architecture model, it is possible to pair a quantitative data-driven approach with qualitative understanding of dependencies between equipment, maintenance actions and maintenance work management processes, enabling a more holistic and top-down data-driven approach to improving maintenance, than what currently exists in literature. Originality/value The proposed model provides a contribution to the understanding of maintenance and is positioned at a detailed level, different from other maintenance improvement models. This model is focused on the main drivers of maintenance that can be utilized at the strategic level compared to optimization of maintenance for individual pieces of equipment.</t>
  </si>
  <si>
    <t>[Sigsgaard, Kristoffer Vandrup; Soleymani, Iman; Mortensen, Niels Henrik; Khalid, Waqas; Hansen, Kasper Barslund] Tech Univ Denmark, Dept Mech Engn, Lyngby, Denmark</t>
  </si>
  <si>
    <t>Sigsgaard, KV (corresponding author), Tech Univ Denmark, Dept Mech Engn, Lyngby, Denmark.</t>
  </si>
  <si>
    <t>krvsig@mek.dtu.dk</t>
  </si>
  <si>
    <t>Hansen, Kasper/AIC-8012-2022; khalid, waqas/U-3480-2017</t>
  </si>
  <si>
    <t>Mortensen, Niels Henrik/0000-0002-1886-5358; Soleymani, Iman/0000-0002-1306-7816; khalid, waqas/0000-0002-7226-4713; Hansen, Kasper Barslund/0000-0003-4146-4824; Sigsgaard, Kristoffer Vandrup/0000-0002-9255-6270</t>
  </si>
  <si>
    <t>Department of Mechanical Engineering at Technical University of Denmark; Danish Hydrocarbon Research and Technology Centre</t>
  </si>
  <si>
    <t>The authors would like to thank Danish Hydrocarbon Research and Technology Centre and Department of Mechanical Engineering at Technical University of Denmark for funding this research.</t>
  </si>
  <si>
    <t>MAR 28</t>
  </si>
  <si>
    <t>10.1108/JQME-01-2020-0004</t>
  </si>
  <si>
    <t>MAR 2021</t>
  </si>
  <si>
    <t>0C7CW</t>
  </si>
  <si>
    <t>Green Submitted</t>
  </si>
  <si>
    <t>WOS:000634569900001</t>
  </si>
  <si>
    <t>Catt, PJ</t>
  </si>
  <si>
    <t>Catt, Philip James</t>
  </si>
  <si>
    <t>A tailorable framework of practices for maintenance delivery</t>
  </si>
  <si>
    <t>Scheduling; Information management; Maintenance planning; Industrial maintenance; Maintenance process; Work order</t>
  </si>
  <si>
    <t>Purpose This paper aims to describe the development of a tailorable framework of practices for maintenance delivery (MD) and present a range of examples to demonstrate the tailoring process. The framework covers the entire scope of MD in detail, including several related subjects where significant business process interaction occurs. It offers a wide range of optional practices throughout, complete with expert guidance to enable tailoring based on the business context. Design/methodology/approach The framework was developed in two stages: firstly, via a review of existing MD processes from the literature to establish a preliminary version; this was then developed further via a Delphi study utilising the opinion of experts from industry to validate, critique and improve the initial framework design. Findings The completed framework was implemented and tested by the industrial sponsor of this research and was found to deliver significant improvement to their MD practices. Practical implications The tailorable nature of the framework means that it can be utilised by any business to design an MD process that is fully effective within their specific context. Alongside a tailored MD process, the framework will also generate a fully aligned implementation specification for the supporting computerised maintenance management system (CMMS), which is also tailored according to the same contextual requirements. This will enable the end user of the framework to procure, implement and configure a CMMS that has all of the functionality required to fully support their business requirements. Originality/value Innovation is delivered by combining a novel business process design tool with a software specification tool to solve a common industry problem (i.e. poor CMMS implementation).</t>
  </si>
  <si>
    <t>[Catt, Philip James] Univ Warwick, Warwick Mfg Grp, Coventry, W Midlands, England</t>
  </si>
  <si>
    <t>University of Warwick</t>
  </si>
  <si>
    <t>Catt, PJ (corresponding author), Univ Warwick, Warwick Mfg Grp, Coventry, W Midlands, England.</t>
  </si>
  <si>
    <t>philcatt@hotmail.com</t>
  </si>
  <si>
    <t>EPSRC (Engineering and Physical Sciences Research Council, UK)</t>
  </si>
  <si>
    <t>EPSRC (Engineering and Physical Sciences Research Council, UK)(UK Research &amp; Innovation (UKRI)Engineering &amp; Physical Sciences Research Council (EPSRC))</t>
  </si>
  <si>
    <t>The work described in this paper was performed as part of an Engineering Doctorate degree undertaken at the University of Warwick, which was sponsored by the lead author's company and the EPSRC (Engineering and Physical Sciences Research Council, UK).</t>
  </si>
  <si>
    <t>10.1108/JQME-03-2018-0023</t>
  </si>
  <si>
    <t>JAN 2021</t>
  </si>
  <si>
    <t>WOS:000607787500001</t>
  </si>
  <si>
    <t>Polenghi, A; Roda, I; Macchi, M; Pozzetti, A</t>
  </si>
  <si>
    <t>Polenghi, Adalberto; Roda, Irene; Macchi, Marco; Pozzetti, Alessandro</t>
  </si>
  <si>
    <t>A methodology to boost data-driven decision-making process for a modern maintenance practice</t>
  </si>
  <si>
    <t>PRODUCTION PLANNING &amp; CONTROL</t>
  </si>
  <si>
    <t>Data; information; methodology; data model; maintenance; asset management</t>
  </si>
  <si>
    <t>DESIGN SCIENCE RESEARCH; ASSET MANAGEMENT; INFORMATION-SYSTEMS; CONCEPTUAL-FRAMEWORK; INDUSTRY 4.0; TECHNOLOGY; KNOWLEDGE; SCENARIOS; SERVICES</t>
  </si>
  <si>
    <t>Maintenance is evolving due to the double-sided influence of the Asset Management paradigm and digitalization. In this evolution, assessing the maintenance management process status in terms of process completeness, information and data completeness and integration is paramount to boost reliable data-driven decision-making. Grounding on Design Science Research, a methodology is realized to favour the comparison of two data models, a reference one and a company-specific one, used as a means to evaluate the process status. In particular, the methodology embeds a reference data model for the maintenance management process. Both methodology and data model are artefacts tested and refined during action research in an automotive company willing to improve the maintenance management process. The application of both artefacts demonstrates that the company is facilitated in planning improvement actions for various time horizons to foster a modern maintenance practice whose decision-making is more data-driven.</t>
  </si>
  <si>
    <t>[Polenghi, Adalberto; Roda, Irene; Macchi, Marco; Pozzetti, Alessandro] Politecn Milan, Dept Management Econ &amp; Ind Engn, Via Lambruschini 4-B, I-20156 Milan, Italy; [Macchi, Marco] Politecn Milan, Dipartimento Ingn Gest, Milan, Italy; [Pozzetti, Alessandro] Politecn Milan, Sch Management, Milan, Italy</t>
  </si>
  <si>
    <t>Polytechnic University of Milan; Polytechnic University of Milan; Polytechnic University of Milan</t>
  </si>
  <si>
    <t>Polenghi, A (corresponding author), Politecn Milan, Dept Management Econ &amp; Ind Engn, Via Lambruschini 4-B, I-20156 Milan, Italy.</t>
  </si>
  <si>
    <t>adalberto.polenghi@polimi.it</t>
  </si>
  <si>
    <t>Polenghi, Adalberto/AAG-9116-2020</t>
  </si>
  <si>
    <t>Polenghi, Adalberto/0000-0002-3112-1775</t>
  </si>
  <si>
    <t>0953-7287</t>
  </si>
  <si>
    <t>1366-5871</t>
  </si>
  <si>
    <t>PROD PLAN CONTROL</t>
  </si>
  <si>
    <t>Prod. Plan. Control</t>
  </si>
  <si>
    <t>OCT 26</t>
  </si>
  <si>
    <t>10.1080/09537287.2021.2010823</t>
  </si>
  <si>
    <t>DEC 2021</t>
  </si>
  <si>
    <t>T6RP6</t>
  </si>
  <si>
    <t>WOS:000728646500001</t>
  </si>
  <si>
    <t>Chen, LW; Cheng, CC; Dui, HY; Xing, LD</t>
  </si>
  <si>
    <t>Chen, Liwei; Cheng, Chunchun; Dui, Hongyan; Xing, Liudong</t>
  </si>
  <si>
    <t>Maintenance cost-based importance analysis under different maintenance strategies</t>
  </si>
  <si>
    <t>Reliability; Maintenance strategy; Importance; Maintenance cost-based importance measure</t>
  </si>
  <si>
    <t>MULTISTATE SYSTEMS; PREVENTIVE MAINTENANCE; OPTIMIZATION; RELIABILITY; PERFORMANCE</t>
  </si>
  <si>
    <t>As system components and their interactions become more and more complex, system reliability problems become increasingly prominent. In the reliability research, component importance measures have been widely used as an important decision-making aid index. Particularly, importance measures have been used in designing or selecting the optimal maintenance strategy. However, the practical factor of maintenance cost is not comprehensively considered in the existing importance analysis. This paper proposes new importance measures based on two types of maintenance costs under different maintenance strategies, including the failure-triggered replacement strategy that replaces damaged components, the age-based replacement strategy where a component is preventively replaced and when it has been used for a certain period of time, and the hybrid strategy that integrates the former two strategies. Methods for computing the proposed maintenance cost-based importance measures for series systems and parallel systems are given. A case study of a propeller plane system is provided to illustrate and validate the proposed method.</t>
  </si>
  <si>
    <t>[Chen, Liwei; Cheng, Chunchun] Zhengzhou Univ, Sch Elect Engn, Zhengzhou 450001, Peoples R China; [Dui, Hongyan] Zhengzhou Univ, Sch Management Engn, Zhengzhou 450001, Peoples R China; [Xing, Liudong] Univ Massachusetts, Dept Elect &amp; Comp Engn, Dartmouth, MA 02747 USA</t>
  </si>
  <si>
    <t>Zhengzhou University; Zhengzhou University; University of Massachusetts System; University Massachusetts Dartmouth</t>
  </si>
  <si>
    <t>Dui, HY (corresponding author), Zhengzhou Univ, Kexue Rd, Zhengzhou 450001, Peoples R China.</t>
  </si>
  <si>
    <t>duihongyan@zzu.edu.cn</t>
  </si>
  <si>
    <t>Xing, Liudong/AAG-9599-2020</t>
  </si>
  <si>
    <t>Dui, Hongyan/0000-0002-2277-6454; Xing, Liudong/0000-0003-1606-1644</t>
  </si>
  <si>
    <t>National Natural Science Foundation of China [72071182, 61807031, U1904211]; Ministry of education's humanities and social sciences planning fund [20YJA630012]; Program for Science&amp;Technology Innovation Talents in Universities of Henan Province [22HASTIT022]; Program for Young Backbone Teachers in Universities of Henan Province [2021GGJS007]; Key Science and Technology Program of Henan Province [222102520019, 132102210560, 162102210004]; Key Science and Technology Special Projects of Henan Province [201111210800]</t>
  </si>
  <si>
    <t>National Natural Science Foundation of China(National Natural Science Foundation of China (NSFC)); Ministry of education's humanities and social sciences planning fund; Program for Science&amp;Technology Innovation Talents in Universities of Henan Province; Program for Young Backbone Teachers in Universities of Henan Province; Key Science and Technology Program of Henan Province; Key Science and Technology Special Projects of Henan Province</t>
  </si>
  <si>
    <t>The authors gratefully acknowledge the financial supports for this research from the National Natural Science Foundation of China (nos. 72071182, 61807031, U1904211), the Ministry of education's humanities and social sciences planning fund (no. 20YJA630012), the Program for Science&amp;Technology Innovation Talents in Universities of Henan Province (no. 22HASTIT022), the Program for Young Backbone Teachers in Universities of Henan Province (no. 2021GGJS007), Key Science and Technology Program of Henan Province (nos. 222102520019, 132102210560, 162102210004), and Key Science and Technology Special Projects of Henan Province (no. 201111210800).</t>
  </si>
  <si>
    <t>10.1016/j.ress.2022.108435</t>
  </si>
  <si>
    <t>MAR 2022</t>
  </si>
  <si>
    <t>ZW9ZK</t>
  </si>
  <si>
    <t>WOS:000771562000045</t>
  </si>
  <si>
    <t>Hadri, O; Prescott, D</t>
  </si>
  <si>
    <t>Hadri, Omar; Prescott, Darren</t>
  </si>
  <si>
    <t>Modular asset management framework based on Petri-net formalisations and risk-aware maintenance</t>
  </si>
  <si>
    <t>Probabilistic risk analysis; Petri net; Risk -based maintenance; Complex system modelling; Asset management modelling framework; Nuclear systems licence renewal</t>
  </si>
  <si>
    <t>DEGRADATION; RELIABILITY; SYSTEMS; SUBJECT</t>
  </si>
  <si>
    <t>Probabilistic risk analysis (PRA) is fundamental in safety assessment. Current PRA tools face notable limitations for complex systems, such as the heavily reliance on historical failure data. Moreover, existing tools cannot replicate complex asset management strategies easily, leading to inefficiency when analysing a multitude of scenarios. This paper addresses these limitations by introducing a Coloured Hybrid Petri Net (CHPN) framework for the PRA of complex systems. The framework integrates a hybrid system to capture the complex nature of degradation. Moreover, unlike other tools, the framework is modular. This provides a flexible approach to scenario modelling and ensures a more accurate understanding of the system. This paper also investigates the effect of maintenance policy on system performance. The paper evaluates condition-based maintenance (CBM) to two-levels of risk-based maintenance (RBM). The paper also presents a risk-aware policy that integrates a systemlevel RBM and CBM to capture the dynamic between components condition, health and their influence on system performance. This ensures a holistic view of system's safety and reliability. By integrating advanced modelling techniques and maintenance policies, the CHPN framework provides a new dimension to PRA to enable more accurate risk assessments, informed asset management strategies, and enhanced safety assurance for critical infrastructure.</t>
  </si>
  <si>
    <t>[Hadri, Omar; Prescott, Darren] Univ Nottingham, Resilience Engn Res Grp, Nottingham, England</t>
  </si>
  <si>
    <t>University of Nottingham</t>
  </si>
  <si>
    <t>Prescott, D (corresponding author), Univ Nottingham, Resilience Engn Res Grp, Nottingham, England.</t>
  </si>
  <si>
    <t>Omar.Hadri@hotmail.co.uk; Darren.Prescott@nottingham.ac.uk</t>
  </si>
  <si>
    <t>Prescott, Darren/0000-0002-8501-2937</t>
  </si>
  <si>
    <t>Lloyd 's Register Foundation [G0080]</t>
  </si>
  <si>
    <t>Lloyd 's Register Foundation</t>
  </si>
  <si>
    <t>This work was supported by Lloyd 's Register Foundation, a chari- table foundation in the U.K. helping to protect life and property by supporting engineering -related education, public engagement, and the application of research. Grant number G0080.</t>
  </si>
  <si>
    <t>10.1016/j.ress.2023.109828</t>
  </si>
  <si>
    <t>DZ4N5</t>
  </si>
  <si>
    <t>WOS:001135904500001</t>
  </si>
  <si>
    <t>Tanhaeean, M; Ghaderi, SF; Sheikhalishahi, M</t>
  </si>
  <si>
    <t>Tanhaeean, M.; Ghaderi, S. F.; Sheikhalishahi, M.</t>
  </si>
  <si>
    <t>A decision-making framework for optimal maintenance management: An integrated simulation-mathematical programming-expert system approach</t>
  </si>
  <si>
    <t>Infrastructure systems; Optimum maintenance program; Simulation; Mathematical modeling; Expert system</t>
  </si>
  <si>
    <t>PREVENTIVE MAINTENANCE; MODEL; RELIABILITY; SUPPORT; ACCIDENTS; COST</t>
  </si>
  <si>
    <t>In this study, an integrated simulation- mathematical programming- expert system approach is proposed to develop an optimal solution for maintenance management in a complex public infrastructure system. As the first step, a model of maintenance system is made through a computerized simulation with respect to the collected data on maintenance programs and unexpected failures. Then, the Taguchi method is adopted to develop different scenarios for each of which a precise measurement of cost and reliability based on customer dissatisfaction rate (i.e. modified reliability) is made. Regression method is applied to observe the association of components' maintenance workload with cost and modified- reliability. After that, the best solution for maintenance management is achieved by developing a mathematical model, with the aim of reliability improvement and cost savings. Finally, after identifying the most significant components in terms of cost and modified- reliability by sensitive analysis, the maintenance actions taken during the program are determined using an expert system. Results demonstrated that the optimization model Outdo Taguchi scenarios achieved the optimum one as it met both targets simultaneously. Having determined the significant components of the system and enhanced the methodology by signaling maintenance specialists to devote additional attention to them, it can be especially helpful in assisting administrators in lowering the accident rate arising from the shortcomings in maintenance plans.</t>
  </si>
  <si>
    <t>[Tanhaeean, M.; Ghaderi, S. F.; Sheikhalishahi, M.] Univ Tehran, Coll Engn, Sch Ind Engn, Tehran, Iran</t>
  </si>
  <si>
    <t>University of Tehran</t>
  </si>
  <si>
    <t>Sheikhalishahi, M (corresponding author), Univ Tehran, Coll Engn, Sch Ind Engn, Tehran, Iran.</t>
  </si>
  <si>
    <t>m.alishahi@ut.ac.ir</t>
  </si>
  <si>
    <t>ghaderi, S.f/S-3944-2018; Sheikhalishahi, Mohammad/T-6032-2018</t>
  </si>
  <si>
    <t>Tanhaeean, Mehrab/0000-0001-5781-9904; Sheikhalishahi, Mohammad/0000-0002-4134-9263</t>
  </si>
  <si>
    <t>10.1016/j.cie.2023.109671</t>
  </si>
  <si>
    <t>OCT 2023</t>
  </si>
  <si>
    <t>W9TD4</t>
  </si>
  <si>
    <t>WOS:001094974000001</t>
  </si>
  <si>
    <t>Cai, BP; Wang, YD; Zhang, YP; Liu, YL; Ge, WF; Li, RK; Liu, YH; Liu, GJ</t>
  </si>
  <si>
    <t>Cai, Baoping; Wang, Yuandong; Zhang, Yanping; Liu, Yiliu; Ge, Weifeng; Li, Rongkang; Liu, Yonghong; Liu, Guijie</t>
  </si>
  <si>
    <t>Condition-based maintenance method for multi-component system based on RUL prediction: Subsea tree system as a case study</t>
  </si>
  <si>
    <t>Condition -based maintenance; Multi -component system; Spare parts management; Imperfect maintenance</t>
  </si>
  <si>
    <t>OPPORTUNISTIC MAINTENANCE; JOINT OPTIMIZATION; WIND FARMS; IMPERFECT; POLICY</t>
  </si>
  <si>
    <t>To maintain process safety, condition-based maintenance (CBM) has arouse wide attention as the last part of diagnosis-prediction-maintenance in prognostics and health management. For a multi-component system, perfect maintenance is preferred to be adopted. However, because of the limitations of the special working environment, maintenance technology, or technical level of maintenance personnel, perfect maintenance cannot be realized. Generally, imperfect maintenance is considered and applied in practical engineering application. Reasonable spare part management for the multi-component system need to be scheduled to reduce maintenance preparation time and cost. A novel CBM method based on remaining useful life (RUL) for the multi-component is proposed considering imperfect maintenance and spare part management. Imperfect maintenance model is constructed by adopting virtual age rule. Quantities of spare parts are determined according to practical maintenance re-quirements, and ordering time and ordering type of spare parts are determined based on prediction results of RUL. In this way, total numbers of spare parts and maintenance preparation cost can be significantly reduced. Maintenance preparation threshold, spare part ordering threshold and total spare parts threshold are three maintenance decision variables that need to be optimized based on genetic algorithm. Subsea tree system for offshore oil and gas development is used to demonstrate the application of the proposed method.</t>
  </si>
  <si>
    <t>[Cai, Baoping; Wang, Yuandong; Zhang, Yanping; Li, Rongkang; Liu, Yonghong] China Univ Petr, Coll Mech &amp; Elect Engn, Qingdao 266580, Shandong, Peoples R China; [Liu, Yiliu] Norwegian Univ Sci &amp; Technol, Dept Mech &amp; Ind Engn, N-7034 Trondheim, Norway; [Ge, Weifeng] CNOOC Safety Technol Serv Co Ltd, Tianjin 300456, Peoples R China; [Liu, Guijie] Ocean Univ China, Dept Mech &amp; Elect Engn, Qingdao 266100, Shandong, Peoples R China; [Wang, Yuandong] Weichai Power Co Ltd, Weifang 261001, Peoples R China</t>
  </si>
  <si>
    <t>China University of Petroleum; Norwegian University of Science &amp; Technology (NTNU); China National Offshore Oil Corporation (CNOOC); Ocean University of China; Weichai Power Co., Ltd.</t>
  </si>
  <si>
    <t>Cai, BP (corresponding author), China Univ Petr, Coll Mech &amp; Elect Engn, Qingdao 266580, Shandong, Peoples R China.</t>
  </si>
  <si>
    <t>caibaoping@upc.edu.cn; wangyuandong@s.upc.edu.cn; zhangyanping@s.upc.edu.cn; yiliu.liu@ntnu.no; gewf@cnooc.com.cn; lirongkang@s.upc.edu.cn; liuyonghong@upc.edu.cn; liuguijie@ouc.edu.cn</t>
  </si>
  <si>
    <t>liu, guijie/AAC-9020-2020; Cai, Baoping/A-9972-2016; Zhang, Yanping/GNP-7511-2022; Liu, Yiliu/AAY-2097-2021</t>
  </si>
  <si>
    <t>Liu, Yiliu/0000-0002-0612-2231; Zhang, Yanping/0009-0001-4015-7235</t>
  </si>
  <si>
    <t>National Key Research and Devel-opment Program of China [2019YFE0105100]; National Natural Science Foundation of China [52171287]; Taishan ScholarsProject [tsqn201909063]; IKTPLUSS program of Research Council of Norway [309628]</t>
  </si>
  <si>
    <t>National Key Research and Devel-opment Program of China; National Natural Science Foundation of China(National Natural Science Foundation of China (NSFC)); Taishan ScholarsProject; IKTPLUSS program of Research Council of Norway(Research Council of Norway)</t>
  </si>
  <si>
    <t>This work was supported by the National Key Research and Development Program of China (No. 2019YFE0105100) , the National Natural Science Foundation of China (No. 52171287) , the Taishan Scholars Project (No. tsqn201909063) , and the IKTPLUSS program of Research Council of Norway (No. 309628) .</t>
  </si>
  <si>
    <t>10.1016/j.cie.2022.108650</t>
  </si>
  <si>
    <t>SEP 2022</t>
  </si>
  <si>
    <t>5B1OP</t>
  </si>
  <si>
    <t>WOS:000863345000011</t>
  </si>
  <si>
    <t>Murad, CA; Melani, AHA; Michalski, MAC; Netto, AC; de Souza, GFM; Nabeta, SI</t>
  </si>
  <si>
    <t>Murad, C. A.; Melani, A. H. A.; Michalski, M. A. C.; Netto, A. C.; de Souza, G. F. M.; Nabeta, S., I</t>
  </si>
  <si>
    <t>OMCTA: A novel knowledge-based technique to evaluate the influence of O&amp;M actions on maintenance management</t>
  </si>
  <si>
    <t>Critical Systems; Equipment O&amp;M; Maintenance Management; Expert Knowledge-Based Techniques</t>
  </si>
  <si>
    <t>Human error is a major cause of unavailability of industrial equipment. Consequently, sev-eral approaches attempt to assess how this issue influences maintenance management. How-ever, these techniques are generally limited, not distinguishing between O&amp;M actions. In this way, this work presents a new method, named OMCTA, based on techniques already known and widespread both in academia and industry. By structuring the expert knowledge, the method separately quantifies the likelihood of O&amp;M actions causing failures. A case study is analyzed, bringing results that clearly show the effects of the O&amp;M actions for different Kaplan turbine failure modes.</t>
  </si>
  <si>
    <t>[Murad, C. A.; Melani, A. H. A.; Michalski, M. A. C.; Netto, A. C.; de Souza, G. F. M.] Univ Sao Paulo, Dept Mechatron &amp; Mech Syst, Ave Prof Mello de Moraes 2231, BR-05508030 Sao Paulo, SP, Brazil; [Nabeta, S., I] Univ Sao Paulo, Dept Energy &amp; Elect Automat, Av Prof Luciano Gualberto,Travessa 3,158, BR-05508010 Sao Paulo, SP, Brazil</t>
  </si>
  <si>
    <t>Universidade de Sao Paulo; Universidade de Sao Paulo</t>
  </si>
  <si>
    <t>Melani, AHA (corresponding author), Univ Sao Paulo, Dept Mechatron &amp; Mech Syst, Ave Prof Mello de Moraes 2231, BR-05508030 Sao Paulo, SP, Brazil.</t>
  </si>
  <si>
    <t>melani@usp.br</t>
  </si>
  <si>
    <t>de Carvalho Michalski, Miguel Angelo/AEE-0657-2022; de Souza, Gilberto/P-1299-2018; Nabeta, Silvio Ikuyo/GPX-7634-2022; Melani, Arthur H. A./K-1989-2019</t>
  </si>
  <si>
    <t>Melani, Arthur H. A./0000-0001-6955-7542; Michalski, Miguel/0000-0002-5140-1651; Ikuyo Nabeta, Silvio/0000-0001-9587-6782</t>
  </si>
  <si>
    <t>Coordenacao de Aperfeicoamento de Pessoal de Nivel Superior -Brasil (CAPES) [001]; CAPES; FDTE; EDP</t>
  </si>
  <si>
    <t>Coordenacao de Aperfeicoamento de Pessoal de Nivel Superior -Brasil (CAPES)(Coordenacao de Aperfeicoamento de Pessoal de Nivel Superior (CAPES)); CAPES(Coordenacao de Aperfeicoamento de Pessoal de Nivel Superior (CAPES)); FDTE; EDP</t>
  </si>
  <si>
    <t>This study was financed in part by the Coordenacao de Aperfeicoamento de Pessoal de Nivel Superior -Brasil (CAPES) -Finance Code 001. The authors thank the financial support of FDTE, CAPES and EDP for the development of the present research.</t>
  </si>
  <si>
    <t>10.24867/IJIEM-2020-2-255</t>
  </si>
  <si>
    <t>VL3MR</t>
  </si>
  <si>
    <t>WOS:000835271800003</t>
  </si>
  <si>
    <t>Shamayleh, A; Awad, M; Abdulla, AO</t>
  </si>
  <si>
    <t>Shamayleh, Abdulrahim; Awad, Mahmoud; Abdulla, Aidah Omar</t>
  </si>
  <si>
    <t>Criticality-based reliability-centered maintenance for healthcare</t>
  </si>
  <si>
    <t>Risk assessment; Action prioritization; Regulations reliability-centered maintenance</t>
  </si>
  <si>
    <t>FACILITIES; RCM; PRIORITIZATION; MANAGEMENT; EQUIPMENT; SELECTION</t>
  </si>
  <si>
    <t>Purpose Medical technologies and assets are one of the main drivers of increasing healthcare cost. The rising number and complexity of medical equipment have forced hospitals to set up and regulate medical equipment management programs to ensure critical devices are safe and reliable. The purpose of this paper is to gain insights into maintenance management-related activities for medical equipment. The paper proposes applying a tailored reliability-centered maintenance (RCM) approach for maintenance activities selection for medical equipment. Such approach will support assets management teams in enhancing operation, decrease risk and cost, and ultimately improve health of patients served by these equipment. Design/methodology/approach The traditional RCM approach will be used with a focus on criticality reduction. By criticality, the authors refer to the severity of failures and occurrence. The proposed method relies on the use of reliability growth analysis for opportunity identification followed by a thorough failure mode and effect analysis to investigate major failure modes and propose ways to reduce criticality. The effectiveness of the proposed method will be demonstrated using a case of one of the leading obstetric and gynecological hospitals in United Arab Emirates and in the Gulf Cooperation Council region. Findings The case examines the relationship between the current practice of planned preventive maintenance and the failure rates of the equipment during its life span. Although a rigorous preventive maintenance program is implemented in the hospital under study, some critical equipment show an increasing failure rates. The analysis highlights the inability of traditional time-driven preventive maintenance alone in preventing failures. Thus, a systematic RCM approach focused on criticality is more beneficial and more time and cost effective than traditional time-driven preventive maintenance practices. Originality/value This paper proposes a maintenance methodology that can help healthcare management to improve availability and decrease the risk of critical medical equipment failures. Current practices in healthcare facilities have difficulty identifying the optimal maintenance strategy. Literature focused on medical maintenance approach selection is rather limited, and this paper will help in this discussion. In addition to that, the Association for the Advancement of Medical Instrumentation supports the initiative of adopting RCM on a large scale in healthcare. Therefore, this paper address the gap in the literature for medical equipment maintenance and the work is in line with the recommendation of leading healthcare association. The paper also presents statistical review of the total number of received maintenance work orders during one full year in the hospital under study. The analysis supports the need for more research to examine current practice and propose more effective maintenance approaches.</t>
  </si>
  <si>
    <t>[Shamayleh, Abdulrahim; Abdulla, Aidah Omar] Amer Univ Sharjah, Sharjah, U Arab Emirates; [Awad, Mahmoud] Amer Univ Sharjah, Dept Ind Engn, Sharjah, U Arab Emirates</t>
  </si>
  <si>
    <t>American University of Sharjah; American University of Sharjah</t>
  </si>
  <si>
    <t>Awad, M (corresponding author), Amer Univ Sharjah, Dept Ind Engn, Sharjah, U Arab Emirates.</t>
  </si>
  <si>
    <t>ashamayleh@aus.edu; miawad@aus.edu; g00054363@aus.edu</t>
  </si>
  <si>
    <t>Shamayleh, Abdulrahim/AAI-1654-2021</t>
  </si>
  <si>
    <t>Awad, Mahmoud/0000-0003-2999-9084; Shamayleh, Abdulrahim/0000-0002-0214-7052</t>
  </si>
  <si>
    <t>10.1108/JQME-10-2018-0084</t>
  </si>
  <si>
    <t>WOS:000524879900008</t>
  </si>
  <si>
    <t>Phogat, S; Gupta, AK</t>
  </si>
  <si>
    <t>Phogat, Sandeep; Gupta, Anil Kumar</t>
  </si>
  <si>
    <t>Ranking of maintenance wastes present in Indian organizations (a statistical analysis)</t>
  </si>
  <si>
    <t>Maintenance strategies; Maintenance; Industrial maintenance; Wastes; Wastes in maintenance; Total productive maintenance (TPM); Maintenance error</t>
  </si>
  <si>
    <t>IMPLEMENTATION; FRAMEWORK; JIT; TPM; RELIABILITY</t>
  </si>
  <si>
    <t>Purpose The maintenance department of today, like many other departments, is under sustained pressure to slash costs, show outcome and to support the assignments of the organization, as it is a commonsensical prospect from the business perspective. Therefore, the purpose of this paper is to find out the wastes level present in maintenance and, after that, do the ranking of maintenance wastes currently present in the operations of Indian organizations with the help of a questionnaire survey. Design/methodology/approach For this, a database of 421 Indian industries was identified and a structured questionnaire was designed. The questionnaire was divided into two sections A and B to assist with data interpretation. The aim of section A was to build general information of participants and their position, type of organization, number of employees, annual turnover of the organization, etc. Section B was also a structured questionnaire developed based on a five-point Likert scale for assessing the level of maintenance wastes currently present in the maintenance. Findings Waste of inventory in terms of spare parts storage and obsolesce, etc., waste of rejects/rework/scrap in case of poor maintenance, waste of processing that leads to increases in maintenance and waste of overproduction/excessive maintenance activity has a high level of presence in the maintenance of Indian organizations and gets the top ranks in all the seven types of maintenance wastes. Originality/value These findings will be highly valuable for professionals relating to manufacturing sector desiring to implement effective maintenance approach in the maintenance management system.</t>
  </si>
  <si>
    <t>[Phogat, Sandeep] Amity Univ Haryana, Dept Mech Engn, Gurugram, India; [Gupta, Anil Kumar] Deenbandhu Chhotu Ram Univ Sci &amp; Technol, Dept Mech Engn, Murthal, India</t>
  </si>
  <si>
    <t>Deenbandhu Chhotu Ram University of Science &amp; Technology</t>
  </si>
  <si>
    <t>Phogat, S (corresponding author), Amity Univ Haryana, Dept Mech Engn, Gurugram, India.</t>
  </si>
  <si>
    <t>sandeepphogat1@gmail.com; anil_guptakkr@rediffmail.com</t>
  </si>
  <si>
    <t>Kumar, Anil/AAK-9571-2020; Phogat, Sandeep/M-6568-2019</t>
  </si>
  <si>
    <t>Phogat, Sandeep/0000-0002-0964-3411</t>
  </si>
  <si>
    <t>MAR 9</t>
  </si>
  <si>
    <t>10.1108/JQME-09-2018-0073</t>
  </si>
  <si>
    <t>KI3IW</t>
  </si>
  <si>
    <t>WOS:000511243400002</t>
  </si>
  <si>
    <t>Rivera-Gomez, H; Sanchez-Partida, D; Ortega-Reyes, AO; Gonzalez-Hernandez, IJ</t>
  </si>
  <si>
    <t>Rivera-Gomez, Hector; Sanchez-Partida, Diana; Ortega-Reyes, Antonio Oswaldo; Gonzalez-Hernandez, Isidro Jesus</t>
  </si>
  <si>
    <t>Optimizing JIT production and maintenance strategies for material management in the presence of quality decline and random demand fluctuations</t>
  </si>
  <si>
    <t>ACTA LOGISTICA</t>
  </si>
  <si>
    <t>quality; optimization; random demand; maintenance</t>
  </si>
  <si>
    <t>SYSTEMS</t>
  </si>
  <si>
    <t>Material management is a critical component of any organization, as it encompasses the efficient and effective handling of materials throughout the entire supply chain process. Just-in-time (JIT) strategies play a vital role in streamlining the supply chain process and minimizing waste. The paper examines the optimization of JIT production management, quality, and maintenance planning in the context of material management. An integrated model is proposed based on optimal control theory to formulate a set of innovative systems dynamics that consider quality decline in a stochastic context. The model also includes random demand fluctuations through a stochastic diffusion process. The objective of the model is to enhance company competitiveness by satisfying a service level constraint and jointly optimizing the JIT production and maintenance control parameters to minimize inventory levels and reduce the total cost. The findings reveal significant interactions between costs and control parameters of both JIT production and maintenance strategies due to their close relationship, leading to the conclusion that the development of an integrative model is more cost-efficient than managing them independently. A comparative analysis further enhances the study by highlighting the potential cost savings in implementing the suggested collaborative control strategy. Overall, the paper contributes to the literature on material management by addressing the research gap in the optimization of JIT production management, quality, and maintenance planning under a stochastic context.</t>
  </si>
  <si>
    <t>[Rivera-Gomez, Hector] Autonomous Univ Hidalgo, Acad Area Engn, Pachuca Tulancingo Rd km 4-5, Mineral de la Reforma 42184, Hidalgo, Mexico; [Sanchez-Partida, Diana] UPAEP Univ, Dept Logist &amp; Supply Chain Management, 17 901 Barrio Santiago, Puebla 72410, Mexico; [Ortega-Reyes, Antonio Oswaldo] Autonomous Univ Hidalgo, Acad Area Engn, Pachuca Tulancingo Rd km 4.5, Mineral de la Reforma 42184, Hidalgo, Mexico; [Gonzalez-Hernandez, Isidro Jesus] Autonomous Univ Hidalgo, High Sch Ciudad Sahagun 4, Rd Otumba, Tepeapulco 43998, Hidalgo, Mexico</t>
  </si>
  <si>
    <t>Universidad Popular Autonoma del Estado de Puebla; Universidad Autonoma del Estado de Hidalgo</t>
  </si>
  <si>
    <t>Rivera-Gomez, H (corresponding author), Autonomous Univ Hidalgo, Acad Area Engn, Pachuca Tulancingo Rd km 4-5, Mineral de la Reforma 42184, Hidalgo, Mexico.</t>
  </si>
  <si>
    <t>hector_rivera@uaeh.edu.mx; diana.sanchez@upaep.mx; aortega@uaeh.edu.mx; igonzalez@uaeh.edu.mx</t>
  </si>
  <si>
    <t>González-Hernández, Isidro/AAE-2818-2020</t>
  </si>
  <si>
    <t>Gonzalez-Hernandez, Isidro Jesus/0000-0003-2805-6674</t>
  </si>
  <si>
    <t>4S go, s.r.o</t>
  </si>
  <si>
    <t>Semsa</t>
  </si>
  <si>
    <t>Semsa 24, Semsa, SLOVAKIA</t>
  </si>
  <si>
    <t>1339-5629</t>
  </si>
  <si>
    <t>Acta Logistica</t>
  </si>
  <si>
    <t>10.22306/al.v11i2.511</t>
  </si>
  <si>
    <t>Engineering, Industrial; Management</t>
  </si>
  <si>
    <t>XH4H2</t>
  </si>
  <si>
    <t>WOS:001260773500008</t>
  </si>
  <si>
    <t>Hou, LW; Zheng, WJ</t>
  </si>
  <si>
    <t>Hou, Liwen; Zheng, Wei-Jun</t>
  </si>
  <si>
    <t>A Latent Class Regression Approach to IT Maintenance Outsourcing Service Management</t>
  </si>
  <si>
    <t>IEEE TRANSACTIONS ON ENGINEERING MANAGEMENT</t>
  </si>
  <si>
    <t>Outsourcing; Maintenance engineering; Contracts; Task analysis; Analytical models; Sociology; Client satisfaction; incident classification; information technology (IT) maintenance outsourcing; latent class regression (LCR); service time; user involvement</t>
  </si>
  <si>
    <t>CUSTOMER SATISFACTION; FIRM PERFORMANCE; MODEL; QUALITY; SEGMENT; IMPACT; HETEROGENEITY; DETERMINANTS; METHODOLOGY; PERCEPTIONS</t>
  </si>
  <si>
    <t>Although information technology (IT) maintenance outsourcing is widely used by today &amp; x0027;s organizations to improve IT productivity, client satisfaction of IT outsourcing service differs among various clusters of service incidents. Using a dataset collected from a leading Chinese steel group, this paper investigates how client satisfaction in IT maintenance outsourcing varies with service time and user involvement by means of a latent class regression (LCR) approach. Distinguished from traditional clustering and regression methods, the LCR approach can simultaneously classify reported incidents into multiple clusters based on incident attributes and examine the influences of service time and user involvement, together with the latent number of class on client satisfaction in each cluster. Our results identify four incident clusters within which influences of service time and user involvement on client satisfaction differ. Thus, we provide empirical evidence of heterogeneity in information system maintenance outsourcing incidents.</t>
  </si>
  <si>
    <t>[Hou, Liwen] Shanghai Jiao Tong Univ, Antai Coll Econ &amp; Management, Dept Management Informat Syst, Shanghai 200052, Peoples R China; [Zheng, Wei-Jun] Univ Wisconsin Parkside, Dept Business, Coll Business Econ &amp; Comp, Kenosha, WI 53141 USA</t>
  </si>
  <si>
    <t>Shanghai Jiao Tong University; University of Wisconsin System; University of Wisconsin Parkside</t>
  </si>
  <si>
    <t>Hou, LW (corresponding author), Shanghai Jiao Tong Univ, Antai Coll Econ &amp; Management, Dept Management Informat Syst, Shanghai 200052, Peoples R China.</t>
  </si>
  <si>
    <t>lwhou@sjtu.edu.cn; zheng@uwp.edu</t>
  </si>
  <si>
    <t>Hou, Liwen/L-7459-2019</t>
  </si>
  <si>
    <t>zheng, weijun/0000-0002-4874-7125</t>
  </si>
  <si>
    <t>0018-9391</t>
  </si>
  <si>
    <t>1558-0040</t>
  </si>
  <si>
    <t>IEEE T ENG MANAGE</t>
  </si>
  <si>
    <t>IEEE Trans. Eng. Manage.</t>
  </si>
  <si>
    <t>10.1109/TEM.2018.2864979</t>
  </si>
  <si>
    <t>Business; Engineering, Industrial; Management</t>
  </si>
  <si>
    <t>Business &amp; Economics; Engineering</t>
  </si>
  <si>
    <t>KH5EV</t>
  </si>
  <si>
    <t>WOS:000510672900008</t>
  </si>
  <si>
    <t>Madzik, P; Suwannasap, N</t>
  </si>
  <si>
    <t>Madzik, Peter; Suwannasap, Noppadol</t>
  </si>
  <si>
    <t>Supplier relationship management and its impacts on purchasing performance in aircraft maintenance, repair, and overhaul in Thailand</t>
  </si>
  <si>
    <t>supplier relationship management; purchasing performance; aircraft maintenance; MRO; Delphi.</t>
  </si>
  <si>
    <t>TOOL</t>
  </si>
  <si>
    <t>Supplier Relationship Management (SRM) has been recognized to play an important role in improving purchasing performance. However, there is no evidence yet to prove this application in the aircraft maintenance, repair, and overhaul (MRO) industry in Thailand. This paper studied SRM which are arm's-length SRM and cooperative SRM practices, and their impacts on purchasing performance in the aircraft MRO industry of Thailand by using Delphi Technique. Data are collected from in-depth interviews, and by means of a questionnaire. Sample group of this research are 20 specialists who involved with purchasing processes in aircraft MRO. The results show that cooperative SRM improves purchasing performance in all aspects, while arm's-length SRM only improves purchasing performance in reducing sales price.</t>
  </si>
  <si>
    <t>[Madzik, Peter] Tech Univ Liberec, Fac Econ, Voronezska 13, Liberec 46001 1, Czech Republic; [Suwannasap, Noppadol] Rajamangala Univ Technol Thunyaburi RMUTT, 39 Moo1,Klong6, Thanyaburi 12110, Phathumtani, Thailand</t>
  </si>
  <si>
    <t>Technical University of Liberec</t>
  </si>
  <si>
    <t>Suwannasap, N (corresponding author), Rajamangala Univ Technol Thunyaburi RMUTT, 39 Moo1,Klong6, Thanyaburi 12110, Phathumtani, Thailand.</t>
  </si>
  <si>
    <t>peter.madzik@tul.cz; noppadol_s@rmutt.ac.th</t>
  </si>
  <si>
    <t>Madzík, Peter/E-9112-2019</t>
  </si>
  <si>
    <t>10.22306/al.v10i4.436</t>
  </si>
  <si>
    <t>DZ5F7</t>
  </si>
  <si>
    <t>WOS:001135924300008</t>
  </si>
  <si>
    <t>Yang, L; Zhou, SH; Ma, XB; Chen, Y; Jia, HP; Dai, W</t>
  </si>
  <si>
    <t>Yang, Li; Zhou, Shihan; Ma, Xiaobing; Chen, Yi; Jia, Heping; Dai, Wei</t>
  </si>
  <si>
    <t>Group machinery intelligent maintenance: Adaptive health prediction and global dynamic maintenance decision-making</t>
  </si>
  <si>
    <t>Intelligent maintenance management; Group replacement; Predictive maintenance scheduling; Inspection planning; Adaptive prediction; Degradation modeling; RUL prediction</t>
  </si>
  <si>
    <t>MULTICOMPONENT SYSTEMS; POLICY; OPTIMIZATION; COMPONENTS</t>
  </si>
  <si>
    <t>Intelligent preventive maintenance powered by health data analytics is essential to ensure operation safety and performance of diverse industrial equipment. Despite the rapid advancement of preventive maintenance methodologies in recent several decades, their implementation to global dynamic maintenance of complex systems across infinite time horizon, in particular leveraging real-time prognosis information to realize adaptive group partition and ordering, has been largely an under-explored domain. To this end, this study devises a generic global-dynamic group maintenance policy for multi-component degrading systems. As opposed to existing models, the policy automatically renews the entire system health information instantly upon the completion of each group maintenance task; therefore, it realizes the dynamic union of (a) predictive group maintenance and (b) unplanned opportunistic maintenance over an infinite time horizon for the first time, such that to promote decision precision and efficiency. A dynamic grouping algorithm is designed to explore the structure of optimal maintenance solutions. The applicability is exemplified by comparative experiments that show substantial advantages over heuristic policies.</t>
  </si>
  <si>
    <t>[Yang, Li; Zhou, Shihan; Ma, Xiaobing; Chen, Yi; Dai, Wei] Beihang Univ, Sch Reliabil &amp; Syst Engn, Beijing, Peoples R China; [Jia, Heping] North China Elect Power Univ, Sch Econ &amp; Management, Beijing, Peoples R China</t>
  </si>
  <si>
    <t>Beihang University; North China Electric Power University</t>
  </si>
  <si>
    <t>Dai, W (corresponding author), Beihang Univ, Sch Reliabil &amp; Syst Engn, Beijing, Peoples R China.</t>
  </si>
  <si>
    <t>dw@buaa.edu.cn</t>
  </si>
  <si>
    <t>Dai, Wei/B-4048-2018</t>
  </si>
  <si>
    <t>Chen, Yi/0000-0002-0934-0787; DAI, WEI/0000-0002-7376-6977</t>
  </si>
  <si>
    <t>National Natural Science Foundation of China [72101010]; Basic Technical Research Project of China [JSZL2018601B004]; Fundamental Research Funds for the Central Universities [ZG216S21C3]</t>
  </si>
  <si>
    <t>National Natural Science Foundation of China(National Natural Science Foundation of China (NSFC)); Basic Technical Research Project of China; Fundamental Research Funds for the Central Universities(Fundamental Research Funds for the Central Universities)</t>
  </si>
  <si>
    <t>This work was supported by the National Natural Science Foundation of China (Grant No. 72101010) , Basic Technical Research Project of China (Grant No. JSZL2018601B004) , and Fundamental Research Funds for the Central Universities (Grant No. ZG216S21C3) .</t>
  </si>
  <si>
    <t>10.1016/j.ress.2024.110426</t>
  </si>
  <si>
    <t>AUG 2024</t>
  </si>
  <si>
    <t>E2T2E</t>
  </si>
  <si>
    <t>WOS:001301569000001</t>
  </si>
  <si>
    <t>Helge,; El-Thalji, I</t>
  </si>
  <si>
    <t>Nordal, Helge; El-Thalji, Idriss</t>
  </si>
  <si>
    <t>Modeling a predictive maintenance management architecture to meet industry 4.0 requirements: A case study</t>
  </si>
  <si>
    <t>SYSTEMS ENGINEERING</t>
  </si>
  <si>
    <t>architecture design; intelligent maintenance system; oil and gas industry</t>
  </si>
  <si>
    <t>Industry 4.0 is the latest paradigm of industrial production enabling a new level of organizing and controlling the entire value chain within a product life cycle by creating a dynamic and real-time understanding of cross-company behaviors. It is expected to have a considerable impact in the oil and gas (O&amp;G) sector by revolutionizing current predictive maintenance and operation optimization. There are several challenges to be overcome before the Industry 4.0 vision is achieved: a standardized reference architecture, a business model, robust services, and products are all lacking. This paper develops a reference architecture for an intelligent maintenance management system that complies with Industry 4.0 visions and requirements. The industrial needs were derived from stakeholders and use case scenarios using a case study methodology. Systems engineering methods were applied to transfer the needs of the existing maintenance management system into a desired functional architecture. The new and upgraded requirements are predominantly related to advanced data analytics, resulting in new and modified functions within the traditional Reporting and Analyses modules. A more complex maintenance program is created through interfaces between various enabled data categories (historical records, real-time measurements of performance and health, expert-just-in-time). The study points to the changes required in the classical O&amp;G maintenance management process to comply with Industry 4.0 vision and requirements.</t>
  </si>
  <si>
    <t>[Nordal, Helge; El-Thalji, Idriss] Univ Stavanger, Stavanger, Norway</t>
  </si>
  <si>
    <t>Universitetet i Stavanger</t>
  </si>
  <si>
    <t>Helge, (corresponding author), Univ Stavanger, Stavanger, Norway.</t>
  </si>
  <si>
    <t>Helge.nordal@uis.no</t>
  </si>
  <si>
    <t>Universitetet i Stavanger [IN-11626]</t>
  </si>
  <si>
    <t>Universitetet i Stavanger, Grant/AwardNumber: IN-11626</t>
  </si>
  <si>
    <t>1098-1241</t>
  </si>
  <si>
    <t>1520-6858</t>
  </si>
  <si>
    <t>SYSTEMS ENG</t>
  </si>
  <si>
    <t>Syst. Eng.</t>
  </si>
  <si>
    <t>JAN</t>
  </si>
  <si>
    <t>10.1002/sys.21565</t>
  </si>
  <si>
    <t>PO8XI</t>
  </si>
  <si>
    <t>WOS:000601408700001</t>
  </si>
  <si>
    <t>Rukijkanpanich, J; Mingmongkol, M</t>
  </si>
  <si>
    <t>Rukijkanpanich, Jittra; Mingmongkol, Mathurot</t>
  </si>
  <si>
    <t>Enhancing performance of maintenance in solar power plant</t>
  </si>
  <si>
    <t>Preventive maintenance; Maintenance strategies; Maintenance performance; Failure mode and effect analysis (FMEA); Proactive maintenance; Solar power plant</t>
  </si>
  <si>
    <t>Purpose The purpose of this paper is to enhance the performance of maintenance in a solar power plant by implementing the proactive maintenance (PaM) strategy, measured by the availability and the total maintenance workload. Design/methodology/approach The prior maintenance strategy was reviewed, and then the strategy was adjusted to focus on PaM. Failure modes and effects analysis (FMEA) was a tool for analyzing the severity and occurrence of the failure modes and effects. Then, the Why-Why analysis was used for investigating the root causes of failures. The countermeasures were drawn, and the preventive maintenance (PM) plan was revised and carried out. The total maintenance, the PaM and reactive maintenance workload, was obtained, and then the improvements were determined. The values of availability were also obtained. Findings Previously, the appeared maintenance strategy was not clearly defined. It seemed to have reactive maintenance coupled with PM; it was checked once a year, and corrective actions were made when something wrong was found. Then the management team observed an increase in the reactive maintenance workload, whereas the values of availability were not consistent and tended to drop. After implementing the new maintenance strategy, PaM, the total maintenance workload decreased 14 percent in one year. The average availability of the solar power plant improved from 0.9943 to 0.9969, and the values of availability had better consistency. Practical implications The PaM can be applied to solar power plant without limiting the prior maintenance strategy and the complexity of production or machinery. The solar power plant is a quite simple production, and most machines consist of electrical equipment and electrical circuits. The PaM supports to analyze the failure modes, the consequence of the failure events and failure effects, and to decide what should be done. Importantly, PaM can reduce total maintenance workload while the value of availability is higher and consistent. Originality/value This paper states how to successfully implement the PaM for the solar power plant. Previously, the plant did not have a clearly defined maintenance strategy; it was checked once a year, and it was corrected when abnormalities were detected. The PaM strategy provides tools and processes for failures and effects analysis. Although there was a more workload of PM, the total maintenance workload decreased, even in the first year.</t>
  </si>
  <si>
    <t>[Rukijkanpanich, Jittra; Mingmongkol, Mathurot] Chulalongkorn Univ, Dept Ind Engn, Bangkok, Thailand</t>
  </si>
  <si>
    <t>Chulalongkorn University</t>
  </si>
  <si>
    <t>Rukijkanpanich, J (corresponding author), Chulalongkorn Univ, Dept Ind Engn, Bangkok, Thailand.</t>
  </si>
  <si>
    <t>mr_chukiat@yahoo.com; mathurot.750@gmail.com</t>
  </si>
  <si>
    <t>Rukijkanpanich, Jittra/F-2778-2017</t>
  </si>
  <si>
    <t>OCT 12</t>
  </si>
  <si>
    <t>10.1108/JQME-11-2018-0098</t>
  </si>
  <si>
    <t>NO3VA</t>
  </si>
  <si>
    <t>WOS:000569412700004</t>
  </si>
  <si>
    <t>Ciancio, V; Homri, L; Dantan, JY; Siadat, A</t>
  </si>
  <si>
    <t>Ciancio, Vincent; Homri, Lazhar; Dantan, Jean-Yves; Siadat, Ali</t>
  </si>
  <si>
    <t>Development of a flexible data management system, to implement predictive maintenance in the Industry 4.0 context</t>
  </si>
  <si>
    <t>Condition monitoring; Industry 4; 0; intelligent maintenance systems; Internet of Things; predictive maintenance</t>
  </si>
  <si>
    <t>FRAMEWORK; STRATEGY</t>
  </si>
  <si>
    <t>In recent years, the way that maintenance is carried out has evolved due to the incorporation of digital tools and Industry 4.0 concepts. By connecting to and communicating with their production system, companies can now gather information about the current and future health of the equipment, enabling more efficient control through a process called predictive maintenance (PdM). The goal of PdM is to reduce unplanned downtimes and proactively address maintenance needs before failures occur. However, it can be challenging for industrial practitioners to implement an intelligent maintenance system that effectively manages data. This paper presents a methodology for developing and implementing a PdM system in the automotive industry, using open standards and scalable data management capabilities. The platform is validated through the presentation of two industry use cases.</t>
  </si>
  <si>
    <t>[Ciancio, Vincent; Homri, Lazhar; Dantan, Jean-Yves; Siadat, Ali] HESAM Univ, Univ Lorraine, Arts &amp; Metiers Inst Technol, LCFC, Metz, France; [Ciancio, Vincent] Alphatech, Plast Omnium, Clean Energy Syst, Venette, France; [Ciancio, Vincent] HESAM Univ, Univ Lorraine, Arts &amp; Metiers Inst Technol, LCFC, F-57070 Metz, France; [Ciancio, Vincent] Alphatech, Clean Energy Syst, Plast Omnium, F-60280 Venette, France</t>
  </si>
  <si>
    <t>heSam Universite; Universite de Lorraine; Universite de Lorraine; heSam Universite</t>
  </si>
  <si>
    <t>Ciancio, V (corresponding author), HESAM Univ, Univ Lorraine, Arts &amp; Metiers Inst Technol, LCFC, F-57070 Metz, France.;Ciancio, V (corresponding author), Alphatech, Clean Energy Syst, Plast Omnium, F-60280 Venette, France.</t>
  </si>
  <si>
    <t>vincent.ciancio@ensam.eu</t>
  </si>
  <si>
    <t>DANTAN, Jean-Yves/F-7721-2019; HOMRI, Lazhar/F-7724-2019</t>
  </si>
  <si>
    <t>HOMRI, Lazhar/0000-0001-6754-844X; Ciancio, Vincent/0000-0001-5645-8369; DANTAN, Jean-Yves/0000-0002-0491-8391</t>
  </si>
  <si>
    <t>Plastic Omnium Clean Energy Systems</t>
  </si>
  <si>
    <t>The authors would like to express their gratitude to Plastic Omnium Clean Energy Systems, for sponsoring the work presented in this paper.</t>
  </si>
  <si>
    <t>MAR 18</t>
  </si>
  <si>
    <t>10.1080/00207543.2023.2217293</t>
  </si>
  <si>
    <t>JUN 2023</t>
  </si>
  <si>
    <t>HK9N0</t>
  </si>
  <si>
    <t>Green Published</t>
  </si>
  <si>
    <t>WOS:000999994400001</t>
  </si>
  <si>
    <t>Karar, AN; Labib, A; Jones, DF</t>
  </si>
  <si>
    <t>Karar, Ahmed Noaman; Labib, Ashraf; Jones, Dylan Francis</t>
  </si>
  <si>
    <t>A conceptual framework for an agile asset performance management process</t>
  </si>
  <si>
    <t>Management; Availability; Reliability; Maintainability; Maintenance; Asset; Maintenance modelling</t>
  </si>
  <si>
    <t>RELIABILITY-CENTERED MAINTENANCE; PREVENTIVE MAINTENANCE; SYSTEMS; COST</t>
  </si>
  <si>
    <t>Purpose Disturbances in terms of major crises such as pandemics, fluctuations in demand and oil price, energy consumption and supply chain can significantly impair the maintenance programs effectiveness and efficiency. Hence, there is an urgent need for an agile asset performance management (AAPM) framework. Design/methodology/approach This paper's main objective is to design a comprehensive framework for an AAPM system that sustains the desired asset performance by reacting efficiently, quickly and intelligently to the changes in the operating context parameters and asset health conditions. Such a framework is adaptive to changes in scenarios and aims to systematise the decision support process, considering different objectives. Findings The development of the proposed framework has led to identifying an innovative way of seamless integration between crucial reliability and asset management tools. Also, the methodology implementation is expected to promote the practical use of its reliability tools and enable asset stakeholders to break silo working for clear communication around asset performance. Originality/value The implementation of the AAPM framework follows a new approach developed during this research and coined by the authors as the 8S approach.</t>
  </si>
  <si>
    <t>[Karar, Ahmed Noaman; Labib, Ashraf; Jones, Dylan Francis] Univ Portsmouth, Portsmouth, Hants, England</t>
  </si>
  <si>
    <t>University of Portsmouth</t>
  </si>
  <si>
    <t>Karar, AN (corresponding author), Univ Portsmouth, Portsmouth, Hants, England.</t>
  </si>
  <si>
    <t>up2039262@myport.AC.UK; ashraf.labib@port.ac.uk; Dylan.Jones@port.ac.uk</t>
  </si>
  <si>
    <t>Labib, Ashraf/F-4792-2019; Noaman Karar, Ahmed/ABC-1944-2021; Jones, Dylan/AAC-3918-2019</t>
  </si>
  <si>
    <t>Noaman Karar, Ahmed/0000-0002-0257-1726; Jones, Dylan Francis/0000-0002-9101-746X; Labib, Ashraf/0000-0002-5481-5833</t>
  </si>
  <si>
    <t>10.1108/JQME-02-2021-0016</t>
  </si>
  <si>
    <t>JUL 2021</t>
  </si>
  <si>
    <t>WOS:000675888000001</t>
  </si>
  <si>
    <t>Lu, YH; Wang, SP; Zhang, C; Chen, RT; Dui, HY; Mu, R</t>
  </si>
  <si>
    <t>Lu, Yaohui; Wang, Shaoping; Zhang, Chao; Chen, Rentong; Dui, Hongyan; Mu, Rui</t>
  </si>
  <si>
    <t>Adaptive maintenance window-based opportunistic maintenance optimization considering operational reliability and cost</t>
  </si>
  <si>
    <t>Adaptive maintenance window; Opportunistic maintenance; Operational reliability; Maintenance cost; Multi-objective optimization</t>
  </si>
  <si>
    <t>SYSTEM; MODEL</t>
  </si>
  <si>
    <t>Opportunistic maintenance (OM) reduces maintenance costs by combining the maintenance of multiple components. It has recently been widely used in complex systems. However, few studies have considered that advance maintenance results in the insufficient utilization of reliability. Besides, the applicable conditions for advance and postpone maintenance are ignored in existing literature. In this paper, the economic benefits and failure risk of advance and postpone maintenance are evaluated to fully utilize component's reliability. In addition, all maintenance types (preventive maintenance, corrective maintenance, and replacement) and programs (advance and postpone maintenance) for critical components and non-critical components are discussed based on the degree of overlap of the components' maintenance windows. Then, an operational reliability (OR) model based on system availability is established to reflect the operating state of the system under damage and maintenance. In order to maximize OR and minimize maintenance costs, a multi-objective optimization model for an OM strategy based on adaptive maintenance window is proposed. Finally, a case study of a propeller aircraft system is conducted to verify the proposed model. It proves superior to the traditional OM and other models in terms of cost and OR.</t>
  </si>
  <si>
    <t>[Lu, Yaohui; Wang, Shaoping; Zhang, Chao; Chen, Rentong; Mu, Rui] Beihang Univ, Sch Automat Sci &amp; Elect Engn, Beijing 100191, Peoples R China; [Wang, Shaoping; Zhang, Chao] Beihang Univ, Ningbo Inst Technol, Ningbo 315800, Peoples R China; [Zhang, Chao] Beihang Univ, Res Inst Frontier Sci, Beijing 1000191, Peoples R China; [Dui, Hongyan] Zhengzhou Univ, Sch Management, Zhengzhou 450001, Peoples R China</t>
  </si>
  <si>
    <t>Beihang University; Beihang University; Beihang University; Zhengzhou University</t>
  </si>
  <si>
    <t>Zhang, C (corresponding author), Beihang Univ, Sch Automat Sci &amp; Elect Engn, Beijing 100191, Peoples R China.</t>
  </si>
  <si>
    <t>czhangstar@gmail.com</t>
  </si>
  <si>
    <t>Chen, Rentong/KLC-2034-2024</t>
  </si>
  <si>
    <t>Lu, Yaohui/0009-0009-7604-8063</t>
  </si>
  <si>
    <t>Foundation-Fengtai Rail Transit Frontier Research Joint Foundation [L221008]; Postdoctoral Fellowship Program of CPSF [GZC20233377]</t>
  </si>
  <si>
    <t>Foundation-Fengtai Rail Transit Frontier Research Joint Foundation; Postdoctoral Fellowship Program of CPSF</t>
  </si>
  <si>
    <t>The authors would like to acknowledge the financial support for this research from the National Natural Science Foundation of China (Grant nos. 52375036, U2233212) , Beijing Municipal Natural Sciencer Foundation-Fengtai Rail Transit Frontier Research Joint Foundation (Grant no. L221008) , the Postdoctoral Fellowship Program of CPSF (Grant no. GZC20233377) .</t>
  </si>
  <si>
    <t>OCT</t>
  </si>
  <si>
    <t>10.1016/j.ress.2024.110292</t>
  </si>
  <si>
    <t>YA0Z7</t>
  </si>
  <si>
    <t>WOS:001265659800001</t>
  </si>
  <si>
    <t>Amjadian, A; O'Neil, R; Khatab, A; Chen, J; Venkatadri, U; Diallo, C</t>
  </si>
  <si>
    <t>Amjadian, Alireza; O'Neil, Ryan; Khatab, Abdelhakim; Chen, Jing; Venkatadri, Uday; Diallo, Claver</t>
  </si>
  <si>
    <t>Optimising resource-constrained fleet selective maintenance with asynchronous maintenance breaks</t>
  </si>
  <si>
    <t>Article; Early Access</t>
  </si>
  <si>
    <t>Fleet selective maintenance (FSM); asynchronous breaks; resource constrained project scheduling problem (RCPSP); reliability engineering; resource assignment; optimisation</t>
  </si>
  <si>
    <t>IMPERFECT MAINTENANCE; MULTISTATE SYSTEMS; OPTIMIZATION; STRATEGY</t>
  </si>
  <si>
    <t>This paper offers a novel and significant extension of the Fleet Selective Maintenance Problem (FSMP) by considering asynchronous maintenance breaks and resource-constrained maintenance planning. This constitutes a significant shift from the conventional focus on synchronous breaks for the FSMP formulated to plan maintenance for fleets of mission-critical systems. This paper establishes a theoretical link between the Selective Maintenance Problem (SMP) and the Resource Constrained Project Scheduling Problem (RCPSP). The proposed FSMP formulation for asynchronous breaks is more general and versatile in adapting to a broad spectrum of operational constraints and resource scarcities. Numerical experiments are conducted that highlights the trade-offs between the timing and quality levels of maintenance activities and the consumption of resources that maintenance planners can make to obtain the best system performance for the budget and maintenance windows available.</t>
  </si>
  <si>
    <t>[Amjadian, Alireza; O'Neil, Ryan; Khatab, Abdelhakim; Chen, Jing; Venkatadri, Uday; Diallo, Claver] Dalhousie Univ, Dept Ind Engn, 5269 Morris St,,POB 15000, Halifax, NS B3H4R2, Canada; [Khatab, Abdelhakim] Lorraine Univ, Lab Comp Engn Prod &amp; Maintenance LGIPM, Metz, France; [Chen, Jing] Dalhousie Univ, Fac Management, Halifax, NS, Canada</t>
  </si>
  <si>
    <t>Dalhousie University; Universite de Lorraine; Dalhousie University</t>
  </si>
  <si>
    <t>Diallo, C (corresponding author), Dalhousie Univ, Dept Ind Engn, 5269 Morris St,,POB 15000, Halifax, NS B3H4R2, Canada.</t>
  </si>
  <si>
    <t>claver.diallo@dal.ca</t>
  </si>
  <si>
    <t>Diallo, Claver/GWZ-4427-2022</t>
  </si>
  <si>
    <t>Diallo, Claver/0000-0002-7381-2187; Amjadian, Alireza/0000-0001-9801-7545; KHATAB, ABDELHAKIM/0000-0003-1166-3806</t>
  </si>
  <si>
    <t>Canadian Natural Science and Engineering Research Council (NSERC) CGS-D scholarship; NSERC Discovery Grant</t>
  </si>
  <si>
    <t>Canadian Natural Science and Engineering Research Council (NSERC) CGS-D scholarship; NSERC Discovery Grant(Natural Sciences and Engineering Research Council of Canada (NSERC))</t>
  </si>
  <si>
    <t>This work was supported by a Canadian Natural Science and Engineering Research Council (NSERC) CGS-D scholarship awarded to the second author as well as NSERC Discovery Grants awarded to Drs. Chen, Venkatadri and Diallo.</t>
  </si>
  <si>
    <t>2024 SEP 14</t>
  </si>
  <si>
    <t>10.1080/00207543.2024.2403114</t>
  </si>
  <si>
    <t>H3M7U</t>
  </si>
  <si>
    <t>WOS:001322519600001</t>
  </si>
  <si>
    <t>Kumaresan, V; Saravanasankar, S; Di Bona, G</t>
  </si>
  <si>
    <t>Kumaresan, Velmurugan; Saravanasankar, S.; Di Bona, Gianpaolo</t>
  </si>
  <si>
    <t>Identification of optimal maintenance parameters for best maintenance and service management system in the SMEs</t>
  </si>
  <si>
    <t>Small and medium-sized enterprise; Markov decision model; Particle swarm optimization algorithm; Optimal decision-making process</t>
  </si>
  <si>
    <t>PurposeThrough the use of the Markov Decision Model (MDM) approach, this study uncovers significant variations in the availability of machines in both faulty and ideal situations in small and medium-sized enterprises (SMEs). The first-order differential equations are used to construct the mathematical equations from the transition-state diagrams of the separate subsystems in the critical part manufacturing plant.Design/methodology/approachTo obtain the lowest investment cost, one of the non-traditional optimization strategies is employed in maintenance operations in SMEs in this research. It will use the particle swarm optimization (PSO) algorithm to optimize machine maintenance parameters and find the best solutions, thereby introducing the best decision-making process for optimal maintenance and service operations.FindingsThe major goal of this study is to identify critical subsystems in manufacturing plants and to use an optimal decision-making process to adopt the best maintenance management system in the industry. The optimal findings of this proposed method demonstrate that in problematic conditions, the availability of SME machines can be enhanced by up to 73.25%, while in an ideal situation, the system's availability can be increased by up to 76.17%.Originality/valueThe proposed new optimal decision-support system for this preventive maintenance management in SMEs is based on these findings, and it aims to achieve maximum productivity with the least amount of expenditure in maintenance and service through an optimal planning and scheduling process.</t>
  </si>
  <si>
    <t>[Kumaresan, Velmurugan; Saravanasankar, S.] Kalasalingam Acad Res &amp; Educ, Krishnankoil, India; [Di Bona, Gianpaolo] Univ Cassino &amp; Lazio Meridionale, Dept Civil &amp; Mech Engn, Cassino, Italy</t>
  </si>
  <si>
    <t>Kalasalingam Academy of Research &amp; Education; University of Cassino</t>
  </si>
  <si>
    <t>Di Bona, G (corresponding author), Univ Cassino &amp; Lazio Meridionale, Dept Civil &amp; Mech Engn, Cassino, Italy.</t>
  </si>
  <si>
    <t>dibona@unicas.it</t>
  </si>
  <si>
    <t>Di Bona, Gianpaolo/0000-0001-9567-5534; , K. Velmurugan/0000-0002-3027-1288</t>
  </si>
  <si>
    <t>10.1108/JQME-10-2022-0070</t>
  </si>
  <si>
    <t>NOV 2023</t>
  </si>
  <si>
    <t>WOS:001106908700001</t>
  </si>
  <si>
    <t>Alhourani, F; Essila, J; Farkas, B</t>
  </si>
  <si>
    <t>Alhourani, Farouq; Essila, Jean; Farkas, Bernie</t>
  </si>
  <si>
    <t>Preventive maintenance planning considering machines' reliability using group technology</t>
  </si>
  <si>
    <t>Preventive maintenance; Group technology; Similarity coefficient</t>
  </si>
  <si>
    <t>CELL-FORMATION PROBLEM; SIMILARITY COEFFICIENT; OPTIMIZATION; REPLACEMENT; ALGORITHM; DESIGN; COST; DETERIORATION; ROUTINGS; SUBJECT</t>
  </si>
  <si>
    <t>Purpose The purpose of this paper is to develop an efficient and effective preventive maintenance (PM) plan that considers machines' maintenance needs in addition to their reliability factor. Design/methodology/approach Similarity coefficient method in group technology (GT) philosophy is used. Machines' reliability factor is considered to develop virtual machine cells based on their need for maintenance according to the type of failures they encounter. Findings Using similarity coefficient method in GT philosophy for PM planning results in grouping machines based on their common failures and maintenance needs. Using machines' reliability factor makes the plan more efficient since machines will be maintained at the same time intervals and when their maintenance is due. This helps to schedule a standard and efficient maintenance process where maintenance material, tools and labor are scheduled accordingly. Practical implications The proposed procedure will assist maintenance managers in developing an efficient and effective PM plans. These maintenance plans provide better inventory management for the maintenance materials and tools needed using the developed virtual machine cells. Originality/value This paper presents a new procedure to implement PM using the similarity coefficient method in GT. A new similarity coefficient equation that considers machines reliability is developed. Also a clustering algorithm that calculates the similarity between machine groups and form virtual machine cells is developed. A numerical example adopted from the literature is solved to demonstrate the proposed heuristic method.</t>
  </si>
  <si>
    <t>[Alhourani, Farouq; Farkas, Bernie] Univ Tampa, Tampa, FL 33606 USA; [Essila, Jean] Grand Valley State Univ, Management, Allendale, MI 49401 USA</t>
  </si>
  <si>
    <t>University of Tampa; Grand Valley State University</t>
  </si>
  <si>
    <t>Alhourani, F (corresponding author), Univ Tampa, Tampa, FL 33606 USA.</t>
  </si>
  <si>
    <t>falhourani@ut.edu</t>
  </si>
  <si>
    <t>Farkas, Bernard/G-6039-2011; Essila, Jean/GXV-7965-2022</t>
  </si>
  <si>
    <t>10.1108/JQME-12-2019-0118</t>
  </si>
  <si>
    <t>WOS:000731585500001</t>
  </si>
  <si>
    <t>Ku, S; Kim, C</t>
  </si>
  <si>
    <t>Ku, Sungtae; Kim, Changeun</t>
  </si>
  <si>
    <t>Development of a model for maintenance performance measurement A case study of a gas terminal</t>
  </si>
  <si>
    <t>Performance measurement; Maintenance strategies; Key performance indicator; Maintenance performance</t>
  </si>
  <si>
    <t>Purpose The purpose of this paper is to develop a model that can measure the equipment maintenance performance of the energy company K-company. Design/methodology/approach The case study method was adopted for the investigation of maintenance performance indicators (MPIs). The development of a model for measuring maintenance performance suggested new ways to apply the methodologies of existing papers to evaluate the level of maintenance. Findings Maintenance indicators, which are managed differently for each plant, were assessed for their performance relevance, applicability and data reliability and then standardized into five key MPIs. The MPI model, which enables comprehensive and quantitative measurement of maintenance performance using the five selected MPIs, was presented, and the criteria for assessing the maintenance level were presented in five stages. Originality/value The criterion for selecting the key MPIs considering the characteristics of the company and a model that can comprehensively and quantitatively evaluate maintenance performance were presented. In addition, a standard for evaluating the level of maintenance at the global level of maintenance management was suggested.</t>
  </si>
  <si>
    <t>[Ku, Sungtae; Kim, Changeun] Myongji Univ Nat Sci Campus, Dept Ind &amp; Management Engn, Yongin, South Korea</t>
  </si>
  <si>
    <t>Kim, C (corresponding author), Myongji Univ Nat Sci Campus, Dept Ind &amp; Management Engn, Yongin, South Korea.</t>
  </si>
  <si>
    <t>kst999@unitel.co.kr; changkim@mju.ac.kr</t>
  </si>
  <si>
    <t>Ku, Seung-Hoe/D-2315-2009</t>
  </si>
  <si>
    <t>10.1108/JQME-07-2018-0060</t>
  </si>
  <si>
    <t>WOS:000511243400005</t>
  </si>
  <si>
    <t>Zamzam, AH; Hasikin, K; Wahab, AKA</t>
  </si>
  <si>
    <t>Zamzam, Aizat Hilmi; Hasikin, Khairunnisa; Wahab, Ahmad Khairi Abdul</t>
  </si>
  <si>
    <t>Integrated failure analysis using machine learning predictive system for smart management of medical equipment maintenance</t>
  </si>
  <si>
    <t>ENGINEERING APPLICATIONS OF ARTIFICIAL INTELLIGENCE</t>
  </si>
  <si>
    <t>Medical device; Biomedical instrumentation; Machine learning; Failure analysis; Predictive maintenance</t>
  </si>
  <si>
    <t>GOOGLE SCHOLAR; PRIORITIZATION; ALGORITHMS; SCIENCE; SCOPUS; WEB</t>
  </si>
  <si>
    <t>The study aims to develop the failure analysis predictive models, which prognosticate first failure event (FFE), failure-to-year ratio (FYR), and failure rectification group (FRG). The construction of predictive models involved nineteen categories of 13,350 units of medical equipment. We proposed thirteen novel features in assessing medical equipment failures. The failure analysis predictive models were categorised into several classes for training and testing the developed models. There was seven supervised machine learning classifiers and performance metrics applied in the experiment. The experiment demonstrates that Support Vector Machine is the best classifier for the FFE predictive model, which achieves an accuracy of 96.9% after hyperparameter optimisation. Furthermore, Decision Tree is the best classifier for FYR, with an accuracy of 83.9%. Meanwhile, the comparative analysis for FRG discovered that Artificial Neural Network achieved the highest accuracy among others with 76.7% accuracy after the hyperparameter optimisation process. Findings from this study indicate that this failure analysis predictive model functions as a main instrument for conducting predictive maintenance in the direction of smart maintenance practices. Through the developed predictive systems, timely maintenance of medical equipment can be performed. This will also assist healthcare service providers in initiating the remanufacturing and refurbishment programme, ensuring efficient medical care delivery. The suggested framework of machine learning-assisted failure analysis for medical equipment maintenance management may provide clinical engineers with guidance for managing the strategic maintenance management for medical equipment.</t>
  </si>
  <si>
    <t>[Zamzam, Aizat Hilmi; Hasikin, Khairunnisa; Wahab, Ahmad Khairi Abdul] Univ Malaya, Fac Engn, Dept Biomed Engn, Kuala Lumpur 50603, Malaysia; [Zamzam, Aizat Hilmi] Minist Hlth Malaysia, Engn Serv Div, Putrajaya 62590, Malaysia; [Hasikin, Khairunnisa] Univ Malaya, Fac Engn, Ctr Intelligent Syst Emerging Technol CISET, Kuala Lumpur, Malaysia</t>
  </si>
  <si>
    <t>Universiti Malaya; Kementerian Kesihatan Malaysia; Universiti Malaya</t>
  </si>
  <si>
    <t>Hasikin, K (corresponding author), Univ Malaya, Fac Engn, Dept Biomed Engn, Kuala Lumpur 50603, Malaysia.</t>
  </si>
  <si>
    <t>khairunnisa@um.edu.my</t>
  </si>
  <si>
    <t>ZAMZAM, AIZAT HILMI/GNW-5107-2022; Hasikin, Khairunnisa/B-8780-2010; Abdul Wahab, Ahmad Khairi/B-8162-2010</t>
  </si>
  <si>
    <t>Hasikin, Khairunnisa/0000-0002-0471-3820; Abdul Wahab, Ahmad Khairi/0000-0001-5900-8718</t>
  </si>
  <si>
    <t>0952-1976</t>
  </si>
  <si>
    <t>1873-6769</t>
  </si>
  <si>
    <t>ENG APPL ARTIF INTEL</t>
  </si>
  <si>
    <t>Eng. Appl. Artif. Intell.</t>
  </si>
  <si>
    <t>10.1016/j.engappai.2023.106715</t>
  </si>
  <si>
    <t>JUL 2023</t>
  </si>
  <si>
    <t>Automation &amp; Control Systems; Computer Science, Artificial Intelligence; Engineering, Multidisciplinary; Engineering, Electrical &amp; Electronic</t>
  </si>
  <si>
    <t>Automation &amp; Control Systems; Computer Science; Engineering</t>
  </si>
  <si>
    <t>N4VH0</t>
  </si>
  <si>
    <t>WOS:001037002100001</t>
  </si>
  <si>
    <t>Chen, ZX; Chen, Z; Zhou, D; Pan, ER</t>
  </si>
  <si>
    <t>Chen, Zhaoxiang; Chen, Zhen; Zhou, Di; Pan, Ershun</t>
  </si>
  <si>
    <t>Joint optimization of opportunistic maintenance and speed control for continuous process manufacturing systems considering stochastic imperfect maintenance</t>
  </si>
  <si>
    <t>Continuous process manufacturing systems; Opportunistic maintenance; Speed control; Stochastic imperfect maintenance; Approximate dynamic programming</t>
  </si>
  <si>
    <t>SELECTIVE MAINTENANCE</t>
  </si>
  <si>
    <t>For continuous process manufacturing systems (CPMSs) where production cannot be stopped, opportunistic maintenance and speed control are the main means to improve production completion probability. However, existing studies on the joint optimization of these two means ignored the stochastic characteristic of imperfect maintenance, which increases the risk of unplanned downtime for CPMSs. Therefore, a novel joint optimization method of opportunistic maintenance and speed control under stochastic imperfect maintenance is proposed. The opportunity time window (OTW) is introduced to characterize the production-constrained maintenance opportunities between two production batches. Based on the states and the number of imperfect maintenance times of machines at the end of the last production batch, the proposed method requires determining the maintenance schedule during the OTW with limited maintenance resources and the speed level for the next batch. Moreover, a stochastic flow manufacturing network is established to evaluate the weighted production completion probability under stochastic imperfect maintenance and production speed with different weights. The joint optimization problem to maximize the weighted sum of production completion probability over a finite operation horizon is formulated as a Markov decision process (MDP). Then, a tailored deep learning and knowledge based approximate dynamic programming algorithm, which incorporates the structural property of MDP, is developed to solve this optimization problem. Finally, a case study of the hot rolling manufacturing system is conducted to validate that the proposed method can improve production efficiency and reduce the negative impact of stochastic imperfect maintenance on stability.</t>
  </si>
  <si>
    <t>[Chen, Zhaoxiang; Chen, Zhen; Pan, Ershun] Shanghai Jiao Tong Univ, Dept Ind Engn &amp; Management, State Key Lab Mech Syst &amp; Vibrat, Shanghai 200240, Peoples R China; [Chen, Zhaoxiang] Natl Univ Singapore, Dept Ind Syst Engn &amp; Management, Singapore 119077, Singapore; [Zhou, Di] Donghua Univ, Sch Mech Engn, Shanghai 200051, Peoples R China</t>
  </si>
  <si>
    <t>Shanghai Jiao Tong University; National University of Singapore; Donghua University</t>
  </si>
  <si>
    <t>Pan, ER (corresponding author), Shanghai Jiao Tong Univ, Dept Ind Engn &amp; Management, State Key Lab Mech Syst &amp; Vibrat, Shanghai 200240, Peoples R China.</t>
  </si>
  <si>
    <t>pes@sjtu.edu.cn</t>
  </si>
  <si>
    <t>National Natural Science Foundation of China [72401186]; Postdoctoral Fellowship Program of CPSF [GZC20240989]; Natural Science Foundation of Shanghai [23ZR1428100]</t>
  </si>
  <si>
    <t>National Natural Science Foundation of China(National Natural Science Foundation of China (NSFC)); Postdoctoral Fellowship Program of CPSF; Natural Science Foundation of Shanghai(Natural Science Foundation of Shanghai)</t>
  </si>
  <si>
    <t>This work was supported in part by the National Natural Science Foundation of China under Grant 72401186; in part by the Postdoctoral Fellowship Program of CPSF under Grant Number GZC20240989; and in part by the Natural Science Foundation of Shanghai under Grant 23ZR1428100.</t>
  </si>
  <si>
    <t>10.1016/j.cie.2024.110685</t>
  </si>
  <si>
    <t>NOV 2024</t>
  </si>
  <si>
    <t>L5P7R</t>
  </si>
  <si>
    <t>WOS:001351244000001</t>
  </si>
  <si>
    <t>Sun, TQ; Vatn, J</t>
  </si>
  <si>
    <t>Sun, Tianqi; Vatn, Jorn</t>
  </si>
  <si>
    <t>A phase-type maintenance model considering condition-based inspections and maintenance delays</t>
  </si>
  <si>
    <t>Maintenance optimisation; Multi-state system; Phase-type distribution; Condition-based inspections; Deterministic maintenance delays</t>
  </si>
  <si>
    <t>This paper proposes a maintenance model for systems subject to discrete-state deterioration processes. The deterioration of the system is described by the phase-type (PH) expansion of a multi-state Markov model, where the sojourn times at different states follow general distributions. In contrast to the periodic inspections and exponentially distributed repairs in most works, this study considers condition-based inspections and significant delays from planning a maintenance task until its actual implementation. These delays are usually due to logistic reasons and are considered close to deterministic. This allows the decision-makers to evaluate more flexible inspection strategies and move towards more cost-effective solutions. A case study about road bridge maintenance is presented to demonstrate the modelling process and the value of introducing PH distributions and condition-based inspections. With the proposed model, a less conservative maintenance strategy with fewer inspections and postponed repairs can be derived, bringing significant cost reductions.</t>
  </si>
  <si>
    <t>[Sun, Tianqi; Vatn, Jorn] Norwegian Univ Sci &amp; Technol, Dept Mech &amp; Ind Engn, Trondheim, Norway</t>
  </si>
  <si>
    <t>Norwegian University of Science &amp; Technology (NTNU)</t>
  </si>
  <si>
    <t>Sun, TQ (corresponding author), Norwegian Univ Sci &amp; Technol, Dept Mech &amp; Ind Engn, Trondheim, Norway.</t>
  </si>
  <si>
    <t>sun.tianqi@ntnu.no; jorn.vatn@ntnu.no</t>
  </si>
  <si>
    <t>Sun, Tianqi/0000-0002-5440-3433</t>
  </si>
  <si>
    <t>Norwegian University of Science and Technology</t>
  </si>
  <si>
    <t>The authors would like to thank the Norwegian Public Roads Ad-ministration and the Smarter Maintenance project for giving access to their bridge management system and providing funding for this PhD position. This work has been supported by the Norwegian University of Science and Technology.</t>
  </si>
  <si>
    <t>10.1016/j.ress.2023.109836</t>
  </si>
  <si>
    <t>DZ7G1</t>
  </si>
  <si>
    <t>WOS:001135978200001</t>
  </si>
  <si>
    <t>Wesendrup, K; Hellingrath, B</t>
  </si>
  <si>
    <t>Wesendrup, Kevin; Hellingrath, Bernd</t>
  </si>
  <si>
    <t>Post-prognostics demand management, production, spare parts and maintenance planning for a single-machine system using Reinforcement Learning</t>
  </si>
  <si>
    <t>Production Planning and Control; Condition-based Maintenance; Prognostics and Health Management; Post-prognostics decision-making; Reinforcement Learning</t>
  </si>
  <si>
    <t>MODEL; CONTEXT</t>
  </si>
  <si>
    <t>Production Planning and Control (PPC) is crucial for any manufacturer and comprises steps such as demand management, production, or source planning. Manufacturers achieve competitive advantage by sustaining continuous production, which can be realised through Condition-based Maintenance and Prognostics and Health Management. Hereby, the machine's health can be predicted, and post-prognostics decision-making allows to optimise PPC to meet customer demands and minimise costs. Unfortunately, the complex dynamic, stochastic and intransparent nature of post-prognostics PPC makes it intractable to use 'traditional' static or deterministic optimisation techniques or approaches that require an exact mathematical model or objective function. To tackle this, a data-driven post-prognostics Reinforcement Learning model is developed to plan and control the sourcing of spare parts, production, and maintenance of a single-machine production system to maximise production revenue by meeting customer demands and minimising costs. In a case study, Proximal Policy Optimisation, which is well-known from OpenAI's ChatGPT, is applied to a post-prognostics PPC decision-making problem. The Proximal Policy Optimisation is compared to other state-of-the-art learners, and the performance and robustness are evaluated. Analyses show that our model outperforms other learners, as well as reactive and scheduled preventive maintenance strategies and is robust to noise and cost changes.</t>
  </si>
  <si>
    <t>[Wesendrup, Kevin; Hellingrath, Bernd] European Res Ctr Informat Syst, Leonardo Campus 3, D-48149 Munster, Germany</t>
  </si>
  <si>
    <t>Wesendrup, K (corresponding author), European Res Ctr Informat Syst, Leonardo Campus 3, D-48149 Munster, Germany.</t>
  </si>
  <si>
    <t>kevin.wesendrup@ercis.uni-muenster.de; bernd.hellingrath@ercis.uni-muenster.de</t>
  </si>
  <si>
    <t>Hellingrath, Bernd/0000-0002-5413-6101</t>
  </si>
  <si>
    <t>MAY</t>
  </si>
  <si>
    <t>10.1016/j.cie.2023.109216</t>
  </si>
  <si>
    <t>APR 2023</t>
  </si>
  <si>
    <t>E5XC9</t>
  </si>
  <si>
    <t>WOS:000976260900001</t>
  </si>
  <si>
    <t>Afifi, S; Hrouga, M; Mjirda, A; Allaoui, H</t>
  </si>
  <si>
    <t>Afifi, Sohaib; Hrouga, Mustapha; Mjirda, Anis; Allaoui, Hamid</t>
  </si>
  <si>
    <t>A memetic based algorithm for simultaneous preventive maintenance scheduling and spare-parts inventory management for manufacturing systems</t>
  </si>
  <si>
    <t>APPLIED SOFT COMPUTING</t>
  </si>
  <si>
    <t>Preventive maintenance; Spare part inventory; Memetic Algorithm (MA); Mat-heuristic</t>
  </si>
  <si>
    <t>VARIABLE NEIGHBORHOOD SEARCH; JOINT OPTIMIZATION</t>
  </si>
  <si>
    <t>To increase machine availability, it may be necessary to halt them to replace components before failures occur. Therefore, optimizing spare parts inventory management is a key factor in improving maintenance activities. Spare part costs are a significant contributor to total maintenance costs, including holding and ordering costs, and are often dependent on the maintenance schedule. Hence, it is important to optimize preventive maintenance scheduling and spare parts inventory management together. The first attempt to introduce a new Mixed-Integer Linear Programming (MILP) model that integrates both decisions was by Mjirda et al. (2016). Our paper is the first to extend their work in order to come up with an efficient aided decision making framework based on a mat-heuristic approach that delivers a good trade-off between computational time and solution quality. Indeed, this paper introduces a novel Hybrid Memetic Algorithm (HMA) that synergistically combines Memetic Algorithm (MA) with MILP to solve this NP-hard problem. The paper aims to provide a unified and efficient mat-heuristic based aided decision making framework that optimizes the sum of maintenance, operating, holding, and ordering costs by synchronizing preventive maintenance schedules and spare parts inventory for a set of independent machines. Its efficiency is illustrated through an extensive computational study. The HMA outperforms standalone MILP solvers, solving 36% of instances to optimality within a computational time of less than 141 s, and achieving a maximum gap of 5% for 46% of instances within less than 200 s. Our findings highlight the computational efficiency and solution quality offered by the HMA, thereby advancing the state-of-the-art in integrated spare parts inventory management and preventive maintenance scheduling.</t>
  </si>
  <si>
    <t>[Afifi, Sohaib; Mjirda, Anis; Allaoui, Hamid] Univ Artois, UR 3926, Lab Genie Informat &amp; Automat Artois LGI2A, F-62400 Bethune, France; [Hrouga, Mustapha] Brest Business Sch, 2 Ave Provence, Brest, France</t>
  </si>
  <si>
    <t>Universite d'Artois</t>
  </si>
  <si>
    <t>Afifi, S (corresponding author), Univ Artois, UR 3926, Lab Genie Informat &amp; Automat Artois LGI2A, F-62400 Bethune, France.</t>
  </si>
  <si>
    <t>sohaib.afifi@univ-artois.fr; mustapha.hrouga@brest-bs.com; anis.mjirda@gmail.com; hamid.allaoui@univ-artois.fr</t>
  </si>
  <si>
    <t>allaoui, hamid/0000-0001-7844-5796; AFIFI, Sohaib/0000-0002-9481-0914</t>
  </si>
  <si>
    <t>Hauts-de-France Region; European Economic and Regional Development Fund (ERDF) of the EU</t>
  </si>
  <si>
    <t>Hauts-de-France Region(Region Hauts-de-France); European Economic and Regional Development Fund (ERDF) of the EU</t>
  </si>
  <si>
    <t>This work was carried out within the framework of the ELSAT220 project. The ELSAT2020 project is co-financed by the Hauts-de-France Region and European Economic and Regional Development Fund (ERDF) of the EU.</t>
  </si>
  <si>
    <t>1568-4946</t>
  </si>
  <si>
    <t>1872-9681</t>
  </si>
  <si>
    <t>APPL SOFT COMPUT</t>
  </si>
  <si>
    <t>Appl. Soft. Comput.</t>
  </si>
  <si>
    <t>10.1016/j.asoc.2023.111161</t>
  </si>
  <si>
    <t>Computer Science, Artificial Intelligence; Computer Science, Interdisciplinary Applications</t>
  </si>
  <si>
    <t>Computer Science</t>
  </si>
  <si>
    <t>FH4M6</t>
  </si>
  <si>
    <t>WOS:001144858400001</t>
  </si>
  <si>
    <t>Duarte, ALCM; Scarpin, MRSS</t>
  </si>
  <si>
    <t>Duarte, Andre Luis Castro Moura; Santiago Scarpin, Marcia Regina Santiago</t>
  </si>
  <si>
    <t>Maintenance practices and overall equipment effectiveness: testing the moderating effect of training</t>
  </si>
  <si>
    <t>Predictive maintenance; Preventive maintenance; Corrective maintenance; Efficiency; Overall equipment effectiveness; Continuous process</t>
  </si>
  <si>
    <t>TOTAL PRODUCTIVE MAINTENANCE; PERFORMANCE-MEASUREMENT; MANAGEMENT-PRACTICES; WORK PRACTICES; STRATEGIES</t>
  </si>
  <si>
    <t>Purpose This study aims to identify the relationship between different maintenance practices and productive efficiency in continuous process productive plants as well as the moderating effect of good training practices. Design/methodology/approach The empirical data were drawn from a database containing 609 observations of 29 productive units. Scales were validated using the Q-sort method. The panel data technique was used as the analysis methodology, with the inclusion of fixed effects for each productive plant. Findings Maintenance practices can effectively contribute to increasing the overall equipment effectiveness (OEE) of firms. Application of predictive maintenance practices should be considered as the primary training tool. Research limitations/implications This study used a secondary database, limiting the research design and data manipulation. Practical implications The article provides practitioners with an analysis of maintenance practices by category (predictive, preventive and corrective), and the impact of each practice on the OEE of continuous process productive plants. Moreover, it explores the importance of training for extracting more results from maintenance practices. Social implications Companies are investing in new technologies, but it is also essential to invest in training people. There is a demand for Industry 4.0 through the introduction of upskilling and reskilling programs. Originality/value This study used practice-based view (PBV) theory to explain how maintenance practices help firms achieve greater OEE. Furthermore, it introduced training practice as a moderating variable in the relationship between maintenance practices and OEE.</t>
  </si>
  <si>
    <t>[Duarte, Andre Luis Castro Moura] Insper, Inst Educ &amp; Res, Sao Paulo, Brazil; [Santiago Scarpin, Marcia Regina Santiago] Univ Arizona Global Campus, San Diego, CA USA</t>
  </si>
  <si>
    <t>Insper</t>
  </si>
  <si>
    <t>Duarte, ALCM (corresponding author), Insper, Inst Educ &amp; Res, Sao Paulo, Brazil.</t>
  </si>
  <si>
    <t>andrelcmd@insper.edu.br; marcia.scarpin@faculty.ashford.edu</t>
  </si>
  <si>
    <t>Scarpin, Marcia/ABB-7758-2020</t>
  </si>
  <si>
    <t>Scarpin, Marcia Regina Santiago/0000-0002-9422-7075; Duarte, Andre/0000-0002-8721-9683</t>
  </si>
  <si>
    <t>10.1108/JQME-04-2021-0033</t>
  </si>
  <si>
    <t>WOS:000778998400001</t>
  </si>
  <si>
    <t>Gong, YP; Zha, MJ; Lv, ZM</t>
  </si>
  <si>
    <t>Gong, Yanping; Zha, Mingjiang; Lv, Zhanmei</t>
  </si>
  <si>
    <t>Fractional-order optimal control model for the equipment management optimization problem with preventive maintenance</t>
  </si>
  <si>
    <t>NEURAL COMPUTING &amp; APPLICATIONS</t>
  </si>
  <si>
    <t>Equipment management; Memory effect; Fractional-order model; Optimal control; Equipment quality function</t>
  </si>
  <si>
    <t>PLANNING HORIZON PROCEDURES; REPLACEMENT MODEL; RELIABILITY; MACHINES</t>
  </si>
  <si>
    <t>The current quality status of most machinery and equipment is based on its accumulated historical status, but the influence of the past quality status on the current status of equipment is often overlooked in optimization management. This paper uses a Caputo-type fractional derivative to characterize this property. By refining the nature and characteristics of the equipment maintenance effect function and considering the memory characteristics of equipment quality, the existing model is improved, and a fractional-order optimal control model for equipment maintenance and replacement is constructed. Theoretical analyses verify the effectiveness of the fractional-order equipment maintenance management model. Furthermore, the results of numerical experiments also reflect this difference between integer-order and fractional-order equipment maintenance management models. The result shows that with an increase of the order alpha, the optimal target value of the equipment maintenance management problem will also increase with the weakening of the memory effect.</t>
  </si>
  <si>
    <t>[Gong, Yanping; Zha, Mingjiang] Cent South Univ, Sch Business, Changsha 410083, Peoples R China; [Lv, Zhanmei] Xuzhou Univ Technol, Sch Finance, Xuzhou 221018, Jiangsu, Peoples R China</t>
  </si>
  <si>
    <t>Central South University; Xuzhou University of Technology</t>
  </si>
  <si>
    <t>Lv, ZM (corresponding author), Xuzhou Univ Technol, Sch Finance, Xuzhou 221018, Jiangsu, Peoples R China.</t>
  </si>
  <si>
    <t>lzm12033@xzit.edu.cn</t>
  </si>
  <si>
    <t>lv, zhanmei/0000-0002-0524-9513; Zha, Mingjiang/0000-0003-1999-5303</t>
  </si>
  <si>
    <t>Project of the National Natural Science Foundation of China [71672195, 71872184, 72072185]; Project of Doctor of entrepreneurship and innovation in Jiangsu Province [JSSCBS20211279]</t>
  </si>
  <si>
    <t>Project of the National Natural Science Foundation of China(National Natural Science Foundation of China (NSFC)); Project of Doctor of entrepreneurship and innovation in Jiangsu Province</t>
  </si>
  <si>
    <t>This work was supported by the Project of the National Natural Science Foundation of China (Grant No. 71672195), the Project of the National Natural Science Foundation of China (Grant No. 72072185), the Project of the National Natural Science Foundation of China (Grant No. 71872184), and the Project of Doctor of entrepreneurship and innovation in Jiangsu Province (Grant No. JSSCBS20211279).</t>
  </si>
  <si>
    <t>SPRINGER LONDON LTD</t>
  </si>
  <si>
    <t>236 GRAYS INN RD, 6TH FLOOR, LONDON WC1X 8HL, ENGLAND</t>
  </si>
  <si>
    <t>0941-0643</t>
  </si>
  <si>
    <t>1433-3058</t>
  </si>
  <si>
    <t>NEURAL COMPUT APPL</t>
  </si>
  <si>
    <t>Neural Comput. Appl.</t>
  </si>
  <si>
    <t>10.1007/s00521-021-06624-0</t>
  </si>
  <si>
    <t>Computer Science, Artificial Intelligence</t>
  </si>
  <si>
    <t>ZL3MR</t>
  </si>
  <si>
    <t>WOS:000715674600004</t>
  </si>
  <si>
    <t>Dui, HY; Tian, TZ; Wu, SM; Xie, M</t>
  </si>
  <si>
    <t>Dui, Hongyan; Tian, Tianzi; Wu, Shaomin; Xie, Min</t>
  </si>
  <si>
    <t>A cost-informed component maintenance index and its applications</t>
  </si>
  <si>
    <t>Maintenance; Cost; Reliability; Opportunistic maintenance; Importance measure</t>
  </si>
  <si>
    <t>PREDICTIVE MAINTENANCE; SYSTEM; RELIABILITY; DECISION; POLICY</t>
  </si>
  <si>
    <t>All systems and components are unreliable in the sense that they will fail. While a failed component in a system is being repaired (i.e., corrective maintenance), preventive maintenance (PM) may be conducted on the other components to improve the reliability of the system. The selection of different components for PM may result in a variety of maintenance policies with different cost implications. It is therefore necessary to develop appropriate tools such as importance measures to guide engineers in selecting components for PM in order to minimize relevant costs. There is little research, nevertheless, that jointly minimizes the total expected cost of maintenance and maximizes the number of components for PM. To fill in this gap, this paper proposes an importance index, Cost-Informed Component Maintenance Index (CICMI). It then derives some propositions of the proposed index and different maintenance policies, respectively. A method to optimize the number of components for PM subject to cost constraints is then proposed. A case study on a reactor coolant system is performed to illustrate the applicability of the proposed methods.</t>
  </si>
  <si>
    <t>[Dui, Hongyan] Luoyang Polytech, Coll Business, Luoyang 471000, Peoples R China; [Dui, Hongyan] Zhengzhou Univ, Sch Management, Zhengzhou 450001, Peoples R China; [Tian, Tianzi] Beihang Univ, Sch Reliabil &amp; Syst Engn, Beijing 100191, Peoples R China; [Wu, Shaomin] Univ Kent, Kent Business Sch, Canterbury CT2 7FS, Kent, England; [Xie, Min] City Univ Hong Kong, Dept Syst Engn &amp; Engn Management, Hong Kong, Peoples R China</t>
  </si>
  <si>
    <t>Zhengzhou University; Beihang University; University of Kent; City University of Hong Kong</t>
  </si>
  <si>
    <t>Dui, HY (corresponding author), Luoyang Polytech, Coll Business, Luoyang 471000, Peoples R China.;Dui, HY (corresponding author), Zhengzhou Univ, Sch Management, Zhengzhou 450001, Peoples R China.</t>
  </si>
  <si>
    <t>Xie, Min/IUQ-1412-2023; Wu, Shaomin/A-1940-2010</t>
  </si>
  <si>
    <t>Dui, Hongyan/0000-0002-2277-6454; Tian, Tianzi/0000-0003-0155-1499</t>
  </si>
  <si>
    <t>National Natural Science Foundation of China [72071182, U1904211]; Ministry of Education's Humanities and Social Sciences Planning Fund [20YJA630012]; Key Science and Technology Program of Henan Province [222102520019]; Program for Science &amp; Technology Innovation Talents in Universities of Henan Province [22HASTIT022]; Program for Young Backbone Teachers in Universities of Henan Province [2021GGJS007]; University Grants Committee of Hong Kong [CityU 11203519]</t>
  </si>
  <si>
    <t>National Natural Science Foundation of China(National Natural Science Foundation of China (NSFC)); Ministry of Education's Humanities and Social Sciences Planning Fund; Key Science and Technology Program of Henan Province; Program for Science &amp; Technology Innovation Talents in Universities of Henan Province; Program for Young Backbone Teachers in Universities of Henan Province; University Grants Committee of Hong Kong</t>
  </si>
  <si>
    <t>The authors gratefully acknowledge the financial support for this research from the National Natural Science Foundation of China (72071182, U1904211), the Ministry of Education's Humanities and Social Sciences Planning Fund (20YJA630012), the Key Science and Technology Program of Henan Province (222102520019), the Program for Science &amp; Technology Innovation Talents in Universities of Henan Province (22HASTIT022), the Program for Young Backbone Teachers in Universities of Henan Province (2021GGJS007), and grant from University Grants Committee of Hong Kong (CityU 11203519).</t>
  </si>
  <si>
    <t>10.1016/j.ress.2022.108904</t>
  </si>
  <si>
    <t>OCT 2022</t>
  </si>
  <si>
    <t>7D3MD</t>
  </si>
  <si>
    <t>WOS:000900397900004</t>
  </si>
  <si>
    <t>Shang, LJ; Liu, BL; Qiu, QA; Yang, L</t>
  </si>
  <si>
    <t>Shang, Lijun; Liu, Baoliang; Qiu, Qingan; Yang, Li</t>
  </si>
  <si>
    <t>Three-dimensional warranty and post-warranty maintenance of products with monitored mission cycles</t>
  </si>
  <si>
    <t>Mission cycle; Reliability management; Three-dimensional warranty; Failure number; Post-warranty maintenance</t>
  </si>
  <si>
    <t>PRODUCTION RUN-LENGTH; OPTIMAL BURN-IN; REPLACEMENT POLICIES; REPAIRABLE PRODUCTS; EXTENDED WARRANTY; MANAGEMENT; DESIGN; MODELS; SOLD; LAST</t>
  </si>
  <si>
    <t>This article explores the use of advanced digital technologies as a support in enhancing reliability management during the warranty stage. While previous studies have focused on the influence of monitored mission cycles on product reliability, they have overlooked the importance of failure numbers in warranty management. This article proposes a practical approach that combines mission cycles and failure numbers to model warranties and improve reliability management. The integration of these factors in warranty models, as well as the investigation of post-warranty maintenance policies, remains unexplored. To address this gap, we develop three types of three-dimensional warranties that incorporate limitations into mission cycles, failure numbers, and warranty duration. These warranties aim to effectively manage product reliability during the warranty stage while controlling warranty costs. The warranty costs and service periods of the developed warranties are derived and analysed. Subsequently, taking into account the limited mission cycles and the planned working time in the post-warranty stage, three post-warranty maintenance policies are investigated to manage product reliability during the post-warranty stage. The average cost rates of the proposed post-warranty maintenance policies are calculated from a perspective of the life cycle, and the structural properties of the optimal policies are explored both analytically and numerically. Finally, the proposed models are illustrated, and numerical comparisons of different policies are conducted by unifying the dimensions of the measures.</t>
  </si>
  <si>
    <t>[Shang, Lijun] Foshan Univ, Sch Qual Management &amp; Standardizat, Foshan, Peoples R China; [Liu, Baoliang] Shanxi Datong Univ, Coll Math &amp; Stat, Datong, Peoples R China; [Qiu, Qingan] Beijing Inst Technol, Sch Management &amp; Econ, Beijing, Peoples R China; [Yang, Li] Beihang Univ, Sch Reliabil &amp; Syst Engn, Beijing, Peoples R China</t>
  </si>
  <si>
    <t>Foshan University; Shanxi Datong University; Beijing Institute of Technology; Beihang University</t>
  </si>
  <si>
    <t>Qiu, QA (corresponding author), Beijing Inst Technol, Sch Management &amp; Econ, Beijing, Peoples R China.;Yang, L (corresponding author), Beihang Univ, Sch Reliabil &amp; Syst Engn, Beijing, Peoples R China.</t>
  </si>
  <si>
    <t>qiu_qingan@bit.edu.cn; yanglirass@buaa.edu.cn</t>
  </si>
  <si>
    <t>Shang, Lijun/AAT-8172-2020; , Qingan/AEV-3558-2022</t>
  </si>
  <si>
    <t>, Qingan/0000-0001-8741-0536</t>
  </si>
  <si>
    <t>National Natural Science Foundation of China [72001026, 71871181, 72161025, 72271169]; Characteristic Innovation Projects of Colleges and Universities in Guangdong Province [2021WTSCX081]; Base and Basic Applied Study of Guangdong Province [2020A1515011360]</t>
  </si>
  <si>
    <t>National Natural Science Foundation of China(National Natural Science Foundation of China (NSFC)); Characteristic Innovation Projects of Colleges and Universities in Guangdong Province; Base and Basic Applied Study of Guangdong Province</t>
  </si>
  <si>
    <t>This study is supported by the National Natural Science Foundation of China (Nos. 72001026, 71871181, 72161025, 72271169) , the Characteristic Innovation Projects of Colleges and Universities in Guangdong Province (No. 2021WTSCX081) , the Base and Basic Applied Study of Guangdong Province (No. 2020A1515011360).</t>
  </si>
  <si>
    <t>10.1016/j.ress.2023.109506</t>
  </si>
  <si>
    <t>P1LL2</t>
  </si>
  <si>
    <t>WOS:001048323900001</t>
  </si>
  <si>
    <t>Ghaleb, M; Taghipour, S</t>
  </si>
  <si>
    <t>Ghaleb, Mageed; Taghipour, Sharareh</t>
  </si>
  <si>
    <t>Assessing the impact of maintenance practices on asset's sustainability</t>
  </si>
  <si>
    <t>Maintenance; Maintenance management; Sustainability assessment method; Sustainability index; Sustainability indicators; Asset management</t>
  </si>
  <si>
    <t>ENVIRONMENTAL SUSTAINABILITY; RESEARCH DIRECTIONS; PERFORMANCE; STRATEGIES; MODEL; CITIES</t>
  </si>
  <si>
    <t>Maintenance practices can play a significant role in pursuing sustainable development in several industries. However, a general method to monitor and assess maintenance interventions' impacts on environmental, social, and economic sustainability does not exist yet. To calculate a sustainability score, in this paper, we propose a methodology to quantify and measure the impacts of maintenance practices on sustainability performance. The proposed methodology uses available data and aggregates correlation algorithms with the best-worst method (BWM), a multi-criteria decision-making method. The proposed methodology can be applied to evaluate sus-tainability performance when a database for a set of sustainability-related indicators concerning maintenance activities is available. The purpose here is not to have a complicated methodology, but a simple one that can be easily applied in practice. For this purpose, the proposed methodology is implemented in a sustainability dashboard that can be used as a simple sustainability score calculator. A case study is developed to demonstrate the practical implications of the proposed sustainability dashboard. The findings demonstrate the efficiency of the methodology and suggest that it could work as a valuable tool for practitioners and academics to understand the impacts of maintenance practices on an asset's overall sustainability score (OSS).</t>
  </si>
  <si>
    <t>[Ghaleb, Mageed; Taghipour, Sharareh] Ryerson Univ, Mech &amp; Ind Engn Dept, RRMR Lab, Toronto, ON, Canada</t>
  </si>
  <si>
    <t>Toronto Metropolitan University</t>
  </si>
  <si>
    <t>Taghipour, S (corresponding author), Ryerson Univ, Mech &amp; Ind Engn Dept, RRMR Lab, Toronto, ON, Canada.</t>
  </si>
  <si>
    <t>sharareh@ryerson.ca</t>
  </si>
  <si>
    <t>Taghipour, Sharareh/0000-0003-3816-2462</t>
  </si>
  <si>
    <t>Natural Sciences and Engineering Research Council (NSERC) of Canada; Fiix Software for Information Technology and Services (Toronto, Ontario, Canada)</t>
  </si>
  <si>
    <t>Natural Sciences and Engineering Research Council (NSERC) of Canada(Natural Sciences and Engineering Research Council of Canada (NSERC)); Fiix Software for Information Technology and Services (Toronto, Ontario, Canada)</t>
  </si>
  <si>
    <t>The funding for this research was provided by the Natural Sciences and Engineering Research Council (NSERC) of Canada (CRD) and Fiix Software for Information Technology and Services (Toronto, Ontario, Canada) .</t>
  </si>
  <si>
    <t>10.1016/j.ress.2022.108810</t>
  </si>
  <si>
    <t>4Z9XH</t>
  </si>
  <si>
    <t>WOS:000862551300002</t>
  </si>
  <si>
    <t>Hu, Y; Miao, XW; Zhang, J; Liu, J; Pan, ES</t>
  </si>
  <si>
    <t>Hu, Yang; Miao, Xuewen; Zhang, Jun; Liu, Jie; Pan, Ershun</t>
  </si>
  <si>
    <t>Reinforcement learning-driven maintenance strategy: A novel solution for long-term aircraft maintenance decision optimization</t>
  </si>
  <si>
    <t>Aircraft maintenance optimization; Aircraft maintenance scenario modeling; Reinforcement learning; Extreme learning machine based Q-learning</t>
  </si>
  <si>
    <t>A novel Reinforcement Learning (RL) driven maintenance strategy is proposed in this paper for solving the problem of aircraft long-term maintenance decision optimization. Specifically, it is targeted to process the information of aircraft future mission requirement, repair cost, spare components storage and aircraft Prognostics and Health Management (PHM) output, and provide real-time End-to-End sequential maintenance action decisions based on the coordination between short and long-term operation performance. The proposed RL-driven strategy is designed in the RL framework with Extreme Learning Machine based Q-learning algorithm, and an integrated aircraft maintenance simulation model is developed for training/testing RL-driven strategy. We test the proposed RL-driven strategy in several simulated dynamic aircraft maintenance scenarios together with 3 other commonly used maintenance strategies. The obtained results demonstrate that RL-driven strategy has prior performance in adjusting its decision principle for handling the variations of mission reward, repair/spare component storage cost and PHM ability in different maintenance scenarios. Some practical application suggestions and future perspectives of RL-driven strategy are discussed based on the obtained experiment results.</t>
  </si>
  <si>
    <t>[Hu, Yang; Miao, Xuewen; Zhang, Jun] Sci &amp; Technol Complex Aviat Syst Simulat Lab, Beijing, Peoples R China; [Liu, Jie] Beihang Univ, Sch Reliabil &amp; Syst Engn, 37 Xueyuan Rd, Beijing 100191, Peoples R China; [Pan, Ershun] Shanghai Jiao Tong Univ, Sch Mech Engn, Dept Ind Engn, Shanghai, Peoples R China</t>
  </si>
  <si>
    <t>Beihang University; Shanghai Jiao Tong University</t>
  </si>
  <si>
    <t>Liu, J (corresponding author), Beihang Univ, Sch Reliabil &amp; Syst Engn, 37 Xueyuan Rd, Beijing 100191, Peoples R China.</t>
  </si>
  <si>
    <t>Liu, Jie/0000-0003-0895-7598</t>
  </si>
  <si>
    <t>National Natural Science Foundation of China [61703431]</t>
  </si>
  <si>
    <t>The work of Yang Hu was supported by the National Natural Science Foundation of China (61703431).</t>
  </si>
  <si>
    <t>10.1016/j.cie.2020.107056</t>
  </si>
  <si>
    <t>RC7FG</t>
  </si>
  <si>
    <t>WOS:000632961600013</t>
  </si>
  <si>
    <t>Wakiru, JM; Pintelon, L; Muchiri, P; Chemweno, P</t>
  </si>
  <si>
    <t>Wakiru, James M.; Pintelon, Liliane; Muchiri, Peter; Chemweno, Peter</t>
  </si>
  <si>
    <t>Integrated maintenance policies for performance improvement of a multi-unit repairable, one product manufacturing system</t>
  </si>
  <si>
    <t>Preventive maintenance; corrective maintenance; opportunistic maintenance; product quality; OEE; manufacturing system</t>
  </si>
  <si>
    <t>OPPORTUNISTIC MAINTENANCE; DEPENDENT COMPONENTS; QUALITY; MANAGEMENT; REDUCTION; SELECTION; STRATEGY; SUBJECT</t>
  </si>
  <si>
    <t>Planned and unplanned downtime emanating from maintenance, production, and operational function adversely affects the performance of manufacturing plants. This paper develops joint maintenance, production and process/operations control policies integrating Opportunistic Maintenance (OM), which takes advantage of external (operational-related downtimes) and internal maintenance opportunities. The study quantifies the effects of maintenance strategies on the plant's performance, here, the overall equipment effectiveness (OEE), which importantly presents insights on maintenance decision support for production facilities facing significant operational-related stoppages. The study integrates both economic and structural dependence and models the influence of alternative maintenance actions of different maintenance policies, on product quality. The developed model is validated by applying to a multi-unit repairable, imperfectly maintained raw meal grinding system of a cement plant. From the simulation modelling results, integration of the opportunistic maintenance approach, complementary to corrective, preventive and condition-based maintenance strategies, show more enhanced equipment performance, as measured through the OEE.</t>
  </si>
  <si>
    <t>[Wakiru, James M.; Pintelon, Liliane] Katholieke Univ Leuven, Ctr Ind Management Traff Infrastruct, B-3001 Heverlee, Belgium; [Wakiru, James M.; Muchiri, Peter] Dedan Kimathi Univ Technol, Dept Mech Engn, Nyeri, Kenya; [Chemweno, Peter] Univ Twente, Dept Design Prod &amp; Management, Enschede, Netherlands</t>
  </si>
  <si>
    <t>KU Leuven; University of Twente</t>
  </si>
  <si>
    <t>Wakiru, JM (corresponding author), Katholieke Univ Leuven, Ctr Ind Management Traff Infrastruct, B-3001 Heverlee, Belgium.</t>
  </si>
  <si>
    <t>jamesmutuota.wakiru@kuleuven.be</t>
  </si>
  <si>
    <t>pintelon, liliane/S-3769-2016; Wakiru, James/AAB-6968-2022</t>
  </si>
  <si>
    <t>Muchiri, Peter/0000-0001-6176-5240; Chemweno, Peter/0000-0001-5252-3813</t>
  </si>
  <si>
    <t>APR 4</t>
  </si>
  <si>
    <t>10.1080/09537287.2020.1736684</t>
  </si>
  <si>
    <t>MAR 2020</t>
  </si>
  <si>
    <t>QT7DO</t>
  </si>
  <si>
    <t>WOS:000519464200001</t>
  </si>
  <si>
    <t>Gomes, CF; Yasin, MM; Simoes, JM</t>
  </si>
  <si>
    <t>Gomes, Carlos F.; Yasin, Mahmoud M.; Simoes, Jorge M.</t>
  </si>
  <si>
    <t>The emerging organizational role of the maintenance function: a strategic perspective</t>
  </si>
  <si>
    <t>Maintenance; System orientation; Strategy; Performance measurement; PLS-SEM; Partial least squares</t>
  </si>
  <si>
    <t>TOTAL PRODUCTIVE MAINTENANCE; EQUIPMENT EFFECTIVENESS OEE; PERFORMANCE-MEASUREMENT; FACILITY MANAGEMENT; FRAMEWORK; FUTURE; IMPLEMENTATION; CONTEXT; SYSTEMS; MODELS</t>
  </si>
  <si>
    <t>Purpose With the growing importance of performance measurement and management, this exploratory study intends to examine the practices of maintenance managers with regards to maintenance measures, as used in their organizations. In this process, the study attempts to uncover the relevant maintenance performance dimensions from the perspectives of the surveyed managers. In addition, the mediating effect of information availability on the main performance measures utilization is studied. Design/methodology/approach The research at hand is survey-based. It utilizes the responses of a sample of ninety-five (95) experienced maintenance managers to identify the most relevant maintenance performance measures. Factor analysis is then utilized to uncover the important dimensions of performance, as seen by the respondents. Additionally, using the Partial Least Squares method, several models were studied. Findings The findings of this exploratory research appear to suggest that maintenance managers are beginning to broaden their perspective with regard to performance management. While machine and plant-related performance measures are still emphasized, maintenance managers are slowly moving toward a wider organizational orientation. While the manufacturing organizations are becoming more and more customer-oriented open systems, the maintenance function of these organizations is still, for the most part, operating under the semi-open system orientation. Overall, it appears that an emerging maintenance strategy is slowly taking shape. Research limitations/implications For the most part, performance measures and measurement related to maintenance have not received enough attention from researchers. Therefore, the literature dealing with the different facets of performance in maintenance has not been forthcoming. The study attempts to fill this apparent gap in the literature. This is important, as maintenance managers are being asked to contribute to the achievement of the competitive strategies of their organizations. Therefore, they must quickly learn how to view maintenance from a coherent strategic organizational perspective. Such a perspective should help in integrating the maintenance, resources, capabilities, and technical know-how in order to serve the strategic goal of their organization. The research at hand is limited to a sample from Portugal. Therefore, the results and conclusions must be interpreted accordingly. Practical implications As maintenance managers struggle to move from a machine-orientation to a more organizational-wide strategic orientation, they are often left with many questions and few answers. This study attempts to bring this problem to the spotlight so that it can receive more systematic empirical and practical research. In this context, the role of maintenance managers in the process of organizational strategy formulation should be examined. Originality/value The study presented in this article has practical, as well as theoretical contributions. It deals with an area of performance measurement, which so far has been relatively ignored. It uses a system orientation (closed vs open), in addition to the strategic orientation (single vs multi-faceted strategy) in order to shed some light on the need to have consistency between the nature of the system and its strategic objective.</t>
  </si>
  <si>
    <t>[Gomes, Carlos F.] Univ Coimbra, Coimbra, Portugal; [Yasin, Mahmoud M.] East Tennessee State Univ, Johnson City, TN USA; [Simoes, Jorge M.] Navigator Co, Aveiro, Portugal</t>
  </si>
  <si>
    <t>Universidade de Coimbra; East Tennessee State University</t>
  </si>
  <si>
    <t>Gomes, CF (corresponding author), Univ Coimbra, Coimbra, Portugal.</t>
  </si>
  <si>
    <t>cfgomes@fe.uc.pt; mmyasin@etsu.edu; jorge.mendes.simoes@gmail.com</t>
  </si>
  <si>
    <t>Gomes, Carlos F./G-1300-2011</t>
  </si>
  <si>
    <t>Gomes, Carlos F./0000-0001-7071-8833</t>
  </si>
  <si>
    <t>10.1108/JQME-03-2017-0012</t>
  </si>
  <si>
    <t>WOS:000564411100001</t>
  </si>
  <si>
    <t>Yunusa-Kaltungo, A; Labib, A</t>
  </si>
  <si>
    <t>Yunusa-Kaltungo, Akilu; Labib, Ashraf</t>
  </si>
  <si>
    <t>A hybrid of industrial maintenance decision making grids</t>
  </si>
  <si>
    <t>Manufacturing systems; industrial maintenance; decision analysis; decision making grid; maintenance strategies; case study</t>
  </si>
  <si>
    <t>OPTIMIZATION MODELS; HIERARCHY PROCESS; FAULTS DIAGNOSIS; EXPERT-SYSTEMS; MANAGEMENT; ELECTRE; SELECTION; STRATEGIES; FRAMEWORK; POLICIES</t>
  </si>
  <si>
    <t>It is fair to assume that the main challenge in maintenance decision-making is the existence of gaps between theory and sustainable practice which is attributable to complexity, too much emphasis on development of new models that only serve to criticize earlier ones, underrepresentation of case study-based researches and lack of adequate incorporation of industry-based knowledge into most theoretical studies. In this paper, we revisited the application of decision making grids (DMG) for maintenance optimization but the main novelty here is harmonizing the strengths of the two most popular DMG approaches as opposed to the previous trends of advocating one over the other. The current initiative limits assumptions associated with the process, since both approaches depend on the main objective and nature of data involved. The data required for implementation are breakdown frequency and downtime for each event, which is readily available within most in-house maintenance management systems.</t>
  </si>
  <si>
    <t>[Yunusa-Kaltungo, Akilu] Univ Manchester, Dept Mech Aerosp &amp; Civil Engn MACE, Sch Engn, Fac Sci &amp; Engn, Manchester, Lancs, England; [Labib, Ashraf] Univ Portsmouth, Fac Business &amp; Law, Operat Syst Management Grp, Portsmouth, Hants, England</t>
  </si>
  <si>
    <t>University of Manchester; University of Portsmouth</t>
  </si>
  <si>
    <t>Yunusa-Kaltungo, A (corresponding author), Univ Manchester, Sch Engn, Dept Mech Aerosp &amp; Civil Engn MACE, Room E2,E Floor,Pariser Bldg,76 Sackville St, Manchester M1 3NJ, Lancs, England.</t>
  </si>
  <si>
    <t>akilu.kaltungo@manchester.ac.uk</t>
  </si>
  <si>
    <t>Labib, Ashraf/F-4792-2019; yunusa-kaltungo, akilu/AFM-7988-2022</t>
  </si>
  <si>
    <t>yunusa-kaltungo, akilu/0000-0001-5138-3783; Labib, Ashraf/0000-0002-5481-5833</t>
  </si>
  <si>
    <t>10.1080/09537287.2020.1741046</t>
  </si>
  <si>
    <t>WOS:000524011600001</t>
  </si>
  <si>
    <t>Cao, WB; Jia, XS; Liu, Y; Hu, QW; Zhao, JM</t>
  </si>
  <si>
    <t>Cao, Wenbin; Jia, Xisheng; Liu, Yu; Hu, Qiwei; Zhao, Jianmin</t>
  </si>
  <si>
    <t>Selective maintenance optimisation considering random common cause failures and imperfect maintenance</t>
  </si>
  <si>
    <t>Selective maintenance; random common cause failure; random common cause event; time-based imperfect maintenance; genetic algorithm and Monte Carlo simulation</t>
  </si>
  <si>
    <t>MULTISTATE SYSTEMS; GENETIC ALGORITHMS; DETERIORATING SYSTEM; SUBJECT; POLICY; INSPECTION</t>
  </si>
  <si>
    <t>This article addresses a selective maintenance optimisation problem for systems subject to random common cause failures. A system is likely to suffer from several random common cause failures during a given mission. Random common cause events, which occur with a specific probability distribution, may result in the simultaneous failures of multiple elements. Because time is one of the most crucial maintenance resources, a time-based imperfect maintenance model is proposed to quantify the maintenance efficiency of each candidate maintenance action. To meet the demands of the next mission, a selective maintenance model is proposed to optimally identify a subset of maintenance activities to be performed on certain elements of a system. A genetic algorithm and Monte Carlo simulation method is presented to solve the proposed selective maintenance optimisation problem. Illustrative examples combined with detailed discussions are presented to demonstrate the effectiveness of the proposed model. The results show that the proposal of time-based imperfect maintenance model can yield better maintenance results, while ignoring random common cause failures in selective maintenance optimisation may produce biased maintenance decisions and system reliability.</t>
  </si>
  <si>
    <t>[Cao, Wenbin; Jia, Xisheng; Hu, Qiwei; Zhao, Jianmin] Mech Engn Coll, Dept Management Engn, Shijiazhuang 050003, Hebei, Peoples R China; [Liu, Yu] Univ Elect Sci &amp; Technol China, Sch Mech &amp; Elect Engn, Chengdu, Sichuan, Peoples R China</t>
  </si>
  <si>
    <t>University of Electronic Science &amp; Technology of China</t>
  </si>
  <si>
    <t>Cao, WB; Hu, QW (corresponding author), Mech Engn Coll, Dept Management Engn, Shijiazhuang 050003, Hebei, Peoples R China.</t>
  </si>
  <si>
    <t>wbyzq@foxmail.com; hu_q_w@163.com</t>
  </si>
  <si>
    <t>hu, Jack/AAH-5651-2019; Liu, Yu/C-8109-2011</t>
  </si>
  <si>
    <t>Cao, Wenbin/0000-0003-0655-0030; Liu, Yu/0000-0002-4367-5097</t>
  </si>
  <si>
    <t>National Natural Science Foundation of China [71401173, 71371042]</t>
  </si>
  <si>
    <t>The author(s) disclosed receipt of the following financial support for the research, authorship, and/or publication of this article: This work was supported by the National Natural Science Foundation of China under contract number 71401173 and 71371042.</t>
  </si>
  <si>
    <t>10.1177/1748006X18799907</t>
  </si>
  <si>
    <t>IC7NG</t>
  </si>
  <si>
    <t>WOS:000471160800010</t>
  </si>
  <si>
    <t>Shi, Y; Xiang, YS; Li, MY</t>
  </si>
  <si>
    <t>Shi, Yue; Xiang, Yisha; Li, Mingyang</t>
  </si>
  <si>
    <t>Optimal maintenance policies for multi-level preventive maintenance with complex effects</t>
  </si>
  <si>
    <t>IISE TRANSACTIONS</t>
  </si>
  <si>
    <t>Multi-level preventive maintenance; complex effects; Markov decision process; monotone control-limit policy</t>
  </si>
  <si>
    <t>ORIENTED MULTIOBJECTIVE OPTIMIZATION; MARKOVIAN DETERIORATING SYSTEM; BRIDGE MAINTENANCE; IMPERFECT MAINTENANCE; REPLACEMENT POLICIES; BURN-IN; MODELS; RELIABILITY; SUBJECT; SAFETY</t>
  </si>
  <si>
    <t>We consider the problem of optimally maintaining a periodically inspected system with multi-level preventive maintenance whose effects are complex. At each inspection, the maintenance decision concerns whether a preventive maintenance action is needed and which level should be selected if preventive maintenance is desired. The objective is to minimize the total expected discounted cost including inspection and maintenance costs. We formulate an infinite-horizon Markov decision process model and establish sufficient conditions to ensure the existence of an optimal monotone control-limit type policy with respect to the system's deterioration level and age. We also numerically explore the structure of the optimal policy with respect to two additional system states, the level of the last maintenance action and the time since the last maintenance action. Real-world pavement deterioration data is used in our computational experiments, and the results show that the optimal policy is typically of monotone control-limit type.</t>
  </si>
  <si>
    <t>[Shi, Yue; Xiang, Yisha] Texas Tech Univ, Ind Mfg &amp; Syst Engn, Lubbock, TX 79409 USA; [Li, Mingyang] Univ S Florida, Ind &amp; Management Syst Engn, Tampa, FL USA</t>
  </si>
  <si>
    <t>Texas Tech University System; Texas Tech University; State University System of Florida; University of South Florida</t>
  </si>
  <si>
    <t>Xiang, YS (corresponding author), Texas Tech Univ, Ind Mfg &amp; Syst Engn, Lubbock, TX 79409 USA.</t>
  </si>
  <si>
    <t>yisha.xiang@ttu.edu</t>
  </si>
  <si>
    <t>Xiang, Yisha/L-9847-2016</t>
  </si>
  <si>
    <t>Xiang, Yisha/0000-0003-0696-2924</t>
  </si>
  <si>
    <t>U.S. National Science Foundation [1728257]; Div Of Civil, Mechanical, &amp; Manufact Inn; Directorate For Engineering [1728257] Funding Source: National Science Foundation</t>
  </si>
  <si>
    <t>U.S. National Science Foundation(National Science Foundation (NSF)); Div Of Civil, Mechanical, &amp; Manufact Inn; Directorate For Engineering(National Science Foundation (NSF)NSF - Directorate for Engineering (ENG))</t>
  </si>
  <si>
    <t>This study is partially supported by the U.S. National Science Foundation through Award 1728257.</t>
  </si>
  <si>
    <t>TAYLOR &amp; FRANCIS INC</t>
  </si>
  <si>
    <t>PHILADELPHIA</t>
  </si>
  <si>
    <t>530 WALNUT STREET, STE 850, PHILADELPHIA, PA 19106 USA</t>
  </si>
  <si>
    <t>2472-5854</t>
  </si>
  <si>
    <t>2472-5862</t>
  </si>
  <si>
    <t>IISE TRANS</t>
  </si>
  <si>
    <t>IISE Trans.</t>
  </si>
  <si>
    <t>SEP 2</t>
  </si>
  <si>
    <t>10.1080/24725854.2018.1532135</t>
  </si>
  <si>
    <t>IE2BI</t>
  </si>
  <si>
    <t>WOS:000472189100006</t>
  </si>
  <si>
    <t>Pezeshkian, A; Hamidi, N</t>
  </si>
  <si>
    <t>Pezeshkian, Alireza; Hamidi, Naser</t>
  </si>
  <si>
    <t>Presenting the model in improving maintenance and excellence in organizational culture and reliability in Iran tile and ceramic industries</t>
  </si>
  <si>
    <t>Reliability; Excellence; Organization culture; Maintenance optimization; Physical asset management</t>
  </si>
  <si>
    <t>FRAMEWORK; COMPANIES</t>
  </si>
  <si>
    <t>Purpose In order to increase productivity and create added value in ceramic and tile industries of Iran, the role of physical assets including machinery, equipment and utilities is very important in these industries, and management of those take an important role. Organizational culture and its role in physical asset management implementation are very important in the Iran ceramic and tile industries. In these industries, there is a secret force called culture, which must be changed if the organization wants to grow up and improve physical assets management. The purpose of this paper is to identify organizational cultural, technical and reliability variables and structure of these variables in form of a combined structural model. Design/methodology/approach In order to present a structural combination model, a development model type, the mixed research method is used, and expert's comments are also used. This model was implemented at Apadana Ceram Company, and its results, in comparison with previous models on physical assets, have shown that consideration of four culture elements can be of great help to reach an optimal point in maintenance and excellence. Findings In this paper, analysis of previous research studies, project documents and expert's opinions in ceramic and tile industries have been used. In the presented model, special attention has been paid to organizational culture and its four elements including values, patterns, rituals and procedures and cultural infrastructure in order to achieve excellence and reach an optimal point in maintenance. Also, governing structure between organizational culture and technical and reliability variables was nominated, which could help companies in physical asset management. Furthermore, eight components of change management were expressed, which are important in order to implement this model. Originality/value This model with special consideration of four culture elements can be of great help to industries to reach an optimal point in maintenance and excellence.</t>
  </si>
  <si>
    <t>[Pezeshkian, Alireza] Islamic Republ Iran, Qazvin, Iran; [Hamidi, Naser] Islamic Azad Univ Qazvin, Qazvin, Iran</t>
  </si>
  <si>
    <t>Islamic Azad University</t>
  </si>
  <si>
    <t>Pezeshkian, A (corresponding author), Islamic Republ Iran, Qazvin, Iran.</t>
  </si>
  <si>
    <t>pezeshkian.58@gmail.com</t>
  </si>
  <si>
    <t>AUG 10</t>
  </si>
  <si>
    <t>10.1108/JQME-06-2018-0051</t>
  </si>
  <si>
    <t>MH8KJ</t>
  </si>
  <si>
    <t>WOS:000546970600002</t>
  </si>
  <si>
    <t>Liu, BY; Pang, J; Yang, HD; Zhao, YL</t>
  </si>
  <si>
    <t>Liu, Biyu; Pang, Jie; Yang, Haidong; Zhao, Yilin</t>
  </si>
  <si>
    <t>Optimal condition-based maintenance policy for leased equipment considering hybrid preventive maintenance and periodic inspection</t>
  </si>
  <si>
    <t>Leased equipment; Condition-based maintenance; Hybrid preventive maintenance; Periodic inspection; Warranty period</t>
  </si>
  <si>
    <t>CONTRACT; STRATEGY</t>
  </si>
  <si>
    <t>Innovations in technology have made the structure of leased equipment more complex, which poses a challenge for lessors to develop maintenance policies. In view of the situation that the single periodic preventive maintenance (PM) policy during leasing activities may cause excessive or insufficient maintenance on the leased equipment, a condition-based maintenance (CBM) policy considering hybrid preventive maintenance (HPM) and periodic inspections is proposed. This policy contains imperfect preventive maintenance (IPM), preventive replacement (PR) and corrective maintenance (CM). The lessor can decide to take maintenance actions depending on whether the state of the equipment reaches the corresponding maintenance threshold. The warranty period of the leased equipment is also considered. To seal the deal, the lessor will give a discount on the rental to cover the CM costs and penalties out of the warranty period. To minimize the lessor's costs, we propose a CBM decision model to determine the optimal inspection period, PM threshold and PR period. The results show that the HPM policy can reduce leasing costs by about 5 -15 % for the lessor compared to that of the single PM policy.</t>
  </si>
  <si>
    <t>[Liu, Biyu; Pang, Jie; Yang, Haidong; Zhao, Yilin] Fuzhou Univ, Sch Econ &amp; Management, Fuzhou 350116, Peoples R China; [Liu, Biyu] Fuzhou Univ, Logist Res Ctr, Fujian Social Sci Res Base, Fuzhou 350116, Peoples R China</t>
  </si>
  <si>
    <t>Fuzhou University; Fuzhou University</t>
  </si>
  <si>
    <t>Yang, HD (corresponding author), Fuzhou Univ, Sch Econ &amp; Management, Fuzhou 350116, Peoples R China.</t>
  </si>
  <si>
    <t>yanghaidong@fzu.edu.cn</t>
  </si>
  <si>
    <t>Liu, Biyu/0000-0003-4637-0376</t>
  </si>
  <si>
    <t>National Natural Science Foundation of China [71971064]; Fujian Eagle Young top talent pro-gram; Natural Science Foundation of Fujian Province [2023J01394, 2020J01460]; Social Science Foundation of Fujian Province [FJ2022B071]</t>
  </si>
  <si>
    <t>National Natural Science Foundation of China(National Natural Science Foundation of China (NSFC)); Fujian Eagle Young top talent pro-gram; Natural Science Foundation of Fujian Province(Natural Science Foundation of Fujian Province); Social Science Foundation of Fujian Province</t>
  </si>
  <si>
    <t>This work was supported by the National Natural Science Foundation of China with Grant No. 71971064, Fujian Eagle Young top talent pro-gram, the Natural Science Foundation of Fujian Province with Grant Nos. 2023J01394 and 2020J01460, and the Social Science Foundation of Fujian Province with Grant No. FJ2022B071.</t>
  </si>
  <si>
    <t>10.1016/j.ress.2023.109724</t>
  </si>
  <si>
    <t>Y0ZY9</t>
  </si>
  <si>
    <t>WOS:001102650200001</t>
  </si>
  <si>
    <t>Mahlamäki, K; Nieminen, M</t>
  </si>
  <si>
    <t>Mahlamaki, Katrine; Nieminen, Marko</t>
  </si>
  <si>
    <t>Analysis of manual data collection in maintenance context</t>
  </si>
  <si>
    <t>Human factors; Data quality; Industrial maintenance</t>
  </si>
  <si>
    <t>DATA QUALITY</t>
  </si>
  <si>
    <t>Purpose The purpose of this paper is to identify details of technological, organizational and people (TOP) factors affecting maintenance technicians' use of computerized maintenance management systems (CMMS) in manual collection of asset data. Design/methodology/approach In addition to TOP factor details, results from six case studies in Finland, India and the Caribbean are presented. Interviews and observations clarify the role of TOP factors in CMMS use in industrial maintenance. Findings In total, 17 detailed TOP factors are identified and criteria for analyzing CMMS contexts with them are defined. Analyzing the cases with these factors reveals that technicians who collect good quality data have received good training and instructions for the CMMS, are competent, and understand how manually collected data benefits them in their own work. However, even these sites struggle with the usability of the CMMS. Originality/value Insights from industrial environments and a new way of studying contextual factors of CMMS use are presented. The results extend a data quality research framework with details to manual data collection and define the TOP factors in CMMS context.</t>
  </si>
  <si>
    <t>[Mahlamaki, Katrine; Nieminen, Marko] Aalto Univ, Dept Comp Sci, Espoo, Finland</t>
  </si>
  <si>
    <t>Aalto University</t>
  </si>
  <si>
    <t>Mahlamäki, K (corresponding author), Aalto Univ, Dept Comp Sci, Espoo, Finland.</t>
  </si>
  <si>
    <t>katrine.mahlamaki@aalto.fi; marko.nieminen@aalto.fi</t>
  </si>
  <si>
    <t>Nieminen, Marko/F-9250-2011</t>
  </si>
  <si>
    <t>Nieminen, Marko/0000-0002-1892-3933</t>
  </si>
  <si>
    <t>Business Finland</t>
  </si>
  <si>
    <t>This research was supported by Business Finland, participating research institutes and companies (Future Industrial Services (FutIS) and Service for Fleet (S4fleet) research programs, managed by DIMECC (former FIMECC, the Finnish Metals and Engineering Competence Cluster)). The authors gratefully acknowledge this support.</t>
  </si>
  <si>
    <t>10.1108/JQME-12-2017-0091</t>
  </si>
  <si>
    <t>WOS:000511243400007</t>
  </si>
  <si>
    <t>Dui, HY; Xu, HT; Zhang, LY; Wang, J</t>
  </si>
  <si>
    <t>Dui, Hongyan; Xu, Huiting; Zhang, Luyu; Wang, Jia</t>
  </si>
  <si>
    <t>Cost-based maintenance of industrial robot</t>
  </si>
  <si>
    <t>Preventive maintenance; Maintenance cost; Importance measure; Industrial robot</t>
  </si>
  <si>
    <t>OPTIMIZATION; PERFORMANCE</t>
  </si>
  <si>
    <t>The industrial robot plays an increasingly important role in industrial and social activities, and its performance has a great effect on the entire automatic production line. Most studies have analyzed the reliability of industrial robot systems, while the research on preventive maintenance considering multiple costs is limited. This paper proposes two different preventive maintenance strategies for industrial robot systems. Firstly, a preventive maintenance importance measure (PMIM) is proposed by taking into account component maintenance costs, system losses, and component preventive maintenance costs. Subsequently, preventive maintenance strategies are suggested and optimized based on whether the failed component is critical or part of a cut set, in order to determine the priority and optimal number of components for preventive maintenance. Lastly, a welding robot is taken as an example to verify the feasibility of the proposed preventive maintenance strategies.</t>
  </si>
  <si>
    <t>[Dui, Hongyan; Xu, Huiting] Zhengzhou Univ, Sch Management, Zhengzhou 450001, Peoples R China; [Zhang, Luyu; Wang, Jia] Hebei Univ Technol, State Key Lab Reliabil &amp; Intelligence Elect Equipm, Tianjin 300401, Peoples R China; [Zhang, Luyu; Wang, Jia] Hebei Univ Technol, Sch Elect Engn, Tianjin 300401, Peoples R China</t>
  </si>
  <si>
    <t>Zhengzhou University; Hebei University of Technology; Hebei University of Technology</t>
  </si>
  <si>
    <t>Zhang, LY (corresponding author), Hebei Univ Technol, State Key Lab Reliabil &amp; Intelligence Elect Equipm, Tianjin 300401, Peoples R China.;Zhang, LY (corresponding author), Hebei Univ Technol, Sch Elect Engn, Tianjin 300401, Peoples R China.</t>
  </si>
  <si>
    <t>zhangluyu2011@163.com</t>
  </si>
  <si>
    <t>Dui, Hongyan/0000-0002-2277-6454</t>
  </si>
  <si>
    <t>National Natural Science Foundation of China [72071182]; Program for Science amp; Technology Innovation Talents in Universities of Henan Province [22HASTIT022]; Science Research Project of Hebei Education Department [BJK2023031]; Tianjin Education Commission Research Program Project [2022KJ089]; Na-tional Natural Science Foundation of China [E2021202094]; Hebei Provincial Natural Science Foundation [72001069]</t>
  </si>
  <si>
    <t>National Natural Science Foundation of China(National Natural Science Foundation of China (NSFC)); Program for Science amp; Technology Innovation Talents in Universities of Henan Province; Science Research Project of Hebei Education Department; Tianjin Education Commission Research Program Project; Na-tional Natural Science Foundation of China(National Natural Science Foundation of China (NSFC)); Hebei Provincial Natural Science Foundation</t>
  </si>
  <si>
    <t>The authors gratefully acknowledge the financial support for this research from the National Natural Science Foundation of China (No. 72071182) , the Program for Science &amp; Technology Innovation Talents in Universities of Henan Province (No. 22HASTIT022) , Science Research Project of Hebei Education Department (No. BJK2023031) , Tianjin Education Commission Research Program Project (No. 2022KJ089) , National Natural Science Foundation of China (No. 72001069) , and Hebei Provincial Natural Science Foundation (No. E2021202094) .</t>
  </si>
  <si>
    <t>10.1016/j.ress.2023.109595</t>
  </si>
  <si>
    <t>AUG 2023</t>
  </si>
  <si>
    <t>S4ZR7</t>
  </si>
  <si>
    <t>WOS:001071270400001</t>
  </si>
  <si>
    <t>Franciosi, C; Di Pasquale, V; Iannone, R; Miranda, S</t>
  </si>
  <si>
    <t>Franciosi, Chiara; Di Pasquale, Valentina; Iannone, Raffaele; Miranda, Salvatore</t>
  </si>
  <si>
    <t>Multi-stakeholder perspectives on indicators for sustainable maintenance performance in production contexts: an exploratory study</t>
  </si>
  <si>
    <t>Maintenance measurement; Maintenance performance; Sustainable manufacturing; Indicators</t>
  </si>
  <si>
    <t>DECISION-MAKING APPLICATION; ENERGY EFFICIENCY; FRAMEWORK; DIRECTIONS; CRITERIA; MODEL</t>
  </si>
  <si>
    <t>Purpose Poor maintenance management leads to non-negligible economic, environmental and social impacts and obstacles to the sustainable manufacturing paradigm. Studies evaluating maintenance impacts on sustainability underline growing interest in the topic, but reports on the industrial field are lacking. Therefore, this paper investigates the industrial environment and the indicators that manufacturing companies use for measuring their maintenance impacts. Design/methodology/approach In this pilot survey study, several stakeholders of production enterprises in the south of Italy were interviewed to unveil the spread of the measurement of maintenance impacts on sustainability and the indicators used by those companies. Findings The interview results showed a low level of awareness among stakeholders about maintenance impacts on sustainability. Maintenance stakeholders are mainly focused on technical and economic factors, whereas environmental, quality and safety stakeholders are becoming more aware of maintenance impacts on environmental and social factors. However, both groups need guidelines to define sustainability indicators to assess such impacts. Originality/value This exploratory study allowed us to investigate the current situation in industrial organisations and achieve the first variegated and diversified vision of the awareness of company stakeholders on maintenance impacts on the sustainability of several business functions. This paper provides a valuable contribution to maintenance and sustainability research area in production contexts and sheds light on non-negligible maintenance impacts on sustainability, providing preliminary insights on the topic and an effective basis for defining future research opportunities. Moreover, this study enables increased awareness among internal and external manufacturing company stakeholders on the role of maintenance in sustainable production.</t>
  </si>
  <si>
    <t>[Franciosi, Chiara; Di Pasquale, Valentina; Iannone, Raffaele; Miranda, Salvatore] Univ Salerno, Dept Ind Engn, Fisciano, Italy</t>
  </si>
  <si>
    <t>Franciosi, C (corresponding author), Univ Salerno, Dept Ind Engn, Fisciano, Italy.</t>
  </si>
  <si>
    <t>cfranciosi@unisa.it; vdipasquale@unisa.it; riannone@unisa.it; smiranda@unisa.it</t>
  </si>
  <si>
    <t>Miranda, Sergio/AAW-5325-2020; Iannone, Raffaele/L-3758-2014</t>
  </si>
  <si>
    <t>Iannone, Raffaele/0000-0002-7937-7745; Miranda, Salvatore/0000-0003-1377-0381; Franciosi, Chiara/0000-0002-9983-1386; DI PASQUALE, VALENTINA/0000-0003-1304-3432</t>
  </si>
  <si>
    <t>10.1108/JQME-03-2019-0033</t>
  </si>
  <si>
    <t>WOS:000544437100001</t>
  </si>
  <si>
    <t>Lundgren, C; Bokrantz, J; Skoogh, A</t>
  </si>
  <si>
    <t>Lundgren, Camilla; Bokrantz, Jon; Skoogh, Anders</t>
  </si>
  <si>
    <t>A strategy development process for Smart Maintenance implementation</t>
  </si>
  <si>
    <t>JOURNAL OF MANUFACTURING TECHNOLOGY MANAGEMENT</t>
  </si>
  <si>
    <t>Maintenance; Strategy; Manufacturing industry; Benchmarking; Case studies</t>
  </si>
  <si>
    <t>PREDICTIVE MAINTENANCE; INDUSTRY; SELECTION; FUTURE; PERFORMANCE; PROGNOSTICS; CHALLENGES; MANAGEMENT; INNOVATION; SYSTEMS</t>
  </si>
  <si>
    <t>PurposeTechnological advancements are reshaping the manufacturing industry toward digitalized manufacturing. Despite the importance of top-class maintenance in such systems, many industrial companies lack a clear strategy for maintenance in digitalized manufacturing. The purpose of this paper is to facilitate the implementation of maintenance in digitalized manufacturing by proposing a strategy development process for the Smart Maintenance concept.Design/methodology/approachThis study is designed as a multiple-case study, where the strategy development in three industrial cases is analyzed. Several methods were used to collect data on the case companies' development of smart maintenance strategies. The data were analyzed with an inductive approach.FindingsA process of strategy development for smart maintenance is proposed, including six steps: benchmarking, setting clear goals, setting strategic priority, planning key activities, elevating implementation and follow-up.Practical implicationsThe proposed process provides industry practitioners with a step-by-step guide for the development of a clear smart maintenance strategy, based on the current state of their maintenance organization. This creates employee engagement and is a new way of developing maintenance strategies.Originality/valueMaintenance strategies are traditionally regarded as a selection of corrective/reactive and preventive maintenance actions using a top-down approach. By contrast, the proposed process is starting from the current state of the maintenance organization and allows a mixture of top-down and bottom-up approaches, supporting organizational development. This is a rare perspective of maintenance strategies and will make maintenance organizations ready for the demands of digitalized manufacturing.</t>
  </si>
  <si>
    <t>[Lundgren, Camilla; Bokrantz, Jon; Skoogh, Anders] Chalmers Univ Technol, Dept Mat &amp; Ind Sci, Gothenburg, Sweden</t>
  </si>
  <si>
    <t>Chalmers University of Technology</t>
  </si>
  <si>
    <t>Lundgren, C (corresponding author), Chalmers Univ Technol, Dept Mat &amp; Ind Sci, Gothenburg, Sweden.</t>
  </si>
  <si>
    <t>camilla.lundgren@chalmers.se</t>
  </si>
  <si>
    <t>Lundgren, Camilla/AAO-8536-2020; Skoogh, Anders/D-6242-2015; /N-7541-2015</t>
  </si>
  <si>
    <t>Skoogh, Anders/0000-0001-8519-0736; Lundgren, Camilla/0000-0002-3742-0354; /0000-0003-4930-7786</t>
  </si>
  <si>
    <t>VINNOVA [2017-01652]; VINNOVA and Production 2030; Vinnova [2017-01652] Funding Source: Vinnova</t>
  </si>
  <si>
    <t>VINNOVA(Vinnova); VINNOVA and Production 2030(Vinnova); Vinnova(Vinnova)</t>
  </si>
  <si>
    <t>The authors would like to thank SMASh, a research project financed by VINNOVA and Production 2030. The authors especially thank the case companies for commitment and collaboration. The authors also would like to thank all individuals who contributed to this research. This work was financed by VINNOVA [grant number 2017-01652]. This work has been performed within Production Area of Advance at Chalmers. The support is greatly appreciated.</t>
  </si>
  <si>
    <t>1741-038X</t>
  </si>
  <si>
    <t>1758-7786</t>
  </si>
  <si>
    <t>J MANUF TECHNOL MANA</t>
  </si>
  <si>
    <t>J. Manuf. Technol. Manag.</t>
  </si>
  <si>
    <t>APR 30</t>
  </si>
  <si>
    <t>10.1108/JMTM-06-2020-0222</t>
  </si>
  <si>
    <t>Engineering, Industrial; Engineering, Manufacturing; Management</t>
  </si>
  <si>
    <t>ZI6JJ</t>
  </si>
  <si>
    <t>WOS:000761724900001</t>
  </si>
  <si>
    <t>Gandhare, BS; Akarte, MM</t>
  </si>
  <si>
    <t>Gandhare, Balasaheb Shahaji; Akarte, Milind M.</t>
  </si>
  <si>
    <t>Benchmarking maintenance performance in select agro-based industry</t>
  </si>
  <si>
    <t>Maintenance performance; Benchmarking; Agro-based industries; Textile; Sugar; Dairy; MCDM; AHP</t>
  </si>
  <si>
    <t>Purpose This paper demonstrates a multi-criteria analytic hierarchy process (AHP) framework for evaluating and benchmarking maintenance performance in the select agro-based industry. Design/methodology/approach Initially, 20 maintenance practices (criteria) have been identified after a detailed literature review and discussion with the agro-based industry (sugar, textile and dairy industry) executives. These are then grouped into six maintenance management areas referred to as group criteria. The multi-criteria methodology consists of three steps: criteria identification, hierarchical modeling and data collection and maintenance performance evaluation, and benchmarking. The multi-criteria methodology proposed in this work facilitates two ways of carrying out benchmarking: (1) within the agro-based industry and (2) between the agro-based industry. The methodology has been explained by taking a case example of 45 agro-based industries (18 dairy, 13 sugar and 14 textile) from the western region of India. The sensitivity analysis of the model has been performed to ascertain the robustness of the results. Findings There is a difference in the maintenance performance across the agro-based industries due to different maintenance practices perceived differently. Research limitations/implications The outcome of the model is mainly given by the judgments of the agro-based industry executives. It is also sensitive to any change in the relative importance to the evaluation criteria or the perception about the maintenance performance. Practical implications The study contributes in identifying the weakness, if any, by comparing the agro-based industry under investigation with the benchmark factory at three levels, namely, overall performance (factory level), group criteria (maintenance management area level) and criteria (maintenance practice level) allowing further improvement. Originality/value The methodology assists in better decision-making and in improving maintenance performance.</t>
  </si>
  <si>
    <t>[Gandhare, Balasaheb Shahaji; Akarte, Milind M.] Natl Inst Ind Engn, Ind Engn &amp; Mfg Syst, Mumbai, Maharashtra, India</t>
  </si>
  <si>
    <t>Indian Institute of Management (IIM System); Indian Institute of Management Mumbai</t>
  </si>
  <si>
    <t>Akarte, MM (corresponding author), Natl Inst Ind Engn, Ind Engn &amp; Mfg Syst, Mumbai, Maharashtra, India.</t>
  </si>
  <si>
    <t>bs_principal@rediffmail.com; mmakarte@rediffmail.com</t>
  </si>
  <si>
    <t>Gandhare, Dr. Balasaheb/LIG-0776-2024</t>
  </si>
  <si>
    <t>AKARTE, MILIND/0000-0001-9971-7172; GANDHARE, BALASAHEB/0000-0001-9827-711X</t>
  </si>
  <si>
    <t>10.1108/JQME-02-2019-0018</t>
  </si>
  <si>
    <t>WOS:000600942600001</t>
  </si>
  <si>
    <t>Dowd, Z; Franz, AY; Wasek, JS</t>
  </si>
  <si>
    <t>Dowd, Zeynep; Franz, Anna Y.; Wasek, James S.</t>
  </si>
  <si>
    <t>A Decision-Making Framework for Maintenance and Modernization of Transportation Infrastructure</t>
  </si>
  <si>
    <t>Maintenance engineering; Decision making; Transportation; Bayes methods; Aging; Indexes; Resource management; Asset management; decision making; maintenance and modernization; project selection; system availability</t>
  </si>
  <si>
    <t>BAYESIAN NETWORKS; KNOWLEDGE FORMALIZATION; SYSTEMS THINKING; MODEL; PERFORMANCE; PATTERNS; PROJECTS; RISK; FIRM</t>
  </si>
  <si>
    <t>System availability for aging transportation infrastructure decreases in the absence of maintenance and modernization activities. This degradation is compounded when coupled with the growing backlog of needs and limited resources, making prioritization of these activities a complex problem. Current decision-making techniques utilized to solve this complex problem lack a holistic approach, objectivity, and topological aspect. To address these shortcomings, this research proposes a new comprehensive decision-making framework for maintenance and modernization of aging transportation infrastructure. The framework first employs a systems thinking approach to identify impact factors, then conducts a complex network analysis to assess the location criticality of each component within the system, and finally applies an innovative Bayesian network structure learning method to eliminate subjective judgment and reduce the drawbacks of currently available learning algorithms when using real-world data. The robustness of the proposed framework is demonstrated via a case study for inland waterways. Analysis of the results confirm the prioritization determined by utilizing the proposed framework optimizes system availability. This framework provides decision makers with an index number representing the need for maintenance and modernization of each project and a prioritized list in terms of essentiality.</t>
  </si>
  <si>
    <t>[Dowd, Zeynep; Franz, Anna Y.] George Washington Univ, Sch Engn &amp; Appl Sci, Dept Engn Management &amp; Syst Engn, Washington, DC 20052 USA; [Wasek, James S.] George Washington Univ, Dept Engn Management &amp; Syst Engn, Washington, DC 20052 USA</t>
  </si>
  <si>
    <t>George Washington University; George Washington University</t>
  </si>
  <si>
    <t>Dowd, Z (corresponding author), George Washington Univ, Sch Engn &amp; Appl Sci, Dept Engn Management &amp; Syst Engn, Washington, DC 20052 USA.</t>
  </si>
  <si>
    <t>zeynepdowd@gmail.com; afranz11@gwu.edu; wasekj@gwu.edu</t>
  </si>
  <si>
    <t>10.1109/TEM.2018.2870326</t>
  </si>
  <si>
    <t>WOS:000510672900005</t>
  </si>
  <si>
    <t>Salehi, H; Das, S; Biswas, S; Burgueño, R</t>
  </si>
  <si>
    <t>Salehi, Hadi; Das, Saptarshi; Biswas, Subir; Burgueno, Rigoberto</t>
  </si>
  <si>
    <t>Data mining methodology employing artificial intelligence and a probabilistic approach for energy-efficient structural health monitoring with noisy and delayed signals</t>
  </si>
  <si>
    <t>EXPERT SYSTEMS WITH APPLICATIONS</t>
  </si>
  <si>
    <t>Structural health monitoring; Data mining; Artificial intelligence; Probabilistic approach; Signal time delay</t>
  </si>
  <si>
    <t>TIME-SYNCHRONIZATION; ACTIVE-SENSORS; SYSTEM; PERFORMANCE; VALIDATION; PARADIGM; NETWORK; MODEL</t>
  </si>
  <si>
    <t>Numerous methods have been developed in the context of expert and intelligent systems for structural health monitoring (SHM) with wireless sensor networks (WSNs). However, these techniques have been proven to be efficient when dealing with continuous signals, and the applicability of such expert systems with discrete noisy signals has not yet been explored. This study presents an intelligent data mining methodology as part of an expert system developed for SHM with noisy and delayed signals, which are generated by a through-substrate self-powered sensor network. The noted sensor network has been demonstrated as an effective means for minimizing energy consumption in WSNs for SHM. Experimental vibration tests were conducted on a cantilever plate to evaluate the developed expert system for SHM. The proposed data mining method is based on the integration of pattern recognition, an innovative probabilistic approach, and machine learning. The novelty of the proposed system for SHM with data interpretation methodology lies in the integration of the noted intelligent techniques on discrete, binary, noisy, and delayed patterns of signals collected from self-powered sensing technology in the application to a practical engineering problem, i.e., data-driven energy-efficient SHM. Results confirm that the proposed data mining method employing a probabilistic approach can be effectively used to reconstruct delayed and missing signals, thereby addressing the important issue of energy availability for intelligent SHM systems being used for damage identification in civil and aerospace structures. The applicability and effectiveness of the expert system with the data mining approach in detecting damage with noisy signals was demonstrated for plate-like structures with an accuracy of 97%. The present study successfully contributes to advance data mining and signal processing techniques in the SHM domain, indicating a practical application of expert and intelligent systems applied to damage detection in SHM platforms. Findings from this research pave a way for development of the data analysis techniques that can be employed for interpreting noisy and incomplete signals collected from various expert systems such as those being used in intelligent infrastructure monitoring systems and smart cities. (C) 2019 Elsevier Ltd. All rights reserved.</t>
  </si>
  <si>
    <t>[Salehi, Hadi; Burgueno, Rigoberto] Michigan State Univ, Dept Civil &amp; Environm Engn, 428 S Shaw Lane,Room 3574,Engn Bldg, E Lansing, MI 48824 USA; [Das, Saptarshi; Biswas, Subir] Michigan State Univ, Dept Elect &amp; Comp Engn, E Lansing, MI 48824 USA; [Burgueno, Rigoberto] Michigan State Univ, Dept Mech Engn, E Lansing, MI 48824 USA</t>
  </si>
  <si>
    <t>Michigan State University; Michigan State University; Michigan State University</t>
  </si>
  <si>
    <t>Burgueño, R (corresponding author), Michigan State Univ, Dept Civil &amp; Environm Engn, 428 S Shaw Lane,Room 3574,Engn Bldg, E Lansing, MI 48824 USA.</t>
  </si>
  <si>
    <t>salehiha@egr.msu.edu; daspata@msu.edu; sbiswas@egr.msu.edu; burgueno@msu.edu</t>
  </si>
  <si>
    <t>Salehi, Hadi/Z-3594-2019; Das, Saptarshi/AAV-8467-2020</t>
  </si>
  <si>
    <t>U.S. National Science Foundation [CNS-1405273]</t>
  </si>
  <si>
    <t>U.S. National Science Foundation(National Science Foundation (NSF))</t>
  </si>
  <si>
    <t>The research described in this paper was carried out with funding from the U.S. National Science Foundation under grant number CNS-1405273. The auhors thank Prof. Arun Ross (MSU) for his suggestions on the probability approach for delayed signal reconstruction.</t>
  </si>
  <si>
    <t>0957-4174</t>
  </si>
  <si>
    <t>1873-6793</t>
  </si>
  <si>
    <t>EXPERT SYST APPL</t>
  </si>
  <si>
    <t>Expert Syst. Appl.</t>
  </si>
  <si>
    <t>NOV 30</t>
  </si>
  <si>
    <t>10.1016/j.eswa.2019.05.051</t>
  </si>
  <si>
    <t>Computer Science, Artificial Intelligence; Engineering, Electrical &amp; Electronic; Operations Research &amp; Management Science</t>
  </si>
  <si>
    <t>Computer Science; Engineering; Operations Research &amp; Management Science</t>
  </si>
  <si>
    <t>IQ3QI</t>
  </si>
  <si>
    <t>Bronze</t>
  </si>
  <si>
    <t>WOS:000480665800020</t>
  </si>
  <si>
    <t>Alsyouf, I; Hamdan, S; Shamsuzzaman, M; Haridy, S; Alawaysheh, I</t>
  </si>
  <si>
    <t>Alsyouf, Imad; Hamdan, Sadeque; Shamsuzzaman, Mohammad; Haridy, Salah; Alawaysheh, Iyad</t>
  </si>
  <si>
    <t>On preventive maintenance policies: a selection framework</t>
  </si>
  <si>
    <t>Multi-objective optimization; Maintenance planning; Analytic hierarchy process; Weighted comprehensive criterion method; Multi-criteria decision-making</t>
  </si>
  <si>
    <t>STRATEGY SELECTION; DECISION-MAKING; OPTIMAL REPLACEMENT; SUPPLIER SELECTION; QUANTITY DISCOUNTS; ORDER ALLOCATION; OPTIMIZATION; NUMBER; PERFORMANCE; ALGORITHMS</t>
  </si>
  <si>
    <t>Purpose This paper develops a framework for selecting the most efficient and effective preventive maintenance policy using multiple-criteria decision making and multi-objective optimization. Design/methodology/approach The critical component is identified with a list of maintenance policies, and then its failure data are collected and the optimization objective functions are defined. Fuzzy AHP is used to prioritize each objective based on the experts' questionnaire. Weighted comprehensive criterion method is used to solve the multi-objective models for each policy. Finally, the effectiveness and efficiency are calculated to select the best maintenance policy. Findings For a fleet of buses in hot climate environment where coolant pump is identified as the most critical component, it was found that block-GAN policy is the most efficient and effective one with a 10.24% of cost saving and 0.34 expected number of failures per cycle compared to age policy and block-BAO policy. Research limitations/implications Only three maintenance policies are compared and studied. Other maintenance policies can also be considered in future. Practical implications The proposed methodology is implemented in UAE for selecting a maintenance scheme for a critical component in a fleet of buses. It can be validated later in other Gulf countries. Originality/value This research lays a solid foundation for selecting the most efficient and effective preventive maintenance policy for different applications and sectors using MCDM and multi-objective optimization to improve reliability and avoid economic loss.</t>
  </si>
  <si>
    <t>[Alsyouf, Imad; Hamdan, Sadeque; Shamsuzzaman, Mohammad; Haridy, Salah] Univ Sharjah, Dept Ind Engn &amp; Engn Management, Sharjah, U Arab Emirates; [Alsyouf, Imad; Hamdan, Sadeque; Shamsuzzaman, Mohammad] Sustainable Engn Asset Management SEAM Res Grp, Sharjah, U Arab Emirates; [Haridy, Salah] Benha Univ, Benha Fac Engn, Banha, Egypt; [Alawaysheh, Iyad] Rd &amp; Transport Author, Dubai, U Arab Emirates</t>
  </si>
  <si>
    <t>University of Sharjah; Egyptian Knowledge Bank (EKB); Benha University</t>
  </si>
  <si>
    <t>Haridy, S (corresponding author), Univ Sharjah, Dept Ind Engn &amp; Engn Management, Sharjah, U Arab Emirates.;Haridy, S (corresponding author), Benha Univ, Benha Fac Engn, Banha, Egypt.</t>
  </si>
  <si>
    <t>ialsyouf@sharjah.ac.ae; shamdan@sharjah.ac.ae; mshamsuzzaman@sharjah.ac.ae; sharidy@sharjah.ac.ae; Iyad.Alawaysheh@rta.ae</t>
  </si>
  <si>
    <t>Alsyouf, Imad/Q-6014-2019; Shamsuzzaman, Mohammad/AAD-6392-2022; Hamdan, Sadeque/Q-8778-2019; Haridy, Salah/R-8813-2019</t>
  </si>
  <si>
    <t>Hamdan, Sadeque/0000-0002-5265-0836; Shamsuzzaman, Mohammad/0000-0002-1242-9627; Haridy, Salah/0000-0002-8406-4647; Alsyouf, Imad/0000-0002-6200-8919</t>
  </si>
  <si>
    <t>University of Sharjah; Research Institute of Science and Engineering (RISE) [1602040538-P]</t>
  </si>
  <si>
    <t>University of Sharjah(University of Sharjah); Research Institute of Science and Engineering (RISE)</t>
  </si>
  <si>
    <t>The authors would like to acknowledge the University of Sharjah for its financial support. This research was funded by the Research Institute of Science and Engineering (RISE) from Project No. (1602040538-P) titled The Impact of Condition Based Maintenance (CBM) and Intelligent Machine Monitoring on Engineering Asset Sustainability; A Case Study on the Transportation Sector in Dubai.</t>
  </si>
  <si>
    <t>10.1108/JQME-10-2018-0085</t>
  </si>
  <si>
    <t>MAY 2020</t>
  </si>
  <si>
    <t>WOS:000532728000001</t>
  </si>
  <si>
    <t>Zhang, JX; Du, DB; Si, XS; Hu, CH; Zhang, HW</t>
  </si>
  <si>
    <t>Zhang, Jian-Xun; Du, Dang-Bo; Si, Xiao-Sheng; Hu, Chang-Hua; Zhang, Han-Wen</t>
  </si>
  <si>
    <t>Joint optimization of preventive maintenance and inventory management for standby systems with hybrid-deteriorating spare parts</t>
  </si>
  <si>
    <t>Reliability; Wiener process; Lifetime estimation; Maintenance; Standby redundancy</t>
  </si>
  <si>
    <t>STORAGE LIFE PREDICTION; MULTIUNIT SYSTEMS; DEGRADATION; PROGNOSTICS; REPLACEMENT; POLICIES; SUBJECT</t>
  </si>
  <si>
    <t>As an effective way to enhance the system reliability, the standby redundancy technique has been widely applied in many industrial systems. Finding methods to determine the maintenance policy and spare-part inventory management is an interesting practical issue. However, due to the imperfect storage and inner mechanism, the spare parts usually deteriorate over time, which not only degrades their performance but also may lead to storage failure. In addition, the immediate burst failure caused by the external shock should not be neglected in storage. These two aspects make the joint optimization of preventive maintenance and inventory policies for a standby system more challenging. Thus, in this study, we first propose a general iterative approach for the lifetime estimation of standby systems with a hybrid spare-part degradation process, which includes both stochastic degradation and immediate burst failure. We then take an example of the Wiener-process-based model to explain how to obtain the analytical results of the lifetime estimation. On this basis, we further establish a joint optimization model, in which the preventive block replacement interval and the inventory number are treated as two decision variables to minimize the expected cost per unit time. Finally, a numerical example and practical case are provided for illustration.</t>
  </si>
  <si>
    <t>[Zhang, Jian-Xun; Du, Dang-Bo; Si, Xiao-Sheng; Hu, Chang-Hua] Xian Res Inst High Tech, Dept Automat, Xian 710025, Shaanxi, Peoples R China; [Zhang, Han-Wen] Univ Sci &amp; Technol Beijing, Sch Automat &amp; Elect Engn, Beijing 100083, Peoples R China</t>
  </si>
  <si>
    <t>Rocket Force University of Engineering; University of Science &amp; Technology Beijing</t>
  </si>
  <si>
    <t>Si, XS (corresponding author), Xian Res Inst High Tech, Dept Automat, Xian 710025, Shaanxi, Peoples R China.</t>
  </si>
  <si>
    <t>sxs09@mails.tsinghua.edu.cn</t>
  </si>
  <si>
    <t>zhang, hanwen/JDX-0906-2023; wang, lin/HZK-4145-2023</t>
  </si>
  <si>
    <t>Zhang, Jianxun/0000-0002-6678-8297</t>
  </si>
  <si>
    <t>National Natural Science Foundation of China [61900376, 61922089, 61773386, 61833016, 62073336, 61703244, 61903326]; Natural Science Foundation of Shaanxi Province [2020JQ-489]</t>
  </si>
  <si>
    <t>National Natural Science Foundation of China(National Natural Science Foundation of China (NSFC)); Natural Science Foundation of Shaanxi Province(Natural Science Foundation of Shaanxi Province)</t>
  </si>
  <si>
    <t>The study was supported by the National Natural Science Foundation of China (Grant Nos. 61900376, 61922089, 61773386, 61833016, 62073336, 61703244, 61903326), and the Natural Science Foundation of Shaanxi Province (2020JQ-489).</t>
  </si>
  <si>
    <t>10.1016/j.ress.2021.107686</t>
  </si>
  <si>
    <t>MAY 2021</t>
  </si>
  <si>
    <t>SV6EG</t>
  </si>
  <si>
    <t>WOS:000663912500006</t>
  </si>
  <si>
    <t>Zhang, ZH; Yang, L</t>
  </si>
  <si>
    <t>Zhang, Zihan; Yang, Li</t>
  </si>
  <si>
    <t>Postponed maintenance scheduling integrating state variation and environmental impact</t>
  </si>
  <si>
    <t>Maintenance; Random environment; State transition; Postponed replacement</t>
  </si>
  <si>
    <t>PREVENTIVE MAINTENANCE; SYSTEMS SUBJECT; PSO ALGORITHM; SHOT-NOISE; POLICY; MODEL; RELIABILITY; OPTIMIZATION; INSPECTION; DETERIORATION</t>
  </si>
  <si>
    <t>In asset management, defect signals are critical indicators of upcoming malfunctions, whose initialization and growth are often affected by uncertain environmental stresses. It is cost-effective to postpone the removals of defects, so as to take advantage of the remaining useful lifetime since the defect identification. However, the impacts of environmental damage as well as heath state variation on postponement period are rarely addressed, which may lead to non-negligible malfunction hazard and maintenance resource waste. This study addresses these challenges by designing a state-based postponement maintenance policy. The environmental damage to asset lifetime is characterized by (a) random increment of state transition rates and (b) probabilistic malfunction risk. Two levels of postponed maintenance windows are set according to inspection consequences. Level-1 window is pre-set along with a finite number of inspections, where a normally working asset over the inspection zone is left untouched until the window. Level-2 window is determined upon the defect identification, offering shorter postponed duration due to the vulnerability. The applicability is demonstrated by a numerical experiment on asset management of oil pipelines.</t>
  </si>
  <si>
    <t>[Zhang, Zihan] Univ Toronto, Dept Mech &amp; Ind Engn, Toronto, ON M5S 2EA, Canada; [Yang, Li] Beihang Univ, Sch Reliabil &amp; Syst Engn, Beijing 100191, Peoples R China</t>
  </si>
  <si>
    <t>University of Toronto; Beihang University</t>
  </si>
  <si>
    <t>Yang, L (corresponding author), Beihang Univ, Sch Reliabil &amp; Syst Engn, Beijing 100191, Peoples R China.</t>
  </si>
  <si>
    <t>zhzhang@mie.utoronto.ca; yanglirass@buaa.edu.cn</t>
  </si>
  <si>
    <t>zhang, zihan/JHU-2592-2023</t>
  </si>
  <si>
    <t>Zhang, Zihan/0000-0002-5882-055X</t>
  </si>
  <si>
    <t>Natural Sciences and Engineering Research Council of Canada [CRDPJ 49928316]; National Natural Science Foundation of China [61473014]</t>
  </si>
  <si>
    <t>Natural Sciences and Engineering Research Council of Canada(Natural Sciences and Engineering Research Council of Canada (NSERC)CGIAR); National Natural Science Foundation of China(National Natural Science Foundation of China (NSFC))</t>
  </si>
  <si>
    <t>This work was supported in part by the Natural Sciences and Engineering Research Council of Canada under Grant CRDPJ 49928316 and in part by the National Natural Science Foundation of China under Grant 61473014.</t>
  </si>
  <si>
    <t>10.1016/j.ress.2020.107065</t>
  </si>
  <si>
    <t>NG9CJ</t>
  </si>
  <si>
    <t>WOS:000564277900052</t>
  </si>
  <si>
    <t>Gopalakrishnan, M; Subramaniyan, M; Skoogh, A</t>
  </si>
  <si>
    <t>Gopalakrishnan, Maheshwaran; Subramaniyan, Mukund; Skoogh, Anders</t>
  </si>
  <si>
    <t>Data-driven machine criticality assessment - maintenance decision support for increased productivity</t>
  </si>
  <si>
    <t>Productivity; criticality assessment; bottleneck; maintenance prioritization; data-driven decision-making</t>
  </si>
  <si>
    <t>PRIORITIZATION; RESOURCES; SYSTEMS</t>
  </si>
  <si>
    <t>Data-driven decision support for maintenance management is necessary for modern digitalized production systems. The data-driven approach enables analyzing the dynamic production system in real-time. Common problems within maintenance management are that maintenance decisions are experience-driven, narrow-focussed and static. Specifically, machine criticality assessment is a tool that is used in manufacturing companies to plan and prioritize maintenance activities. The maintenance problems are well exemplified by this tool in industrial practice. The tool is not trustworthy, seldom updated and focuses on individual machines. Therefore, this paper aims at the development and validation of a framework for a data-driven machine criticality assessment tool. The tool supports prioritization and planning of maintenance decisions with a clear goal of increasing productivity. Four empirical cases were studied by employing a multiple case study methodology. The framework provides guidelines for maintenance decision-making by combining the Manufacturing Execution System (MES) and Computerized Maintenance Management System (CMMS) data with a systems perspective. The results show that by employing data-driven decision support within the maintenance organization, it can truly enable modern digitalized production systems to achieve higher levels of productivity.</t>
  </si>
  <si>
    <t>[Gopalakrishnan, Maheshwaran; Subramaniyan, Mukund; Skoogh, Anders] Chalmers Univ Technol, Dept Ind &amp; Mat Sci, Gothenburg, Sweden</t>
  </si>
  <si>
    <t>Gopalakrishnan, M (corresponding author), Chalmers Univ Technol, Dept Ind &amp; Mat Sci, Gothenburg, Sweden.</t>
  </si>
  <si>
    <t>mahgop@chalmers.se; mukunds@chalmers.se; anders.skoogh@chalmers.se</t>
  </si>
  <si>
    <t>Gopalakrishnan, Maheshwaran/AAS-5127-2020; Gopalakrishnan, Maheshwaran/N-9620-2015; Skoogh, Anders/D-6242-2015; Subramaniyan, Mukund/J-1475-2017</t>
  </si>
  <si>
    <t>Gopalakrishnan, Maheshwaran/0000-0001-5102-6559; Skoogh, Anders/0000-0001-8519-0736; Subramaniyan, Mukund/0000-0002-2787-7262</t>
  </si>
  <si>
    <t>VINNOVA, the Swedish Energy Agency; Swedish Transport Administration [2015-06887]</t>
  </si>
  <si>
    <t>VINNOVA, the Swedish Energy Agency(VinnovaSwedish Energy Agency); Swedish Transport Administration</t>
  </si>
  <si>
    <t>The authors would like to thank FFI funded by VINNOVA, the Swedish Energy Agency and the This work has been performed within the Sustainable Production Initiative and the Production Area of Advance at Chalmers.Swedish Transport Administration for their funding of the research project Data Analytics in Maintenance Planning (DAIMP) [Grant number: 2015-06887], under which this research was conducted.</t>
  </si>
  <si>
    <t>JAN 2</t>
  </si>
  <si>
    <t>10.1080/09537287.2020.1817601</t>
  </si>
  <si>
    <t>SEP 2020</t>
  </si>
  <si>
    <t>XP4HC</t>
  </si>
  <si>
    <t>hybrid, Green Published</t>
  </si>
  <si>
    <t>WOS:000572229400001</t>
  </si>
  <si>
    <t>Franciosi, C; Tortora, AMR; Miranda, S</t>
  </si>
  <si>
    <t>Franciosi, Chiara; Tortora, Alessia Maria Rosaria; Miranda, Salvatore</t>
  </si>
  <si>
    <t>A Maintenance Maturity and Sustainability Assessment Model for Manufacturing Systems</t>
  </si>
  <si>
    <t>Maintenance; Sustainability; Maintenance impacts; Manufacturing systems; Maintenance per-formance measurement</t>
  </si>
  <si>
    <t>4.0 TECHNOLOGIES</t>
  </si>
  <si>
    <t>Maintenance is a key manufacturing function that contributes to a company's productivity, profitability and sustainability. Unfortunately, many aspects of the contribution of mainte-nance to sustainability in manufacturing remain unexplored, and many enterprises are not yet ready to assess the maintenance impacts on their sustainability. Maturity models are useful tools for assessing maintenance practices; however, no maintenance maturity model that al-lows the evaluation of the contribution of maintenance to sustainable performance was found in literature. This paper proposes a model for assessing the maturity and sustainability of maintenance processes. The model outputs are: a measure of the maintenance and sustainabil-ity maturity level; recommendations for improvement to undertake to enhance maintenance maturity and, thus, meet sustainability standards. The model was applied in three manufac-turing enterprises: the calculation of their maintenance maturity and sustainability indices made the maintenance stakeholders more aware of the need to implement effective strategies for more sustainable maintenance performance.</t>
  </si>
  <si>
    <t>[Franciosi, Chiara] Univ Lorraine, CNRS, CRAN, F-54000 Nancy, France; [Tortora, Alessia Maria Rosaria; Miranda, Salvatore] Univ Salerno, Dept Ind Engn, Salerno, Italy; [Franciosi, Chiara] Univ Lorraine, CRAN UMR 7039, CNRS, Nancy, France</t>
  </si>
  <si>
    <t>Universite de Lorraine; Centre National de la Recherche Scientifique (CNRS); University of Salerno; Centre National de la Recherche Scientifique (CNRS); Universite de Lorraine</t>
  </si>
  <si>
    <t>Franciosi, C (corresponding author), Univ Lorraine, CRAN UMR 7039, CNRS, Nancy, France.</t>
  </si>
  <si>
    <t>chiara.franciosi@univ-lorraine.fr</t>
  </si>
  <si>
    <t>Miranda, Sergio/AAW-5325-2020</t>
  </si>
  <si>
    <t>Tortora, Alessia Maria Rosaria/0000-0001-7595-1132</t>
  </si>
  <si>
    <t>10.24425/mper.2023.145372</t>
  </si>
  <si>
    <t>H4PA6</t>
  </si>
  <si>
    <t>WOS:000995788200012</t>
  </si>
  <si>
    <t>Goby, N; Brandt, T; Neumann, D</t>
  </si>
  <si>
    <t>Goby, Niklas; Brandt, Tobias; Neumann, Dirk</t>
  </si>
  <si>
    <t>Deep reinforcement learning with combinatorial actions spaces: An to maintenance</t>
  </si>
  <si>
    <t>Maintenance; Prescriptive analytics; Deep reinforcement learning; Combinatorial action space; Prescriptive maintenance</t>
  </si>
  <si>
    <t>POLICIES; OPTIMIZATION; PROGNOSTICS; SYSTEMS</t>
  </si>
  <si>
    <t>In this paper, we leverage a prescriptive analytics approach based on deep reinforcement learning and adapt it for sequential decision-problems with large, noisy state spaces and combinatorial actions spaces. We implement a novel mechanism that uses deep learning to reduce the action space and apply the approach to the context of maintenance management. We show that our method substantially outperforms established baseline methods from practice and research, closing more than 90 percent of the cost gap between the next-best solution and the optimum under perfect information. In addition to reducing costs, the specifically-designed reward function incentivizes bundling maintenance actions in a way that fully utilizes the available number of workers. Thereby, the number of time steps in which any maintenance action occurs is reduced. This decreases the organizational and operational impact of maintenance in real-world settings as disruptions can be limited to a few days. Beyond this context, our work illustrates the potential of prescriptive approaches based on deep reinforcement learning in other applications that face similarly challenging problem settings.</t>
  </si>
  <si>
    <t>[Goby, Niklas; Neumann, Dirk] Univ Freiburg, Chair Informat Syst, Freiburg, Germany; [Brandt, Tobias] WWU Munster, European Res Ctr Informat Syst, Munster, Germany; [Brandt, Tobias] Erasmus Univ, Rotterdam Sch Management, Rotterdam, Netherlands</t>
  </si>
  <si>
    <t>University of Freiburg; University of Munster; Erasmus University Rotterdam; Erasmus University Rotterdam - Excl Erasmus MC</t>
  </si>
  <si>
    <t>Brandt, T (corresponding author), WWU Munster, European Res Ctr Informat Syst, Munster, Germany.</t>
  </si>
  <si>
    <t>niklas.goby@is.uni-freiburg.de; tobias.brandt@wwu.de; dirk.neumann@is.uni-freiburg.de</t>
  </si>
  <si>
    <t>Brandt, Tobias/AAE-7254-2019</t>
  </si>
  <si>
    <t>Brandt, Tobias/0000-0002-2127-1921</t>
  </si>
  <si>
    <t>State of North Rhine-Westphalia's Ministry of Economic Affairs, Industry, Climate Action and Energy through the Exzellenz Start-up Center; NRW program at the REACH-EUREGIO Start-Up Center</t>
  </si>
  <si>
    <t>Tobias Brandt was supported by the State of North Rhine-Westphalia's Ministry of Economic Affairs, Industry, Climate Action and Energy through the Exzellenz Start-up Center.NRW program at the REACH-EUREGIO Start-Up Center.</t>
  </si>
  <si>
    <t>10.1016/j.cie.2023.109165</t>
  </si>
  <si>
    <t>MAR 2023</t>
  </si>
  <si>
    <t>E0CN6</t>
  </si>
  <si>
    <t>WOS:000972319100001</t>
  </si>
  <si>
    <t>Huy, TB; Borghesani, P; Cholette, ME; Ma, L</t>
  </si>
  <si>
    <t>Huy Truong-Ba; Borghesani, Pietro; Cholette, Michael E.; Ma, Lin</t>
  </si>
  <si>
    <t>Optimization of condition-based maintenance considering partial opportunities</t>
  </si>
  <si>
    <t>condition-based maintenance; finite-horizon mission; maintenance optimization; opportunistic maintenance; partial opportunity</t>
  </si>
  <si>
    <t>SYSTEMS SUBJECT; DEGRADATION; STRATEGY; POLICY</t>
  </si>
  <si>
    <t>Recent studies have demonstrated the economic benefit of exploiting partial opportunities for maintenance, which arise from the reduction of costs of doing partial maintenance utilizing the opportunity given. A typical example is an externally induced production stop with a duration that may not be sufficient to a complete maintenance activity. This paper combines partial opportunities and condition-based maintenance (CBM) strategies and proposes an innovative maintenance optimization method considering time-varying economic conditions. This scenario naturally fits a broad range of assets with a finite design life (including long-life machinery and infrastructure), operating under variable economic conditions and usage-intensities. The maintenance optimization problem is formulated in this study as a finite-horizon Markov decision process, where the randomly occurring opportunities are accounted for by augmenting the time-varying, decision-dependent transition probabilities. A dynamic programming approach is subsequently used to obtain the optimal CBM policy, consisting of time-varying thresholds on equipment condition and the cost of conducting maintenance during the arrived opportunity. A case study of such a maintenance policy for an induced draft fan of a sugar production system located in Queensland, Australia, is undertaken to evaluate the benefits of the proposed methodology against more traditional approaches that neglect opportunities or consider only replete opportunity durations.</t>
  </si>
  <si>
    <t>[Huy Truong-Ba; Cholette, Michael E.; Ma, Lin] Queensland Univ Technol, Fac Sci &amp; Engn, Brisbane, Qld, Australia; [Borghesani, Pietro] UNSW Sydney, Sch Mech &amp; Mfg Engn, Sydney, NSW, Australia; [Huy Truong-Ba] Int Univ VNUHCM, Sch Ind Engn &amp; Management, Ho Chi Minh City, Vietnam</t>
  </si>
  <si>
    <t>Queensland University of Technology (QUT); University of New South Wales Sydney; Vietnam National University Ho Chi Minh City (VNUHCM) System; VNU-HCM International University (VNUHCM-IU)</t>
  </si>
  <si>
    <t>Huy, TB (corresponding author), Queensland Univ Technol, Fac Sci &amp; Engn, Brisbane, Qld, Australia.</t>
  </si>
  <si>
    <t>h.truongba@qut.edu.au</t>
  </si>
  <si>
    <t>Pennacchi, Paolo/AAG-5106-2020; Truong Ba, Huy/ABD-4826-2021</t>
  </si>
  <si>
    <t>Truong-Ba, Huy/0000-0003-3691-9687; Cholette, Michael Edward/0000-0003-2649-3942; Borghesani, Pietro/0000-0001-5039-2944</t>
  </si>
  <si>
    <t>Australian Research Council [LP150100545]; Australian Research Council [LP150100545] Funding Source: Australian Research Council</t>
  </si>
  <si>
    <t>Australian Research Council(Australian Research Council); Australian Research Council(Australian Research Council)</t>
  </si>
  <si>
    <t>Australian Research Council, Grant/Award Number: LP150100545</t>
  </si>
  <si>
    <t>10.1002/qre.2585</t>
  </si>
  <si>
    <t>DEC 2019</t>
  </si>
  <si>
    <t>KL1ZE</t>
  </si>
  <si>
    <t>Bronze, Green Submitted</t>
  </si>
  <si>
    <t>WOS:000503076900001</t>
  </si>
  <si>
    <t>Zhou, Y; Kou, G; Xiao, H; Peng, Y; Alsaadi, FE</t>
  </si>
  <si>
    <t>Zhou, Yu; Kou, Gang; Xiao, Hui; Peng, Yi; Alsaadi, Fawaz E.</t>
  </si>
  <si>
    <t>Sequential imperfect preventive maintenance model with failure intensity reduction with an application to urban buses</t>
  </si>
  <si>
    <t>Repairable system; Maintenance efficiency; Sequential imperfect preventive maintenance; Failure intensity</t>
  </si>
  <si>
    <t>REPAIRABLE SYSTEMS; RELIABILITY; AVAILABILITY; OPTIMIZATION; REPLACEMENT; OPERATION; POLICIES</t>
  </si>
  <si>
    <t>Urban buses usually require several distinct types of preventive maintenance. Due to the complexity of urban buses, quantifying the efficiency of preventive maintenance is very important for maintenance management decision-making and optimization. This study presents a sequential imperfect preventive maintenance model to quantify the maintenance efficiency of urban buses. Existing works of sequential imperfect preventive maintenance models are all formulated based on failure intensity reduction. The proposed model in this study defines maintenance efficiency as a proportion of the difference between actual and expected failure intensity increments. Since the proportion of the difference can vary from negative to positive, the proposed model can quantify all kinds of maintenance efficiency given in the existing works. A case study of an urban bus fleet in China is presented to illustrate the effectiveness of the model.</t>
  </si>
  <si>
    <t>[Zhou, Yu] Inner Mongolia Univ, Coll Econ &amp; Management, Hohhot, Peoples R China; [Kou, Gang] Southwestern Univ Finance &amp; Econ, Sch Business Adm, Chengdu, Peoples R China; [Xiao, Hui] Southwestern Univ Finance &amp; Econ, Sch Stat, Chengdu, Peoples R China; [Peng, Yi] Univ Elect Sci &amp; Technol China, Sch Management &amp; Econ, Chengdu, Peoples R China; [Alsaadi, Fawaz E.] King Abdulaziz Univ, Fac Comp &amp; Informat Technol, Jeddah, Saudi Arabia</t>
  </si>
  <si>
    <t>Inner Mongolia University; Southwestern University of Finance &amp; Economics - China; Southwestern University of Finance &amp; Economics - China; University of Electronic Science &amp; Technology of China; King Abdulaziz University</t>
  </si>
  <si>
    <t>Peng, Y (corresponding author), Univ Elect Sci &amp; Technol China, Sch Management &amp; Econ, Chengdu, Peoples R China.</t>
  </si>
  <si>
    <t>zhouyu738@126.com; pengyi@uestc.edu.cn</t>
  </si>
  <si>
    <t>Alsaadi, Fawaz/GLT-2606-2022; Kou, Gang/G-3869-2010; Xiao, Hui/N-9777-2015</t>
  </si>
  <si>
    <t>Zhou, Yu/0000-0002-6196-5012</t>
  </si>
  <si>
    <t>National Natural Science Foundation of China [71961025, 71501103, 71725001, 71771037, 71601158]; Natural Science Foundation of Inner Mongolia Autonomous Region [2019MS07020]; program for Young Talents of Science and Technology in Universities of Inner Mongolia Autonomous Region [NJYT-20-B08]</t>
  </si>
  <si>
    <t>National Natural Science Foundation of China(National Natural Science Foundation of China (NSFC)); Natural Science Foundation of Inner Mongolia Autonomous Region; program for Young Talents of Science and Technology in Universities of Inner Mongolia Autonomous Region</t>
  </si>
  <si>
    <t>The authors would like to thank the referee for his/her valuable comments and suggestions which have greatly enhanced the clarity of the paper. This research has been partially supported by grants from the National Natural Science Foundation of China (71961025, 71501103, 71725001, 71771037, 71601158), grant from the Natural Science Foundation of Inner Mongolia Autonomous Region (2019MS07020) and program for Young Talents of Science and Technology in Universities of Inner Mongolia Autonomous Region (NJYT-20-B08).</t>
  </si>
  <si>
    <t>10.1016/j.ress.2020.106871</t>
  </si>
  <si>
    <t>LG1AX</t>
  </si>
  <si>
    <t>WOS:000527843700015</t>
  </si>
  <si>
    <t>Engelseth, P; Törnroos, JÅ; Zhang, YF</t>
  </si>
  <si>
    <t>Engelseth, Per; Tornroos, Jan-ake; Zhang, Yufeng</t>
  </si>
  <si>
    <t>Interdependency in coordinating networked maintenance and modification operations</t>
  </si>
  <si>
    <t>Engineering management; Coordination; Integration; Interdependencies; Modification and maintenance operations; Process-focussed view</t>
  </si>
  <si>
    <t>TRANSITION; EXCHANGE; SERVICES; STRATEGY; POWER</t>
  </si>
  <si>
    <t>Purpose The purpose of this research is to detect, through applying a process-based view, how to manage economisation of the maintenance and modification operations in offshore petroleum logistics operations. Design/methodology/approach A single case study of engineering services, more specifically, maintenance and modification service operations, on a Norwegian Sea oil platform reveals the dynamics of building network capabilities in a consistent network structure. Two layers of coordination are studied: the engineering process and its context, represented by its network of interconnected firms. This case study empirically grounds how engineering service involves managing reciprocally interdependent exchange processes in the network structure. Findings Pooled interdependencies are vital in understanding the nature of service provision and use, and sequential interdependencies are vital in narrating the timing of processes to reveal the nature of process emergence to coordinate strings of production events. Furthermore, the network structure, when characterised by multiple interdependent projects, is also dynamic but at a slower pace. Originality/value Through the case study, operations management is revealed to be associated with project emergence at two levels: the core process level regarding daily continuous change, including the changing interaction of multiple different and interdependent projects, and the contextual level, where features of interdependency and integration change, affecting engineering service production. This provides guidance as to the economisation of engineering services. They change not only interactions in the flow of production but also its context.</t>
  </si>
  <si>
    <t>[Engelseth, Per] Univ Tromso, Sch Business &amp; Econ, Tromso, Norway; [Tornroos, Jan-ake] Abo Akad Univ, Sch Business &amp; Econ, Turku, Finland; [Zhang, Yufeng] Univ Birmingham, Birmingham Business Sch, Birmingham, W Midlands, England</t>
  </si>
  <si>
    <t>UiT The Arctic University of Tromso; Abo Akademi University; University of Birmingham</t>
  </si>
  <si>
    <t>Engelseth, P (corresponding author), Univ Tromso, Sch Business &amp; Econ, Tromso, Norway.</t>
  </si>
  <si>
    <t>pen008@uit.no; jan-ake.tornroos@abo.fi; y.zhang.6@bham.ac.uk</t>
  </si>
  <si>
    <t>Törnroos, Jan-Åke/AAH-8755-2020</t>
  </si>
  <si>
    <t>Engelseth, Per/0000-0003-1559-7471; zhang, Yufeng/0000-0003-3531-8193</t>
  </si>
  <si>
    <t>SEP 21</t>
  </si>
  <si>
    <t>10.1108/JMTM-08-2019-0300</t>
  </si>
  <si>
    <t>US1CA</t>
  </si>
  <si>
    <t>Green Accepted, Green Published</t>
  </si>
  <si>
    <t>WOS:000541892100001</t>
  </si>
  <si>
    <t>Abdi, A; Taghipour, S</t>
  </si>
  <si>
    <t>Abdi, Abdollah; Taghipour, Sharareh</t>
  </si>
  <si>
    <t>Sustainable asset management: A repair-replacement decision model considering environmental impacts, maintenance quality, and risk</t>
  </si>
  <si>
    <t>Repair-replacement decision; Environmental sustainability; Maintenance; Greenhouse gas (GHG) emissions; Bayesian networks (BN)</t>
  </si>
  <si>
    <t>BAYESIAN NETWORK; OPTIMUM POLICIES; SYSTEM</t>
  </si>
  <si>
    <t>Equipment repair/replacement decision is an important aspect of asset management, which aims to find the best time to retire an in-use system considering its lifecycle costs. Previous lifecycle analysis techniques assume that the distribution of equipment's failure and repair time remain unaltered during the usage phase. In reality, however, the actual parameters that represent equipment's reliability and maintainability could change by several causal factors, including the quality of preventive and corrective maintenance, which can be dynamically adjusted through management intervention. Another dimension of repair/replacement problem is the environmental impact of equipment, which is important to be considered because of carbon pricing schemes as well as the international concerns about global warming. Not every aspect of this issue has been addressed in the published replacement decision models. Most importantly, the causality between equipment failure behaviour and its greenhouse gas (GHG) emissions has been seldom examined. The contribution of this paper is twofold. First, an economic repair/replacement model is developed in two phases: (1) deterministic phase, in which the mathematical structure of the total repair and replacement costs are defined, and (2) probabilistic phase, which incorporates the uncertainty of input parameters, risk events, quality of preventive maintenance, and repair perfection. Second, the economic model is extended to a combined model, in which the emissions associated with different phases of equipment lifecycle are considered. An inference mechanism is proposed to predict the emissions of operation phase of in-use equipment based on its failure behaviour. A plastic shredder case study is presented to illustrate the application of the proposed approach.</t>
  </si>
  <si>
    <t>[Abdi, Abdollah; Taghipour, Sharareh] Ryerson Univ, Dept Mech &amp; Ind Engn, Toronto, ON M5B 2K3, Canada</t>
  </si>
  <si>
    <t>Taghipour, S (corresponding author), Ryerson Univ, Dept Mech &amp; Ind Engn, Toronto, ON M5B 2K3, Canada.</t>
  </si>
  <si>
    <t>abdollah.abdi@ryerson.ca; sharareh@ryerson.ca</t>
  </si>
  <si>
    <t>Ontario Centres of Excellence (OCE)'s Voucher for Innovation and Productivity (VIP) [26114]; Fiix Software</t>
  </si>
  <si>
    <t>Ontario Centres of Excellence (OCE)'s Voucher for Innovation and Productivity (VIP); Fiix Software</t>
  </si>
  <si>
    <t>This work was partially supported by Fiix Software and Ontario Centres of Excellence (OCE)'s Voucher for Innovation and Productivity (VIP) (No. 26114). The authors would like to acknowledge an initial version of the deterministic model from Fiix Software and constructive comments from Marc Castle and Katie Allen.</t>
  </si>
  <si>
    <t>10.1016/j.cie.2019.07.021</t>
  </si>
  <si>
    <t>JK5NV</t>
  </si>
  <si>
    <t>WOS:000494891000011</t>
  </si>
  <si>
    <t>Meissner, R; Rahn, A; Wicke, K</t>
  </si>
  <si>
    <t>Meissner, Robert; Rahn, Antonia; Wicke, Kai</t>
  </si>
  <si>
    <t>Developing prescriptive maintenance strategies in the aviation industry based on a discrete-event simulation framework for post-prognostics decision making</t>
  </si>
  <si>
    <t>Prescriptive maintenance; Stakeholder model; Prognostics and Health Management; Maintenance decision making; Discrete-event simulation; Maintenance strategies; PreMaDe</t>
  </si>
  <si>
    <t>ANALYTICS; AIRCRAFT; MODEL; COST; METHODOLOGY; PRIMA</t>
  </si>
  <si>
    <t>The aviation industry is facing an ever-increasing competition to lower its operating cost. Simultaneously, new factors, such as sustainability and customer experience, become more important to differentiate from competitors. As aircraft maintenance contributes about 20% to the overall cost of airline operations and can significantly influence other objectives of an airline as well, maintenance providers are required to constantly lower their cost share and contribute to a more reliable and sustainable aircraft operation. Subsequently, new condition-monitoring technologies have emerged that are expected to improve maintenance operations by reducing cost and increasing the aircraft's availability. As many of these technologies are still in their technological infancy, it is necessary to determine the expected benefit for the airline operations with the given technological maturity and to develop suitable maintenance strategies that incorporate the newly gained insights. With this paper, a discrete-event simulation framework is developed that uses established parameters to describe a condition-monitoring technology's performance and subsequently develops a suitable prescriptive maintenance strategy. Therefore, it enables the adjustment of the optimization goal for the developed strategy to incorporate performance features beyond the frequently used financial indicators. The developed capabilities will be demonstrated for the tire pressure measurement task of an Airbus A320.</t>
  </si>
  <si>
    <t>[Meissner, Robert; Rahn, Antonia; Wicke, Kai] German Aerosp Ctr, Inst Maintenance Repair &amp; Overhaul, Hein Sass Weg 22, D-21129 Hamburg, Germany</t>
  </si>
  <si>
    <t>Helmholtz Association; German Aerospace Centre (DLR)</t>
  </si>
  <si>
    <t>Meissner, R (corresponding author), German Aerosp Ctr, Inst Maintenance Repair &amp; Overhaul, Hein Sass Weg 22, D-21129 Hamburg, Germany.</t>
  </si>
  <si>
    <t>robert.meissner@dlr.de</t>
  </si>
  <si>
    <t>Wicke, Kai/HCI-6492-2022</t>
  </si>
  <si>
    <t>Meissner, Robert/0000-0002-5299-4006; Rahn, Antonia/0000-0002-0528-5629</t>
  </si>
  <si>
    <t>10.1016/j.ress.2021.107812</t>
  </si>
  <si>
    <t>JUN 2021</t>
  </si>
  <si>
    <t>hybrid, Green Accepted</t>
  </si>
  <si>
    <t>WOS:000663912500049</t>
  </si>
  <si>
    <t>Liu, JQ</t>
  </si>
  <si>
    <t>Liu, Junqiang</t>
  </si>
  <si>
    <t>Maintenance model of aircraft structure based on three-stage degradation process</t>
  </si>
  <si>
    <t>Article; Proceedings Paper</t>
  </si>
  <si>
    <t>10th International Symposium on Intelligent Manufacturing and Service Systems (IMSS)</t>
  </si>
  <si>
    <t>SEP 09-11, 2019</t>
  </si>
  <si>
    <t>Sakarya, TURKEY</t>
  </si>
  <si>
    <t>Aircraft structure; Maintenance model; Inspection interval; Maintenance cost; Stochastic process; Three-stage degradation; Four-level planning</t>
  </si>
  <si>
    <t>PREDICTIVE MAINTENANCE; OPTIMUM INSPECTION; SYSTEM SUBJECT; OPTIMIZATION; RELIABILITY; POLICY; MULTICOMPONENT; SAFETY; RISK</t>
  </si>
  <si>
    <t>There are three-stage degradation processes for aircraft structures which are normal stage, crack stage, and after-repaired-stage respectively. However, there has been limited maintenance model for three-stage degradation data of aircraft structures. Therefore, this paper proposes a new approach for three-stage maintenance optimization management. Based on non-linear Wiener process and three-stage degradation analysis, a novel maintenance cost method is presented for aircraft structures and a novel four-level planning algorithm is developed to solve the maintenance cost problem. The first level planning aims at acquiring maximum usage time and the other three-level planning minimizes the maintenance cost of three stages respectively. The experimental data from China Eastern Airlines is adopted to validate and the experimental results show that the proposed method effectively expresses three-stage degradation characteristics to decrease the total maintenance cost; the proposed algorithm achieves a better optimal maintenance cost rate and saves runtime by 10%-20% than the state-of-the-art methods.</t>
  </si>
  <si>
    <t>[Liu, Junqiang] Nanjing Univ Aeronaut &amp; Astronaut, Coll Civil Aviat, 29 Yudao St, Nanjing 210016, Jiansu, Peoples R China</t>
  </si>
  <si>
    <t>Nanjing University of Aeronautics &amp; Astronautics</t>
  </si>
  <si>
    <t>Liu, JQ (corresponding author), Nanjing Univ Aeronaut &amp; Astronaut, Coll Civil Aviat, 29 Yudao St, Nanjing 210016, Jiansu, Peoples R China.</t>
  </si>
  <si>
    <t>linjunqiang@nuaa.edu.cn</t>
  </si>
  <si>
    <t>National Natural Science Foundation of China [U1533128]; Fundamental Research Funds for the Central Universities [NS2020050]</t>
  </si>
  <si>
    <t>National Natural Science Foundation of China(National Natural Science Foundation of China (NSFC)); Fundamental Research Funds for the Central Universities(Fundamental Research Funds for the Central Universities)</t>
  </si>
  <si>
    <t>The authors wish to thank anonymous reviewers for their critical and constructive review of the manuscript. This study was co-supported by the Joint Funds of the National Natural Science Foundation of China (Grant No.:U1533128) the Fundamental Research Funds for the Central Universities (Grant No.: NS2020050).</t>
  </si>
  <si>
    <t>10.1016/j.cie.2021.107335</t>
  </si>
  <si>
    <t>Science Citation Index Expanded (SCI-EXPANDED); Conference Proceedings Citation Index - Science (CPCI-S)</t>
  </si>
  <si>
    <t>SO7HY</t>
  </si>
  <si>
    <t>WOS:000659146800033</t>
  </si>
  <si>
    <t>Mai, YX; Xue, JW; Wu, B</t>
  </si>
  <si>
    <t>Mai, Yuxi; Xue, Jianwu; Wu, Bei</t>
  </si>
  <si>
    <t>Optimal maintenance policy for systems with environment-modulated degradation and random shocks considering imperfect maintenance</t>
  </si>
  <si>
    <t>Dependent competing failure process; Distribution analysis; Dynamic environment; Imperfect maintenance; Reliability</t>
  </si>
  <si>
    <t>OPTIMAL PREVENTIVE-MAINTENANCE; COMPETING FAILURE PROCESSES; RELIABILITY; SUBJECT; AVAILABILITY; OPTIMIZATION; PERFORMANCE; WARRANTY; MODELS; HARD</t>
  </si>
  <si>
    <t>Modern equipment usually suffers from coupling effects of natural degradation and random shocks under dynamic environments which can lead to sudden and unexpected failure. Imperfect maintenance is often preferred over system replacement due to its time and cost efficiency, but the system lifespan may be reduced with increased imperfect maintenance actions. In such cases, it is imperative for decision-makers to make trade-offs between imperfect maintenance and replacement actions. To address this issue, we propose a reliability model for systems subject to multiple dependent competing failure processes under dynamic environments, where several imperfect maintenance actions are performed before replacement. The dynamic environment of the system follows a continuous-time Markov process, and its natural degradation behavior under different environments is controlled by distinct gamma processes. We derive important distributions and expectations to describe system performance, such as imperfect maintenance cycles and replacement cycles, using Laplace transforms. Then, an optimization problem is proposed whose decision variable is the number of imperfect maintenance actions between two adjacent replacements, aiming to maximize the long-term expected profit rate with constraints of availability and expected running time. Finally, a case study of a Micro-electromechanical system is provided to illustrate the effectiveness of the proposed model.</t>
  </si>
  <si>
    <t>[Mai, Yuxi; Xue, Jianwu; Wu, Bei] Northwestern Polytech Univ, Sch Management, Xian 710072, Peoples R China</t>
  </si>
  <si>
    <t>Northwestern Polytechnical University</t>
  </si>
  <si>
    <t>Wu, B (corresponding author), Northwestern Polytech Univ, Sch Management, Xian 710072, Peoples R China.</t>
  </si>
  <si>
    <t>beiwu@nwpu.edu.cn</t>
  </si>
  <si>
    <t>National Natural Science Foundation of China [72101205]; Fundamental Research Funds for the Central Universities, China [3102021XJS05]; Innovation Foundation for Doctor Dissertation of Northwestern Polytechnical University [CX2023071]</t>
  </si>
  <si>
    <t>National Natural Science Foundation of China(National Natural Science Foundation of China (NSFC)); Fundamental Research Funds for the Central Universities, China(Fundamental Research Funds for the Central Universities); Innovation Foundation for Doctor Dissertation of Northwestern Polytechnical University</t>
  </si>
  <si>
    <t>The study is supported by the National Natural Science Foundation of China under grant 72101205, the Fundamental Research Funds for the Central Universities, China under grant 3102021XJS05 and the Innovation Foundation for Doctor Dissertation of Northwestern Polytechnical University under grant CX2023071.</t>
  </si>
  <si>
    <t>10.1016/j.ress.2023.109597</t>
  </si>
  <si>
    <t>S6EU1</t>
  </si>
  <si>
    <t>WOS:001072082300001</t>
  </si>
  <si>
    <t>Wang, KJ; Basuki, SSA; Kurniati, N</t>
  </si>
  <si>
    <t>Wang, Kung-Jeng; Basuki, Satrio Samudro Aji; Kurniati, Nani</t>
  </si>
  <si>
    <t>A life-cycle asset management model by response surface method based optimization</t>
  </si>
  <si>
    <t>INTERNATIONAL JOURNAL OF PRODUCTION ECONOMICS</t>
  </si>
  <si>
    <t>Asset management; Maintenance strategy; Monte Carlo simulation; Response surface methodology; Total cost of ownership</t>
  </si>
  <si>
    <t>MAINTENANCE STRATEGY; OWNERSHIP; IMPACT; COST</t>
  </si>
  <si>
    <t>Conventional asset management is easily trapped in local optimization. This study integrates the maintenance strategic planning in the asset management scheme to minimize the annualized Total Cost of Ownership (TCO). Critical steps are considered in the proposed model including failure rate modeling, reliability modeling for preventive maintenance, and TCO modeling. Monte Carlo simulation and response surface methodology are used as an integrated solution approach for the proposed model. The case study in a cement manufacturing plant shows that the model delivers the desired optimization result. Sensitivity analysis is carried out in terms of equipment contribution, clinker price, and escalation rate. The developed model contributes to the optimum combination of preventive maintenance strategy and useful life which provides the minimum annualized TCO.</t>
  </si>
  <si>
    <t>[Wang, Kung-Jeng; Basuki, Satrio Samudro Aji] Natl Taiwan Univ Sci &amp; Technol, Dept Ind Management, Taipei 108, Taiwan; [Wang, Kung-Jeng] Natl Taiwan Univ Sci &amp; Technol, Artificial Intelligence Operat Management Res Ctr, Taipei, Taiwan; [Basuki, Satrio Samudro Aji; Kurniati, Nani] Sepuluh Nopember Inst Technol ITS, Dept Ind &amp; Syst Engn, Surabaya, Indonesia</t>
  </si>
  <si>
    <t>National Taiwan University of Science &amp; Technology; National Taiwan University of Science &amp; Technology; Institut Teknologi Sepuluh Nopember</t>
  </si>
  <si>
    <t>Wang, KJ (corresponding author), Natl Taiwan Univ Sci &amp; Technol, Dept Ind Management, Taipei 108, Taiwan.</t>
  </si>
  <si>
    <t>kjwang@mail.ntust.edu.tw; satriosamudroajibasuki@gmail.com; nanikur@ie.its.ac.id</t>
  </si>
  <si>
    <t>Kurniati, Nani/D-3551-2017</t>
  </si>
  <si>
    <t>Kurniati, Nani/0000-0001-8460-9670</t>
  </si>
  <si>
    <t>0925-5273</t>
  </si>
  <si>
    <t>1873-7579</t>
  </si>
  <si>
    <t>INT J PROD ECON</t>
  </si>
  <si>
    <t>Int. J. Prod. Econ.</t>
  </si>
  <si>
    <t>10.1016/j.ijpe.2023.108957</t>
  </si>
  <si>
    <t>N5UY8</t>
  </si>
  <si>
    <t>WOS:001037672800001</t>
  </si>
  <si>
    <t>Ozor, PA; Nwobodo-Anyadiegwu, EN; Mbohwa, C</t>
  </si>
  <si>
    <t>Ozor, P. A.; Nwobodo-Anyadiegwu, E. N.; Mbohwa, C.</t>
  </si>
  <si>
    <t>COMPUTERISED SOFTWARE SYSTEMS IN REPLACEMENT MAINTENANCE INFORMATION MANAGEMENT: A SOUTH AFRICAN CASE STUDY</t>
  </si>
  <si>
    <t>SOUTH AFRICAN JOURNAL OF INDUSTRIAL ENGINEERING</t>
  </si>
  <si>
    <t>31st Annual Conference of the Southern-African-Institute-for-Industrial-Engineering (SAIIE)</t>
  </si>
  <si>
    <t>OCT 05-07, 2020</t>
  </si>
  <si>
    <t>ELECTR NETWORK</t>
  </si>
  <si>
    <t>Computerised software systems have undeniably continued to gain recognition in the implementation of reliable maintenance policies in today's Industries. While significant investigations corroborating the importance of management technology in developed economies abound, this study examines the level of the technology's success in a typical manufacturing firm in South Africa. Using an analytical research approach, useful maintenance indices were established from the dataset stored in the maintenance information management system of a case example manufacturing firm, designated 'X-Company' in this research for the sake of confidentiality. The result shows that, as applied currently to the replacement maintenance of the case example system, the technology requires optimisation. Maintenance policies that can improve the poor correlation between the current status on the one hand, and the established trends in the maintenance engineering literature and practice on the other, are recommended.</t>
  </si>
  <si>
    <t>[Ozor, P. A.; Nwobodo-Anyadiegwu, E. N.; Mbohwa, C.] Univ Johannesburg, Fac Engn &amp; Built Environm, Dept Qual &amp; Operat Management, Johannesburg, South Africa; [Ozor, P. A.] Univ Nigeria, Dept Mech Engn, Nsukka, Nigeria</t>
  </si>
  <si>
    <t>University of Johannesburg; University of Nigeria</t>
  </si>
  <si>
    <t>Ozor, PA (corresponding author), Univ Johannesburg, Fac Engn &amp; Built Environm, Dept Qual &amp; Operat Management, Johannesburg, South Africa.;Ozor, PA (corresponding author), Univ Nigeria, Dept Mech Engn, Nsukka, Nigeria.</t>
  </si>
  <si>
    <t>p.ozor@uj.ac.za</t>
  </si>
  <si>
    <t>Mbohwa, Charles/HHM-3522-2022</t>
  </si>
  <si>
    <t>Mbohwa, Charles/0000-0002-8268-5984; Nwobodo-Anyadiegwu, Dr Eveth Nkeiruka/0000-0001-8051-9459</t>
  </si>
  <si>
    <t>SOUTHERN AFRICAN INST INDUSTRIAL ENGINEERING</t>
  </si>
  <si>
    <t>PRETORIA</t>
  </si>
  <si>
    <t>UNIV PRETORIA, DEPT INDUSTRIAL SYSTEMS ENGINEERING, PRETORIA, 0001, SOUTH AFRICA</t>
  </si>
  <si>
    <t>2224-7890</t>
  </si>
  <si>
    <t>S AFR J IND ENG</t>
  </si>
  <si>
    <t>S. Afr. J. Ind. Eng.</t>
  </si>
  <si>
    <t>10.7166/31-3-2420</t>
  </si>
  <si>
    <t>OS8VJ</t>
  </si>
  <si>
    <t>WOS:000590436100005</t>
  </si>
  <si>
    <t>Chen, LW; Liang, Y; Yang, Z; Dui, H</t>
  </si>
  <si>
    <t>Chen, Liwei; Liang, Yi; Yang, Zi; Dui, Hongyan</t>
  </si>
  <si>
    <t>Reliability analysis and preventive maintenance of rehabilitation robots</t>
  </si>
  <si>
    <t>Reliability; Maintenance strategy; Performance; Maintenance cost</t>
  </si>
  <si>
    <t>FAULT-TREE ANALYSIS; SYSTEMS</t>
  </si>
  <si>
    <t>The complex system structure makes the robot face the problem of frequent failures, which seriously affects the reliability of the device and the safety of the patients, and the reliability analysis and maintenance strategy of the lower limb exoskeleton rehabilitation robot are studied to reduce the occurrence of failures. Existing studies lack a comprehensive assessment and integrated analysis of the whole system, and optimizing the maintenance strategy to minimize the cost under the premise of ensuring system reliability remains an urgent challenge. This study proposes a systematic reliability assessment and preventive maintenance strategy for a lower limb exoskeleton rehabilitation robot. Based on the degradation model, the performance degradation process of each critical component is predicted, and a multi-objective optimization model is constructed by combining three kinds of costs to propose the optimal preventive maintenance strategy. Rehabilitation robot verify the effectiveness of the optimization method.</t>
  </si>
  <si>
    <t>[Chen, Liwei; Liang, Yi] Zhengzhou Univ, Sch Elect &amp; Informat Engn, Zhengzhou 450001, Peoples R China; [Yang, Zi] Univ Hong Kong, Fac Engn, Hong Kong 999077, Peoples R China; [Dui, Hongyan] Zhengzhou Univ, Sch Management, Zhengzhou 450001, Peoples R China</t>
  </si>
  <si>
    <t>Zhengzhou University; University of Hong Kong; Zhengzhou University</t>
  </si>
  <si>
    <t>Chen, LW (corresponding author), Zhengzhou Univ, Sch Elect &amp; Informat Engn, Zhengzhou 450001, Peoples R China.</t>
  </si>
  <si>
    <t>cliwei@zzu.edu.cn</t>
  </si>
  <si>
    <t>Program for Henan Provincial Key Scientific and Technological Research Project [242102241017]; Henan Prov-ince Key Science and Technology Project [132102210560]</t>
  </si>
  <si>
    <t>Program for Henan Provincial Key Scientific and Technological Research Project; Henan Prov-ince Key Science and Technology Project</t>
  </si>
  <si>
    <t>The authors gratefully acknowledge the financial support for this research from the Program for Henan Provincial Key Scientific and Technological Research Project (No. 242102241017) and Henan Prov-ince Key Science and Technology Project (No. 132102210560) .</t>
  </si>
  <si>
    <t>APR</t>
  </si>
  <si>
    <t>10.1016/j.ress.2024.110704</t>
  </si>
  <si>
    <t>DEC 2024</t>
  </si>
  <si>
    <t>P9Y6Q</t>
  </si>
  <si>
    <t>WOS:001381374200001</t>
  </si>
  <si>
    <t>Truong, MT; Vu, HC; Do, P; Iung, B; Voisin, A</t>
  </si>
  <si>
    <t>Truong, Minh-Tuan; Vu, Hai-Canh; Do, Phuc; Iung, Benoit; Voisin, Alexandre</t>
  </si>
  <si>
    <t>Modelling and application of joint maintenance grouping and workload smoothing for an automotive plant</t>
  </si>
  <si>
    <t>Maintenance grouping; workload smoothing; automotive maintenance; multi-objective genetic algorithm; multi-component system</t>
  </si>
  <si>
    <t>WEIGHTED SUM METHOD; PREVENTIVE MAINTENANCE; MULTIOBJECTIVE OPTIMIZATION; MULTICOMPONENT SYSTEMS; STRATEGY; POLICY; ALGORITHMS; REPAIR</t>
  </si>
  <si>
    <t>In the maintenance optimisation framework, grouping maintenance is a promising solution for maintenance planning of multi-component systems, in which maintenance activities are performed together to reduce maintenance costs. One of the most widely identified challenges in real applications of grouping maintenance is that it may disturb the maintenance workload balance (smoothness), causing many difficulties in production and/or labour scheduling and inventory management. In this study, we propose a joint optimisation approach for maintenance grouping and workload balancing to address the above challenge. First, a mathematical model of the joint optimisation problem was derived. A multi-objective grouping optimisation approach based on the Weighted Sum model and Genetic Algorithm was implemented to determine the Pareto-optimal grouping solution. The proposed approach was applied to a real case study of an automotive plant comprising 40 production lines with 1090 components. The results highlighted the advantages, effectiveness, and flexibility of the proposed maintenance approach in real-world applications.</t>
  </si>
  <si>
    <t>[Truong, Minh-Tuan; Do, Phuc; Iung, Benoit; Voisin, Alexandre] Univ Lorraine, CRAN, UMR 7039, CNRS, Vandoeuvre Les Nancy, France; [Vu, Hai-Canh] Roberval Univ Technol Compiegne, Compiegne, France</t>
  </si>
  <si>
    <t>Universite de Lorraine; Centre National de la Recherche Scientifique (CNRS); Universite de Technologie de Compiegne</t>
  </si>
  <si>
    <t>Do, P (corresponding author), Univ Lorraine, CRAN, UMR 7039, CNRS, Vandoeuvre Les Nancy, France.</t>
  </si>
  <si>
    <t>phuc.do@univ-lorraine.fr</t>
  </si>
  <si>
    <t>VU, Canh/ADP-2868-2022; IUNG, Benoit/KBQ-1307-2024; VOISIN, Alexandre/AGA-2027-2022</t>
  </si>
  <si>
    <t>VOISIN, Alexandre/0000-0002-4637-6826</t>
  </si>
  <si>
    <t>Vietnamese Ministry of Education and Training under the Research and develop models to predict the safety and lifespan of coastal and island infrastructures using artificial intelligence and condition monitoring [B2021-GHA-03]</t>
  </si>
  <si>
    <t>Vietnamese Ministry of Education and Training under the Research and develop models to predict the safety and lifespan of coastal and island infrastructures using artificial intelligence and condition monitoring</t>
  </si>
  <si>
    <t>This research is partially supported by the Vietnamese Ministry of Education and Training under the Research and develop models to predict the safety and lifespan of coastal and island infrastructures using artificial intelligence and condition monitoring project, number B2021-GHA-03.</t>
  </si>
  <si>
    <t>APR 17</t>
  </si>
  <si>
    <t>10.1080/00207543.2023.2235027</t>
  </si>
  <si>
    <t>KO6G7</t>
  </si>
  <si>
    <t>WOS:001029373400001</t>
  </si>
  <si>
    <t>Erozan, I</t>
  </si>
  <si>
    <t>Erozan, Ihsan</t>
  </si>
  <si>
    <t>A fuzzy decision support system for managing maintenance activities of critical components in manufacturing systems</t>
  </si>
  <si>
    <t>JOURNAL OF MANUFACTURING SYSTEMS</t>
  </si>
  <si>
    <t>Critical component management; Maintenance management; Reliability; Fuzzy logic; Decision support system</t>
  </si>
  <si>
    <t>RELIABILITY; IDENTIFICATION; OPTIMIZATION; COST</t>
  </si>
  <si>
    <t>Management of critical components in manufacturing systems aims at managing components with very low reliability or the highest risk which can cause disruptions in manufacturing. This study presents a method for identifying critical components and a decision support tool for managing maintenance activities of critical components in manufacturing systems. Unlike the traditional reliability function, the proposed method uses the duty cycle, utilization rate of capacity, safety stock effect, and redundancy effect. It also has the ability to calculate some of the costs associated with the reliability and maintenance. In addition to the proposed method, an expert system as a decision support tool has also been proposed to assist in managing maintenance activities of critical components. The proposed method and the developed decision support system have been tested with a real data set taken from an industrial company and a randomly generated data set. The results have shown that the proposed method has a more realistic impact on component reliability compared to the traditional reliability function. The experimental results have validated the credibility of the proposed decision support system to manage maintenance activities of critical components. Besides, two comparison tables have shown that the proposed decision support system outperforms some approaches such as ANN, FMEA, FMECA, and AHP.</t>
  </si>
  <si>
    <t>[Erozan, Ihsan] Dumlupinar Univ, Evliya Celebi Campus, TR-43100 Kutahya, Turkey</t>
  </si>
  <si>
    <t>Dumlupinar University</t>
  </si>
  <si>
    <t>Erozan, I (corresponding author), Dumlupinar Univ, Evliya Celebi Campus, TR-43100 Kutahya, Turkey.</t>
  </si>
  <si>
    <t>ihsanerozan@hotmail.com</t>
  </si>
  <si>
    <t>Erozan, Ihsan/0000-0003-3649-2986</t>
  </si>
  <si>
    <t>0278-6125</t>
  </si>
  <si>
    <t>1878-6642</t>
  </si>
  <si>
    <t>J MANUF SYST</t>
  </si>
  <si>
    <t>J. Manuf. Syst.</t>
  </si>
  <si>
    <t>A</t>
  </si>
  <si>
    <t>10.1016/j.jmsy.2019.06.002</t>
  </si>
  <si>
    <t>JB6FU</t>
  </si>
  <si>
    <t>WOS:000488660800011</t>
  </si>
  <si>
    <t>Liu, QM; Dong, M; Chen, FF; Liu, WY; Ye, CM</t>
  </si>
  <si>
    <t>Liu, Qinming; Dong, Ming; Chen, F. Frank; Liu, Wenyi; Ye, Chunming</t>
  </si>
  <si>
    <t>Multi-objective imperfect maintenance optimization for production system with an intermediate buffer</t>
  </si>
  <si>
    <t>Production system; Preventive maintenance; Buffer stock; Renewal process; Imperfect maintenance</t>
  </si>
  <si>
    <t>PREVENTIVE MAINTENANCE; STRATEGY; ALGORITHM; POLICIES; RATES</t>
  </si>
  <si>
    <t>In several production systems, buffer stocks are built between consecutive machines to ensure the continuity of supply during interruptions of service caused by breakdowns or planned maintenance actions. However, in previous research, maintenance planning is performed individually without considering buffer stocks. In order to balance the trade-offs between them, in this study, an integrated model of buffer stocks and imperfective preventive maintenance for a production system is proposed. This paper considers a repairable machine subject to random failure for a production system by considering buffer stocks. First, the random failure rate of a machine becomes larger with the increase of the number of random failures. Thus, the renewal process is used to describe the number of random failures. Then, by considering the imperfect maintenance action reduced the age of the machine partially, a mathematical model is developed in order to determine the optimal values of the two decision variables which characterize the proposed maintenance strategy and which are: the size of the buffer stock and the maintenance interval. The optimal values are those which minimize the average total cost per time unit including maintenance cost, inventory holding cost and shortage cost, and satisfy the availability constraint. Finally, a heuristic procedure is used to solve the proposed model, and one experiment is used to evaluate the performance of the proposed methods for joint optimization between buffer stocks and maintenance policy. The results show that the proposed methods have a better performance for the joint optimization problem and can be able to obtain a relatively good solution in a short computation time.</t>
  </si>
  <si>
    <t>[Liu, Qinming; Liu, Wenyi; Ye, Chunming] Univ Shanghai Sci &amp; Technol, Business Sch, Dept Ind Engn, 516 Jungong Rd, Shanghai 200093, Peoples R China; [Dong, Ming] Shanghai Jiao Tong Univ, Antai Coll Econ &amp; Management, Dept Operat Management, 1954 Hua Shan Rd, Shanghai 200030, Peoples R China; [Chen, F. Frank] Univ Texas San Antonio, Mech Engn, San Antonio, TX USA</t>
  </si>
  <si>
    <t>University of Shanghai for Science &amp; Technology; Shanghai Jiao Tong University; University of Texas System; University of Texas at San Antonio (UTSA)</t>
  </si>
  <si>
    <t>Liu, QM (corresponding author), Univ Shanghai Sci &amp; Technol, Business Sch, Dept Ind Engn, 516 Jungong Rd, Shanghai 200093, Peoples R China.</t>
  </si>
  <si>
    <t>lqm0531@163.com</t>
  </si>
  <si>
    <t>Wenyi, Liu/JMC-4282-2023</t>
  </si>
  <si>
    <t>, liu/0000-0002-6057-8686; Liu, Wenyi/0009-0002-9071-4623</t>
  </si>
  <si>
    <t>National Natural Science Foundation of China [71632008, 71840003]; Natural Science Foundation of Shanghai [19ZR1435600]; Humanity and Social Science Planning foundation of Ministry of Education of China [20YJAZH068]</t>
  </si>
  <si>
    <t>National Natural Science Foundation of China(National Natural Science Foundation of China (NSFC)); Natural Science Foundation of Shanghai(Natural Science Foundation of Shanghai); Humanity and Social Science Planning foundation of Ministry of Education of China</t>
  </si>
  <si>
    <t>The work presented in this paper has been supported by Grants from National Natural Science Foundation of China (Nos. 71632008 and 71840003), Natural Science Foundation of Shanghai (No.19ZR1435600), Humanity and Social Science Planning foundation of Ministry of Education of China (No. 20YJAZH068). Authors are indebted to the reviewers and the editors for their constructive comments which greatly improved the contents and exposition of this paper.</t>
  </si>
  <si>
    <t>10.1016/j.jmsy.2020.07.002</t>
  </si>
  <si>
    <t>NS6DG</t>
  </si>
  <si>
    <t>WOS:000572349100009</t>
  </si>
  <si>
    <t>Soltanali, H; Rohani, A; Tabasizadeh, M; Abbaspour-Fard, MH; Parida, A</t>
  </si>
  <si>
    <t>Soltanali, Hamzeh; Rohani, Abbas; Tabasizadeh, Mohammad; Abbaspour-Fard, Mohammad Hossein; Parida, Aditya</t>
  </si>
  <si>
    <t>Operational reliability evaluation-based maintenance planning for automotive production line</t>
  </si>
  <si>
    <t>QUALITY TECHNOLOGY AND QUANTITATIVE MANAGEMENT</t>
  </si>
  <si>
    <t>Automotive industry; reliability; maintenance interval; Monte Carlo simulation; statistical structure</t>
  </si>
  <si>
    <t>MAINTAINABILITY ANALYSIS; AVAILABILITY; EQUIPMENT; SYSTEMS</t>
  </si>
  <si>
    <t>Reliability evaluation plays a critical role in upgrading the availability and productivity of automotive manufacturing industries by adopting the well-planned maintenance. Due to the lack of operation management studies in automotive industry, this paper addresses an operational reliability evaluation through failure behavior trend in an automotive production line. The main approaches for reliability analysis in this study include statistical structure and Monte Carlo simulation model. The statistical structure consists of three steps: data acquisition and homogenization process, validity of the trend hypothesis and parameters estimation. The reliability evaluation under statistical approach identified the main bottlenecks through the recognized behavior trend of system so that needs to be considered as a priority. Besides, K-R algorithm as Monte Carlo simulation was carried out to simulate reliability regarding failure distribution function. The result of Monte Carlo simulation with different iterations provides a high prediction accuracy of reliability with the lowest error. In addition, regarding the computed reliability through the proposed approaches and total expected cost, a reliability-based maintenance optimization model was conducted. The proposed maintenance intervals could be useful for improving the operational performance of critical components in automotive system.</t>
  </si>
  <si>
    <t>[Soltanali, Hamzeh; Rohani, Abbas; Tabasizadeh, Mohammad; Abbaspour-Fard, Mohammad Hossein] Ferdowsi Univ Mashhad, Dept Biosyst Engn, POB 9177948978, Mashhad, Razavi Khorasan, Iran; [Parida, Aditya] Lulea Univ Technol, Div Operat &amp; Maintenance Engn, Lulea, Sweden</t>
  </si>
  <si>
    <t>Ferdowsi University Mashhad; Lulea University of Technology</t>
  </si>
  <si>
    <t>Rohani, A (corresponding author), Ferdowsi Univ Mashhad, Dept Biosyst Engn, POB 9177948978, Mashhad, Razavi Khorasan, Iran.</t>
  </si>
  <si>
    <t>arohani@um.ac.ir</t>
  </si>
  <si>
    <t>Soltanali, Hamzeh/AAA-3934-2020; Abbaspour-Fard, Mohammad Hossein/Q-2024-2016; Rohani, Abbas/A-6247-2018</t>
  </si>
  <si>
    <t>Soltanali, Hamzeh/0000-0002-1972-1030; Abbaspour-Fard, Mohammad Hossein/0000-0002-5575-5115; Rohani, Abbas/0000-0002-4494-7058</t>
  </si>
  <si>
    <t>NCTU-NATIONAL CHIAO TUNG UNIV PRESS</t>
  </si>
  <si>
    <t>TAICHUNG</t>
  </si>
  <si>
    <t>NO 100, WENHWA RD, TAICHUNG, 40724 ROC, TAIWAN</t>
  </si>
  <si>
    <t>1684-3703</t>
  </si>
  <si>
    <t>1811-4857</t>
  </si>
  <si>
    <t>QUAL TECHNOL QUANT M</t>
  </si>
  <si>
    <t>Qual. Technol. Quant. Manag.</t>
  </si>
  <si>
    <t>MAR 3</t>
  </si>
  <si>
    <t>10.1080/16843703.2019.1567664</t>
  </si>
  <si>
    <t>Engineering, Industrial; Operations Research &amp; Management Science; Statistics &amp; Probability</t>
  </si>
  <si>
    <t>Engineering; Operations Research &amp; Management Science; Mathematics</t>
  </si>
  <si>
    <t>KH2OI</t>
  </si>
  <si>
    <t>WOS:000510486800004</t>
  </si>
  <si>
    <t>Zhu, XY; Wang, J; Coit, DW</t>
  </si>
  <si>
    <t>Zhu, Xiaoyan; Wang, Jun; Coit, David W.</t>
  </si>
  <si>
    <t>Joint Optimization of Spare Part Supply and Opportunistic Condition-Based Maintenance for Onshore Wind Farms Considering Maintenance Route</t>
  </si>
  <si>
    <t>Maintenance engineering; Wind farms; Wind turbines; Costs; Degradation; Routing; Production; Maintenance route; onshore wind farm; opportunistic condition-based maintenance (OCBM); simulation; spare part supply</t>
  </si>
  <si>
    <t>CONDITION MONITORING BENEFIT; LIFE-CYCLE COST; TURBINES; RELIABILITY; SYSTEMS</t>
  </si>
  <si>
    <t>Maintenance and inventory control of spare parts are of great importance for efficiently managing onshore wind farms. Considering the economic and graphical dependencies among wind turbines and the stochastic degradations of the components in the turbines, this article studies the joint optimization of opportunistic condition-based maintenance and spare parts supply for onshore wind farms to minimize the operation and maintenance cost rate. For each field maintenance, the specific turbines, with failed components, are selected for replacement using a clustering method, and the shortest route for visiting the turbines with failed components is scheduled. The maintenance team departs from a maintenance center with spare parts, maintains the selected turbines with failed or degraded components, and then returns to the center. This complicated and practical problem has never been considered as a whole in the literature. An optimization model is established, and a simulation-based approach is developed to solve it. A special case, for which a solution can be obtained by directly solving a nonlinear programming model, is provided to verify the results obtained by the simulation-based approach. Examples for various scales of wind farms are provided, and an analysis is performed for determining the length of a recommended maintenance interval.</t>
  </si>
  <si>
    <t>[Zhu, Xiaoyan] Univ Chinese Acad Sci, Sch Econ &amp; Management, Beijing 100190, Peoples R China; [Wang, Jun] Beijing Foreign Studies Univ, Int Business Sch, Beijing 100081, Peoples R China; [Coit, David W.] Rutgers State Univ, Dept Ind &amp; Syst Engn, Piscataway, NJ 08901 USA</t>
  </si>
  <si>
    <t>Chinese Academy of Sciences; University of Chinese Academy of Sciences, CAS; Beijing Foreign Studies University; Rutgers University System; Rutgers University New Brunswick</t>
  </si>
  <si>
    <t>Wang, J (corresponding author), Beijing Foreign Studies Univ, Int Business Sch, Beijing 100081, Peoples R China.</t>
  </si>
  <si>
    <t>xzhu5@ucas.ac.cn; junwang@bfsu.edu.cn; coit@soe.rutgers.edu</t>
  </si>
  <si>
    <t>zhu, xiaoyan/AAQ-6601-2021</t>
  </si>
  <si>
    <t>Coit, David William/0000-0002-5825-2548; Wang, Jun/0000-0001-8261-1371</t>
  </si>
  <si>
    <t>National Natural Science Foundation of China (NSFC) [71971206, 71731008]; China Scholarship Council; Chinese Academy of Sciences President's International Fellowship Initiative [2019VEA0018]</t>
  </si>
  <si>
    <t>National Natural Science Foundation of China (NSFC)(National Natural Science Foundation of China (NSFC)); China Scholarship Council(China Scholarship Council); Chinese Academy of Sciences President's International Fellowship Initiative</t>
  </si>
  <si>
    <t>This work was supported in part by the National Natural Science Foundation of China (NSFC) under Grant 71971206 and Grant 71731008, and in part by the scholarship from China Scholarship Council, and in part by the Chinese Academy of Sciences President's International Fellowship Initiative under Grant 2019VEA0018.</t>
  </si>
  <si>
    <t>10.1109/TEM.2022.3146361</t>
  </si>
  <si>
    <t>FEB 2022</t>
  </si>
  <si>
    <t>WT0D0</t>
  </si>
  <si>
    <t>WOS:000761645300001</t>
  </si>
  <si>
    <t>Dui, HY; Zhang, C; Tian, TZ; Wu, SM</t>
  </si>
  <si>
    <t>Dui, Hongyan; Zhang, Chi; Tian, Tianzi; Wu, Shaomin</t>
  </si>
  <si>
    <t>Different costs-informed component preventive maintenance with system lifetime changes</t>
  </si>
  <si>
    <t>Maintenance policy; Maintenance cost; System lifetime; Importance measure</t>
  </si>
  <si>
    <t>RELIABILITY; OPTIMIZATION; ALLOCATION; POLICY</t>
  </si>
  <si>
    <t>System safety assessment is a technique aiming at identifying hazards for the system under analysis and showing the compliance with the safety requirements. In order to increase the safety of a system, one may select com-ponents in the system for preventive maintenance, under the constraints of maintenance cost, maintenance time and the availability of maintenance staff. In different maintenance policies, maintenance cost can differ. This paper proposes some measures for component preventive maintenance considering maintenance effectiveness, based on which the expected costs due to a component and the system are investigated, respectively. Three different maintenance cost scenarios are analyzed for different maintenance policies. Considering both cost and maintenance constraints, components are optimally chosen for preventive maintenance. An application of a hydraulic system for an aircraft is then used to illustrate the proposed method.</t>
  </si>
  <si>
    <t>[Dui, Hongyan] Zhengzhou Univ, Sch Management, Zhengzhou 450001, Peoples R China; [Dui, Hongyan] Luoyang Vocat &amp; Tech Coll, Sch Business, Luoyang 471000, Henan, Peoples R China; [Zhang, Chi] Natl Univ Def Technol, Coll Intelligence Sci &amp; Technol, Lab Sci &amp; Technol Integrated Logist Support, Changsha 410073, Peoples R China; [Tian, Tianzi] Beihang Univ, Sch Reliabil &amp; Syst Engn, Beijing 100191, Peoples R China; [Wu, Shaomin] Univ Kent, Kent Business Sch, Canterbury CT2, Kent, England</t>
  </si>
  <si>
    <t>Zhengzhou University; National University of Defense Technology - China; Beihang University; University of Kent</t>
  </si>
  <si>
    <t>Dui, HY (corresponding author), Zhengzhou Univ, Sch Management, Zhengzhou 450001, Peoples R China.;Dui, HY (corresponding author), Luoyang Vocat &amp; Tech Coll, Sch Business, Luoyang 471000, Henan, Peoples R China.</t>
  </si>
  <si>
    <t>National Natural Science Foundation of China [72071182, U1904211]; ministry of education's humanities and social sciences planning fund [20YJA630012]; Key Science and Technology Program of Henan Province [222102520019]; Program for Science AMP; Technology Innovation Talents in Universities of Henan Province [22HASTIT022]; Program for young backbone teachers in Universities of Henan Province [2021GGJS007]</t>
  </si>
  <si>
    <t>National Natural Science Foundation of China(National Natural Science Foundation of China (NSFC)); ministry of education's humanities and social sciences planning fund; Key Science and Technology Program of Henan Province; Program for Science AMP; Technology Innovation Talents in Universities of Henan Province; Program for young backbone teachers in Universities of Henan Province</t>
  </si>
  <si>
    <t>The authors gratefully acknowledge the financial support for this research from the National Natural Science Foundation of China (Nos. 72071182, U1904211), the ministry of education's humanities and so-cial sciences planning fund (No. 20YJA630012), the Key Science and Technology Program of Henan Province (No. 222102520019), the Program for Science &amp; Technology Innovation Talents in Universities of Henan Province (No. 22HASTIT022), the Program for young backbone teachers in Universities of Henan Province (No. 2021GGJS007).</t>
  </si>
  <si>
    <t>10.1016/j.ress.2022.108755</t>
  </si>
  <si>
    <t>5D1VF</t>
  </si>
  <si>
    <t>WOS:000864737700008</t>
  </si>
  <si>
    <t>Duan, CQ; Gong, T; Yan, LW; Li, XM</t>
  </si>
  <si>
    <t>Duan, Chaoqun; Gong, Ting; Yan, Liangwen; Li, Xinmin</t>
  </si>
  <si>
    <t>Bi-level corrected residual life-based maintenance for deteriorating systems under competing risks</t>
  </si>
  <si>
    <t>Maintenance model; Competing risks; Prognostics and health management; Condition monitoring</t>
  </si>
  <si>
    <t>PREDICTIVE MAINTENANCE; SUBJECT; FRAMEWORK; POLICY; MODEL; TIME</t>
  </si>
  <si>
    <t>The accurate prediction of residual life in deteriorating systems is a challenging task due to uncertainties and idealized assumptions during data acquisition and model construction. To address this challenge, the paper proposes a bi-level maintenance model that incorporates a corrected residual life (CRL) approach for a deteriorating system under competing risks. Specifically, the degradation failure is modeled using a Gamma process, while the competing sudden failure is described by a proportional hazards (PH) model. To reduce inconsistencies in residual life prediction, a CRL model is presented and continuously updated with a dynamic corrective factor at each monitoring epoch. Based on the updated CRL, a bi-level maintenance model is developed, which considers both system availability and maintenance cost objectives, enabling dynamic monitoring of the system ' s degradation state and residual life. The optimal decision variables in the maintenance model are determined through a multi -objective optimization algorithm formulated within a semi-Markov decision process (SMDP) framework. The unique aspect of this work lies in the consideration of prediction errors in residual life and the incorporation of multi -attribute optimization for maintenance design. The proposed method is validated through a case study on light -emitting diodes, confirming its effectiveness in improving residual life prediction and optimizing maintenance decisions.</t>
  </si>
  <si>
    <t>[Duan, Chaoqun; Yan, Liangwen; Li, Xinmin] Shanghai Univ, Sch Mechatron Engn &amp; Automat, Shanghai 200444, Peoples R China; [Duan, Chaoqun] Stanford Univ, Dept Aeronaut &amp; Astronaut, Stanford, CA 94305 USA; [Gong, Ting] Univ Calif Davis, Davis, CA 95616 USA</t>
  </si>
  <si>
    <t>Shanghai University; Stanford University; University of California System; University of California Davis</t>
  </si>
  <si>
    <t>Li, XM (corresponding author), Shanghai Univ, Sch Mechatron Engn &amp; Automat, Shanghai 200444, Peoples R China.</t>
  </si>
  <si>
    <t>chaoqun.duan@hotmail.com; tingong@ucdavis.edu; lw_yan@shu.edu.cn; xinmin@kth.se</t>
  </si>
  <si>
    <t>Duan, Chaoqun/0000-0002-8938-5474</t>
  </si>
  <si>
    <t>National Natural Science Foundation of China [52375106]</t>
  </si>
  <si>
    <t>The research was supported by the National Natural Science Foundation of China under Grant No. 52375106.</t>
  </si>
  <si>
    <t>10.1016/j.ress.2024.110069</t>
  </si>
  <si>
    <t>MAR 2024</t>
  </si>
  <si>
    <t>QA7T2</t>
  </si>
  <si>
    <t>WOS:001218231700001</t>
  </si>
  <si>
    <t>Rodoplu, M; Dauzere-Peres, S; Vialletelle, P</t>
  </si>
  <si>
    <t>Rodoplu, Melek; Dauzere-Peres, Stephane; Vialletelle, Philippe</t>
  </si>
  <si>
    <t>Integrated planning of maintenance operations and workload allocation</t>
  </si>
  <si>
    <t>Maintenance; workload allocation; planning; mathematical modelling</t>
  </si>
  <si>
    <t>EXTENDED EMQ MODEL; PREVENTIVE MAINTENANCE; SAFETY STOCKS; PRODUCTION SYSTEM; MACHINE; SCHEDULE; OPTIMIZATION</t>
  </si>
  <si>
    <t>Motivated by a practical problem, this paper investigates the integrated planning of maintenance operations and workload allocation on a set of machines in a workshop. Given quantities of products to be produced per period on a planning horizon must be processed on unrelated flexible machines. Moreover, each machine has to undergo one or more maintenance operations that must be planned within a given time window and impact products differently. The main goal is to find a feasible plan that satisfies the machine capacity by allocating the production quantities to machines and assigning maintenance operations as late as possible in their time windows. Various original mathematical models are presented. In particular, we propose models that allow maintenance operations and some production quantities to overlap two consecutive periods. Computational experiments based on industrial data show that allowing this overlapping helps the earliness of maintenance operations to be significantly reduced in the most difficult instances, going for example from a total of 14 periods to only 1 period, and by more than 35% on average.</t>
  </si>
  <si>
    <t>[Rodoplu, Melek; Dauzere-Peres, Stephane] Univ Clermont Auvergne, Mines St Etienne, CNRS, UMR LIMOS 6158, Gardanne, France; [Dauzere-Peres, Stephane] BI Norwegian Business Sch, Dept Accounting &amp; Operat Management, Oslo, Norway; [Vialletelle, Philippe] STMicroelectronics, Crolles, France</t>
  </si>
  <si>
    <t>IMT - Institut Mines-Telecom; Mines Saint-Etienne; Centre National de la Recherche Scientifique (CNRS); Universite Clermont Auvergne (UCA); BI Norwegian Business School; STMicroelectronics</t>
  </si>
  <si>
    <t>Rodoplu, M (corresponding author), Univ Clermont Auvergne, Mines St Etienne, CNRS, UMR LIMOS 6158, Gardanne, France.</t>
  </si>
  <si>
    <t>melekrodoplu@gmail.com</t>
  </si>
  <si>
    <t>Dauzere-Peres, Stephane/H-9328-2012</t>
  </si>
  <si>
    <t>Dauzere-Peres, Stephane/0000-0002-3566-3248</t>
  </si>
  <si>
    <t>French Public Authorities through the Nano 2022 program, IPCEI (Important Project of Common European Interest)</t>
  </si>
  <si>
    <t>This work was partly funded by the French Public Authorities through the Nano 2022 program, which is part of IPCEI (Important Project of Common European Interest).</t>
  </si>
  <si>
    <t>DEC 2</t>
  </si>
  <si>
    <t>10.1080/00207543.2023.2168083</t>
  </si>
  <si>
    <t>FEB 2023</t>
  </si>
  <si>
    <t>X5IR2</t>
  </si>
  <si>
    <t>WOS:000930865900001</t>
  </si>
  <si>
    <t>Zhang, WY; Gan, J; He, SG; Li, T; He, Z</t>
  </si>
  <si>
    <t>Zhang, Wenyu; Gan, Jie; He, Shuguang; Li, Ting; He, Zhen</t>
  </si>
  <si>
    <t>An integrated framework of preventive maintenance and task scheduling for repairable multi-unit systems</t>
  </si>
  <si>
    <t>Integrated decision; Preventive maintenance; Task scheduling; Repairable multi -unit systems; Imperfect maintenance</t>
  </si>
  <si>
    <t>OPPORTUNISTIC MAINTENANCE; IMPERFECT MAINTENANCE; MACHINE; OPTIMIZATION; ALGORITHM; MINIMIZE; MODELS; POLICY</t>
  </si>
  <si>
    <t>Preventive maintenance and task scheduling are both crucial activities in industrial practice. Although they are interdependent and mutually influential, most existing studies typically analyze them separately. In this paper, an integrated framework of preventive maintenance planning and task scheduling is explored. On one hand, while most scholars focus on the system as a whole in scheduling studies, we further take into account the degradation and maintenance of multiple units during the task scheduling process. On the other hand, instead of only using direct replacement as the main maintenance method, we further consider the repairability of the unit by incorporating imperfect maintenance effects into the maintenance modeling. Additionally, the lifecycle partitioning method is proposed to analyze the maintenance groups for multiple units at the completion of scheduling tasks and their corresponding probabilities. Based on this foundation, an integrated decision model is established with the preventive maintenance threshold and scheduling task sequence as decision variables to minimize the total weighted expected completion time. Finally, a novel genetic algorithm based on hybrid encoding is proposed, and the effectiveness of integrated decision-making was validated using a practical example.</t>
  </si>
  <si>
    <t>[Zhang, Wenyu; He, Shuguang; He, Zhen] Tianjin Univ, Coll Management &amp; Econ, Tianjin 300072, Peoples R China; [Gan, Jie] Taiyuan Univ Sci &amp; Technol, Div Ind &amp; Syst Engn, Taiyuan 030024, Peoples R China; [Li, Ting] North Univ China, Coll Econ &amp; Management, Taiyuan 030051, Peoples R China</t>
  </si>
  <si>
    <t>Tianjin University; Taiyuan University of Science &amp; Technology; North University of China</t>
  </si>
  <si>
    <t>He, SG (corresponding author), Tianjin Univ, Coll Management &amp; Econ, Tianjin 300072, Peoples R China.</t>
  </si>
  <si>
    <t>shuguanghe@tju.edu.cn</t>
  </si>
  <si>
    <t>Zhang, Wenyu/0000-0002-7460-7660</t>
  </si>
  <si>
    <t>National Natural Science Foundation of China [72032005, 72231005]</t>
  </si>
  <si>
    <t>We would like to thank the editor and the reviewers for their insightful comments and suggestions. This work was financially sup- ported by the National Natural Science Foundation of China [Grant No. 72032005, 72231005] .</t>
  </si>
  <si>
    <t>10.1016/j.ress.2024.110129</t>
  </si>
  <si>
    <t>APR 2024</t>
  </si>
  <si>
    <t>RF8L7</t>
  </si>
  <si>
    <t>WOS:001226343200002</t>
  </si>
  <si>
    <t>Jawwad, AKA; AbuNaffa, I</t>
  </si>
  <si>
    <t>Jawwad, Abdul Kareem Abdul; AbuNaffa, Ibrahim</t>
  </si>
  <si>
    <t>Applying analytical hierarchy process (AHP) in selecting best maintenance strategies for newly established chemical fertilizers plants</t>
  </si>
  <si>
    <t>Multi-criteria decision-making (MCDM); Analytical hierarchy process (AHP); Maintenance strategy selection; Predictive maintenance (PDM); Preventive maintenance (PM); Process industry</t>
  </si>
  <si>
    <t>DECISION; SYSTEM</t>
  </si>
  <si>
    <t>Purpose - The purpose of this paper is to help newly established plants with minimal or no historical machine data select best maintenance strategies that suit their specific working setup and at the same time satisfy relevant selection criteria. Design/methodology/approach - Analytical hierarchy process (AHP) was applied successfully in this study to select the maintenance strategy at a newly established chemical fertilizers plant. Implementation started by identifying main and sub-criteria pertinent to maintenance practice in this particular industry. Pair-wise comparisons and consistency calculations were carried out on the chosen criteria and then were used to assess candidate maintenance strategies through a special scoring process. The methodology included the use of surveys, brainstorming and expert consultation. Findings - The results have shown that the most important main criteria are cost, resources, failures, management, operations, quality and safety. The final maintenance strategy selected for the plant under consideration included a mix of condition-based predictive maintenance (PDM), time-based preventive maintenance (PM) and corrective maintenance (CM). The best balance between the three maintenance activities, which satisfies the maintenance criteria with technical applicability, was found to be 50, 23 and 19% for PDM, PM and CM, respectively. Originality/value - The present paper is a novel application of AHP coupled with deterministic application-specific ranking for devising a procedure for selecting viable and applicable comprehensive maintenance strategies for newly established chemical fertilizers plants with no historical data on machine failures.</t>
  </si>
  <si>
    <t>[Jawwad, Abdul Kareem Abdul] Univ Jordan, Dept Ind Engn, Amman, Jordan; [AbuNaffa, Ibrahim] TAG Consult, Amman, Jordan</t>
  </si>
  <si>
    <t>University of Jordan</t>
  </si>
  <si>
    <t>Jawwad, AKA (corresponding author), Univ Jordan, Dept Ind Engn, Amman, Jordan.</t>
  </si>
  <si>
    <t>akjawwad@ju.edu.jo</t>
  </si>
  <si>
    <t>Abdul Jawwad, Abdul Kareem/B-7902-2019</t>
  </si>
  <si>
    <t>Abdul Jawwad, Abdul Kareem/0000-0001-9174-6358</t>
  </si>
  <si>
    <t>JUN 28</t>
  </si>
  <si>
    <t>10.1108/JQME-06-2020-0056</t>
  </si>
  <si>
    <t>2K8JI</t>
  </si>
  <si>
    <t>WOS:000646288100001</t>
  </si>
  <si>
    <t>Karakaya, S; Yildirim, M; Gebraeel, N; Xia, TB</t>
  </si>
  <si>
    <t>Karakaya, Sakir; Yildirim, Murat; Gebraeel, Nagi; Xia, Tangbin</t>
  </si>
  <si>
    <t>A sensor-driven operations and maintenance planning approach for large-scale leased manufacturing systems</t>
  </si>
  <si>
    <t>leased machines; prognostics; sensor-driven prescriptive analytics; operations and maintenance; team routing; asset management</t>
  </si>
  <si>
    <t>OPPORTUNISTIC MAINTENANCE; PREDICTIVE MAINTENANCE; DYNAMIC MAINTENANCE; AIRCRAFT MAINTENANCE; SERIES SYSTEM; OPTIMIZATION; EQUIPMENT; PROGNOSTICS; NUMBER; POLICY</t>
  </si>
  <si>
    <t>The rise of mass customisation drives manufacturers to adopt leasing agreements for their machinery rather than outright their ownership. This industrial trend results in large-scale leased manufacturing systems, where the asset conditions and maintenance requirements for a fleet of machines and/or production lines from several manufacturers are continuously monitored and managed by a lessor. In this paper, we propose an operations and maintenance planning model that explicitly models (i) dynamic real-time failure rate predictions for machines based on sensor-driven degradation data, (ii) optimal routes for maintenance teams across a number of geographically-distributed manufacturing sites, and (iii) operational outcomes. The model can handle complex maintenance and operational outcome interdependencies between multiple machines, and incorporate demand for different products, heterogeneous machine capacities and capabilities, factory topology, and the resulting production flow capacities of products. To demonstrate the model's practicality, it is applied to three experimental case studies with various numbers of machines, operating schedules, product types, and flow capacities. The results show that the proposed model significantly outperforms the traditional reliability-based maintenance model in key metrics such as the number of unexpected failures, the cost of preventive maintenance actions, machine downtime, the percentage of unsatisfied demand, and total cost.</t>
  </si>
  <si>
    <t>[Karakaya, Sakir; Yildirim, Murat] Wayne State Univ, Ind &amp; Syst Engn Dept, Detroit, MI 48201 USA; [Karakaya, Sakir] Minist Ind &amp; Technol, Ankara, Turkiye; [Gebraeel, Nagi] Georgia Inst Technol, H Milton Stewart Sch Ind &amp; Syst Engn, Atlanta, GA USA; [Xia, Tangbin] Shanghai Jiao Tong Univ, Dept Ind Engn &amp; Management, Shanghai, Peoples R China</t>
  </si>
  <si>
    <t>Wayne State University; University System of Georgia; Georgia Institute of Technology; Shanghai Jiao Tong University</t>
  </si>
  <si>
    <t>Yildirim, M (corresponding author), Wayne State Univ, Ind &amp; Syst Engn Dept, Detroit, MI 48201 USA.</t>
  </si>
  <si>
    <t>murat@wayne.edu</t>
  </si>
  <si>
    <t>YILDIRIM, mahmut/AAZ-5460-2020</t>
  </si>
  <si>
    <t>Yildirim, Murat/0000-0003-1189-2908</t>
  </si>
  <si>
    <t>DEC 16</t>
  </si>
  <si>
    <t>10.1080/00207543.2024.2347564</t>
  </si>
  <si>
    <t>MAY 2024</t>
  </si>
  <si>
    <t>M1X9V</t>
  </si>
  <si>
    <t>WOS:001215386300001</t>
  </si>
  <si>
    <t>Wang, JJ; Yang, L; Ma, XB; Peng, R</t>
  </si>
  <si>
    <t>Wang, Jingjing; Yang, Li; Ma, Xiaobing; Peng, Rui</t>
  </si>
  <si>
    <t>Joint optimization of multi-window maintenance and spare part provisioning policies for production systems</t>
  </si>
  <si>
    <t>Multi-window maintenance; Spare part provisioning policy; Delay-time; Production systems</t>
  </si>
  <si>
    <t>PREVENTIVE MAINTENANCE; INVENTORY</t>
  </si>
  <si>
    <t>Advanced asset management emphasizes the collaborative schemes of maintenance and spare part resources driven by asset health status. This paper formulates a joint optimization model of maintenance-spare part provisioning policy for a production system with observable defect information and postponed spare part supplies. Three levels of state-based maintenance windows, (a) regular inspection window (RIW); (b) defect removal window (DRW), and (c) pre-specified overhaul window (POW) are integrated to promote the timeliness and robustness of maintenance decision-makings, and mitigate production downtime due to spare part delays. In particular, a spare part order is induced upon defect identifications at DRW and the system continues production until being replaced as soon as the order arrives at the maintenance base, or being renewed at POW when the system attains a specified age. As such, spare part replacement is delayed, so as to leave enough time for resource preparation, and prolong the remaining useful lifetime. The system net profit is maximized through the interval optimization of RIW and DRW. A numerical experiment on maintenance engineering of a steel convertor plant is used to demonstrate the proposed methodology.</t>
  </si>
  <si>
    <t>[Wang, Jingjing] Qingdao Univ Technol, Sch Management Engn, Qingdao 266525, Peoples R China; [Wang, Jingjing] Qingdao Univ Technol, Ctr Struct Acoust &amp; Machine Fault Diag, Qingdao 266525, Peoples R China; [Yang, Li; Ma, Xiaobing] Beihang Univ, Sch Reliabil &amp; Syst Engn, Beijing 100191, Peoples R China; [Peng, Rui] Beijing Univ Technol, Sch Econ &amp; Management, Beijing 100083, Peoples R China</t>
  </si>
  <si>
    <t>Qingdao University of Technology; Qingdao University of Technology; Beihang University; Beijing University of Technology</t>
  </si>
  <si>
    <t>yanglirass@buaa.edu.cn</t>
  </si>
  <si>
    <t>Peng, Rui/AAL-7506-2020</t>
  </si>
  <si>
    <t>National Natural Science Foundation of China [72101010, 52075020, 72071005]; National Key Laboratory Foundation [KZ42004001]; Double-First Class Special Budget [ZG216S21C3]</t>
  </si>
  <si>
    <t>National Natural Science Foundation of China(National Natural Science Foundation of China (NSFC)); National Key Laboratory Foundation; Double-First Class Special Budget</t>
  </si>
  <si>
    <t>This work is supported partially by the National Natural Science Foundation of China (Grant No.72101010, Grant No. 52075020 and Grant No. 72071005), and the National Key Laboratory Foundation (Grant No. KZ42004001), the Double-First Class Special Budget (Grant No. ZG216S21C3).</t>
  </si>
  <si>
    <t>10.1016/j.ress.2021.108006</t>
  </si>
  <si>
    <t>SEP 2021</t>
  </si>
  <si>
    <t>UZ6ZN</t>
  </si>
  <si>
    <t>WOS:000702351700073</t>
  </si>
  <si>
    <t>Marugán, AP; Pinar-Pérez, JM; Márquez, FPG</t>
  </si>
  <si>
    <t>Marugan, Alberto Pliego; Pinar-Perez, Jesus M.; Marquez, Fausto Pedro Garcia</t>
  </si>
  <si>
    <t>A reinforcement learning agent for maintenance of deteriorating systems with increasingly imperfect repairs</t>
  </si>
  <si>
    <t>Maintenance management; Reinforcement learning; Gamma deterioration process</t>
  </si>
  <si>
    <t>DEGRADING SYSTEMS; OPTIMIZATION; POLICY</t>
  </si>
  <si>
    <t>Efficient maintenance has always been essential for the successful application of engineering systems. However, the challenges to be overcome in the implementation of Industry 4.0 necessitate new paradigms of maintenance optimization. Machine learning techniques are becoming increasingly used in engineering and maintenance, with reinforcement learning being one of the most promising. In this paper, we propose a gamma degradation process together with a novel maintenance model in which repairs are increasingly imperfect, i.e., the beneficial effect of system repairs decreases as more repairs are performed, reflecting the degradational behavior of real- world systems. To generate maintenance policies for this system, we developed a reinforcement-learning-based agent using a Double Deep Q-Network architecture. This agent presents two important advantages: it works without a predefined preventive threshold, and it can operate in a continuous degradation state space. Our agent learns to behave in different scenarios, showing great flexibility. In addition, we performed an analysis of how changes in the main parameters of the environment affect the maintenance policy proposed by the agent. The proposed approach is demonstrated to be appropriate and to significatively improve long-run cost as compared with other common maintenance strategies.</t>
  </si>
  <si>
    <t>[Marugan, Alberto Pliego; Pinar-Perez, Jesus M.] CUNEF Univ, Leonardo Prieto Castro 2, Madrid, Spain; [Marquez, Fausto Pedro Garcia] Univ Castilla La Mancha, Ingenium Res Grp, Ave Camilo Jose Cela, Ciudad Real, Spain</t>
  </si>
  <si>
    <t>CUNEF Universidad; Universidad de Castilla-La Mancha</t>
  </si>
  <si>
    <t>Marugán, AP (corresponding author), CUNEF Univ, Leonardo Prieto Castro 2, Madrid, Spain.</t>
  </si>
  <si>
    <t>alberto.pliego@cunef.edu</t>
  </si>
  <si>
    <t>Pinar Pérez, Jesús/H-5893-2019; Garcia Marquez, Fausto Pedro/D-7529-2011</t>
  </si>
  <si>
    <t>PINAR PEREZ, JESUS MARIA/0000-0002-7367-2997; Garcia Marquez, Fausto Pedro/0000-0002-9245-440X</t>
  </si>
  <si>
    <t>Spanish Ministerio de Ciencia, Innovacion y Universidades [PID2022-140477OA-I00]</t>
  </si>
  <si>
    <t>Spanish Ministerio de Ciencia, Innovacion y Universidades(Spanish Government)</t>
  </si>
  <si>
    <t>The work reported herewith has been financially supported by the Spanish Ministerio de Ciencia, Innovacion y Universidades, under Research Grant FOWFAM project with reference: PID2022-140477OA-I00.</t>
  </si>
  <si>
    <t>10.1016/j.ress.2024.110466</t>
  </si>
  <si>
    <t>F4T7Y</t>
  </si>
  <si>
    <t>WOS:001309766600001</t>
  </si>
  <si>
    <t>Yu, VF; Salsabila, NY; Siswanto, N; Kuo, PH</t>
  </si>
  <si>
    <t>Yu, Vincent F.; Salsabila, Nabila Yuraisyah; Siswanto, Nurhadi; Kuo, Po-Hsun</t>
  </si>
  <si>
    <t>A two-stage Genetic Algorithm for joint coordination of spare parts inventory and planned maintenance under uncertain failures</t>
  </si>
  <si>
    <t>Inventory management; Planned maintenance; Stochastic programming; Mixed integer non-linear programming; Genetic algorithm; Sim-heuristics</t>
  </si>
  <si>
    <t>PERIODIC PREVENTIVE MAINTENANCE; S POLICIES; OPTIMIZATION; SYSTEMS; ALLOCATION; SUBJECT; MODEL</t>
  </si>
  <si>
    <t>The main problem of spare parts management is to maintain the minimal requirement of stock keeping units kept. This research proposes a joint optimization model of multi-item multi-period spare parts inventory management and planned maintenance under uncertain failures in order to balance inventory cost and spare parts availability. This paper presents a Mixed Integer Non-linear Programming formulation of the inventory optimization model under a minimum and maximum inventory policy with stock review intervals. Some studies in the literature have considered aggregating spare parts inventory management as they assume that it will reduce the ordering cost. We consider both independent and aggregate spare parts inventory policies and then combine the formulation with the predictive maintenance interval, which is a replacement action due to uncertain failures under predefined distribution. Furthermore, a novel two-stage Genetic Algorithm is proposed as a sim-heuristic approach to deal with the non-linearity, combinations, and stochasticity of the problem and solve large-scale instances. In the end, we perform a computational study on some instances and a real-world case study to demonstrate the proposed approach's effectiveness and efficiency. The computational study shows that the independent policy results in lower cost than the aggregate policy, and the proposed Genetic Algorithm performs efficiently for large-scale problems.(c) 2022 Elsevier B.V. All rights reserved.</t>
  </si>
  <si>
    <t>[Yu, Vincent F.; Salsabila, Nabila Yuraisyah; Kuo, Po-Hsun] Natl Taiwan Univ Sci &amp; Technol, Dept Ind Management, Taipei 106, Taiwan; [Yu, Vincent F.] Natl Taiwan Univ Sci &amp; Technol, Ctr Cyber Phys Syst Innovat, Taipei 106, Taiwan; [Siswanto, Nurhadi] Inst Teknol Sepuluh Nopember, Dept Ind &amp; Syst Engn, Surabaya 60111, Indonesia</t>
  </si>
  <si>
    <t>Salsabila, NY (corresponding author), Natl Taiwan Univ Sci &amp; Technol, Dept Ind Management, Taipei 106, Taiwan.</t>
  </si>
  <si>
    <t>nabilays1996@gmail.com</t>
  </si>
  <si>
    <t>Siswanto, Nurhadi/V-6734-2019; Yu, Vincent/B-3580-2008</t>
  </si>
  <si>
    <t>Salsabila, Nabila Yuraisyah/0000-0002-7907-9975; Yu, Vincent/0000-0001-8975-0606</t>
  </si>
  <si>
    <t>Ministry of Science and Technology of the Republic of China (Taiwan) [MOST 109-2410-H-011-010-MY3]; Center for Cyber-Physical System Innovation from The Featured Areas Research Center Program within the framework of the Higher Education Sprout Project by the Ministry of Education (MOE) in Taiwan</t>
  </si>
  <si>
    <t>Ministry of Science and Technology of the Republic of China (Taiwan)(Ministry of Science and Technology, Taiwan); Center for Cyber-Physical System Innovation from The Featured Areas Research Center Program within the framework of the Higher Education Sprout Project by the Ministry of Education (MOE) in Taiwan</t>
  </si>
  <si>
    <t>This research is partially supported by the Ministry of Science and Technology of the Republic of China (Taiwan) under grant MOST 109-2410-H-011-010-MY3 and the Center for Cyber-Physical System Innovation from The Featured Areas Research Center Program within the framework of the Higher Education Sprout Project by the Ministry of Education (MOE) in Taiwan.</t>
  </si>
  <si>
    <t>10.1016/j.asoc.2022.109705</t>
  </si>
  <si>
    <t>6D0WC</t>
  </si>
  <si>
    <t>WOS:000882421200004</t>
  </si>
  <si>
    <t>Factors influencing maintenance-related investments in industry: a multiple-case study</t>
  </si>
  <si>
    <t>Industrial maintenance; Investment; Manufacturing; Case study</t>
  </si>
  <si>
    <t>CYBER-PHYSICAL SYSTEMS; MODEL; COST; MANAGEMENT; FRAMEWORK</t>
  </si>
  <si>
    <t>Purpose The purpose of this study is to ensure productive, robust and sustainable production systems by enabling future investments in maintenance. This study aims to provide a deeper understanding of the investment process and thereby facilitate future maintenance-related investments. The objectives are to describe the investment process, map the decision support and roles involved and identify factors influencing the process. Design/methodology/approach The study was designed as a multiple-case study, with three industrial cases of maintenance-related investments. A structured coding procedure was used to analyse the empirical data from the cases. Findings This paper provides a deeper understanding of the process of maintenance-related investments. Eleven factors influencing the investment process could be identified, three of which were seen in all three cases. These three factors are: fact-based decision-support, internal integration and foresight. Practical implications Investments in modern maintenance are needed to ensure productive, robust and sustainable production in the future. However, it is a challenge in manufacturing industry to justify maintenance-related investments. This challenge may be solved by developing a decision-support system, or a structured work procedure, that considers the findings of this study. Originality/value From this study, an extended view of the relation between quantifying effects of maintenance and maintenance-related investment is proposed, including surrounding factors influencing the investment process. The factors were identified using a structured and transparent coding procedure which is rarely used in maintenance research.</t>
  </si>
  <si>
    <t>[Lundgren, Camilla; Bokrantz, Jon; Skoogh, Anders] Chalmers Univ Technol, Dept Ind &amp; Mat Sci, Gothenburg, Sweden</t>
  </si>
  <si>
    <t>Lundgren, C (corresponding author), Chalmers Univ Technol, Dept Ind &amp; Mat Sci, Gothenburg, Sweden.</t>
  </si>
  <si>
    <t>camilla.lundgren@chalmers.se; jon.bokrantz@chalmers.se; anders.skoogh@chalmers.se</t>
  </si>
  <si>
    <t>Skoogh, Anders/D-6242-2015; Lundgren, Camilla/AAO-8536-2020; /N-7541-2015</t>
  </si>
  <si>
    <t>/0000-0003-4930-7786; Lundgren, Camilla/0000-0002-3742-0354</t>
  </si>
  <si>
    <t>VINNOVA; VINNOVA [2017-01652]; Production 2030; Vinnova [2017-01652] Funding Source: Vinnova</t>
  </si>
  <si>
    <t>VINNOVA(Vinnova); VINNOVA(Vinnova); Production 2030; Vinnova(Vinnova)</t>
  </si>
  <si>
    <t>The authors would like to thank SMASh, a research project financed by VINNOVA and Production 2030. They especially thank the case companies for commitment and collaboration. This work has been performed within Production Area of Advance at Chalmers. The support is greatly appreciated.We would like to thank the case companies and all individuals who contributed to this research, for their commitment and collaboration. This work was financed by VINNOVA [grant number 2017-01652]. This work has been performed within Production Area of Advance at Chalmers. The support is greatly appreciated.</t>
  </si>
  <si>
    <t>10.1108/JQME-08-2018-0066</t>
  </si>
  <si>
    <t>WOS:000528544700001</t>
  </si>
  <si>
    <t>Kechagias, GA; Diamantidis, AC; Dimitrakos, TD; Tsakalerou, M</t>
  </si>
  <si>
    <t>Kechagias, G. A.; Diamantidis, A. C.; Dimitrakos, T. D.; Tsakalerou, M.</t>
  </si>
  <si>
    <t>Optimal maintenance of deteriorating equipment using semi-Markov decision processes and linear programming</t>
  </si>
  <si>
    <t>Semi-Markov decision processes; Preventive maintenance; Condition-based maintenance; Optimal policy; Linear programming</t>
  </si>
  <si>
    <t>OPTIMAL REPAIR/REPLACEMENT POLICY; REPAIRABLE SYSTEMS; MODEL; OPTIMIZATION; ALGORITHM</t>
  </si>
  <si>
    <t>This paper considers a mathematical model analysing the deterioration of system equipment and available maintenance options. Under specific conditions on costs and transition probabilities of the model, the issue of ideal maintenance of the equipment by assuming that preventive maintenance, condition-based maintenance, and the replacement times of the equipment follow known continuous probability distributions is explored. A semi-Markov decision process formulation is provided for this model and computational analysis is possible by applying well-known Markov decision algorithms. A linear programming approach is also presented with appropriate constraints established for the equipment's maintenance and repair times. Various numerical results are also presented for the validation of the model. The motivation for this paper is to develop a realistic framework for determining decisions about the type of maintenance, possible replacement, or the continuation of operation of deteriorating equipment. The above decisions are taken within a framework of time constraints for equipment maintenance and replacement. Such limitations in the implementation of these actions are very crucial for all maintenance management systems. The purpose of this paper is to make the described model a useful tool for maintenance managers who plan and implement optimal maintenance policies within an environment of variable time constraints.</t>
  </si>
  <si>
    <t>[Kechagias, G. A.; Diamantidis, A. C.] Aristotle Univ Thessaloniki, Fac Econ &amp; Polit Sci, Thessaloniki, Greece; [Dimitrakos, T. D.] Univ Aegean, Dept Math, Samos, Greece; [Tsakalerou, M.] Nazarbayev Univ, Dept Civil &amp; Environm Engn, Astana, Kazakhstan</t>
  </si>
  <si>
    <t>Aristotle University of Thessaloniki; University of Aegean; Nazarbayev University</t>
  </si>
  <si>
    <t>Diamantidis, AC (corresponding author), Aristotle Univ Thessaloniki, Fac Econ &amp; Polit Sci, Thessaloniki, Greece.</t>
  </si>
  <si>
    <t>adiama@econ.auth.gr</t>
  </si>
  <si>
    <t>Dimitrakos, Theo/AAX-9570-2020</t>
  </si>
  <si>
    <t>European Union (European Social Fund-ESF) through the Operational Programme Human Resources Development, Education and Lifelong Learning</t>
  </si>
  <si>
    <t>The research of the first author is co-financed by Greece and the European Union (European Social Fund-ESF) through the Operational Programme Human Resources Development, Education and Lifelong Learning in the context of the Act Enhancing Human Resources Research Potential by undertaking a Doctoral Research Sub-action 2: IKY Scholarship Programme for PhD candidates in the Greek Universities.</t>
  </si>
  <si>
    <t>10.24867/IJIEM-2024-1-349</t>
  </si>
  <si>
    <t>KZ4J4</t>
  </si>
  <si>
    <t>WOS:001183775300005</t>
  </si>
  <si>
    <t>Wu, QL; Feng, Q; Ren, Y; Xia, Q; Wang, ZL; Cai, BP</t>
  </si>
  <si>
    <t>Wu, Qilong; Feng, Qiang; Ren, Yi; Xia, Quan; Wang, Zili; Cai, Baoping</t>
  </si>
  <si>
    <t>An Intelligent Preventive Maintenance Method Based on Reinforcement Learning for Battery Energy Storage Systems</t>
  </si>
  <si>
    <t>IEEE TRANSACTIONS ON INDUSTRIAL INFORMATICS</t>
  </si>
  <si>
    <t>Batteries; State of charge; Reliability; Prognostics and health management; Fading channels; Degradation; Preventive maintenance; Battery energy storage system (BESS); operation and maintenance (O&amp;M); preventive maintenance (PM); prognostics and health management (PHM); reinforcement learning (RL)</t>
  </si>
  <si>
    <t>DEMAND RESPONSE; DESIGN METHOD; 2ND USE; ALGORITHM</t>
  </si>
  <si>
    <t>Preventive maintenance (PM) activities in battery energy storage systems (BESSs) aim to achieve a better status in long-term operation. In this article, we develop a reinforcement learning-based PM method for the optimal PM management of BESSs equipped with prognostics and health management capabilities. A multilevel PM framework is established to generate a PM action strategy considering costs, capacity, and reliability simultaneously. Finite costs are the constraints, and reliability is the objective according to capacity degradation, respectively. The proposed PM agent with an integrated Monte Carlo tree search and a deep neural network (DNN) utilizes the state-of-health information of large-scale batteries in the BESS and selects optimal maintenance actions. The DNN is used as the state-action value function to extend the ability to address PM problems with large state-action spaces. The case of a BESS with 9 x 12 x 4 batteries in a fleet is simulated via Python. The results show that the PM agent can achieve efficient and steady decision-making proficiency in BESS PM management.</t>
  </si>
  <si>
    <t>[Wu, Qilong; Feng, Qiang; Ren, Yi; Xia, Quan; Wang, Zili] Beihang Univ, Sch Reliabil &amp; Syst Engn, Lab Hexabil Integrat Prod Design &amp; Simulat, Beijing 100191, Peoples R China; [Cai, Baoping] China Univ Petr, Coll Mech &amp; Elect Engn, Beijing 100191, Peoples R China</t>
  </si>
  <si>
    <t>Beihang University; China University of Petroleum</t>
  </si>
  <si>
    <t>Ren, Y (corresponding author), Beihang Univ, Sch Reliabil &amp; Syst Engn, Lab Hexabil Integrat Prod Design &amp; Simulat, Beijing 100191, Peoples R China.</t>
  </si>
  <si>
    <t>wql_rse@buaa.edu.cn; fengqiang@buaa.edu.cn; renyi@buaa.edu.cn; xiaquan@buaa.edu.cn; wzl@buaa.edu.cn; caibaoping@upc.edu.cn</t>
  </si>
  <si>
    <t>Cai, Baoping/A-9972-2016; Feng, Qiang/AAA-2080-2020; REN, YI/AAS-6305-2020</t>
  </si>
  <si>
    <t>Feng, Qiang/0000-0003-2454-7839; Ren, Yi/0000-0002-3665-700X</t>
  </si>
  <si>
    <t>National Natural Science Foundation of China [52075028, TII-20-5547]</t>
  </si>
  <si>
    <t>This work was supported by the National Natural Science Foundation of China under Grant 52075028. Paper no. TII-20-5547.</t>
  </si>
  <si>
    <t>1551-3203</t>
  </si>
  <si>
    <t>1941-0050</t>
  </si>
  <si>
    <t>IEEE T IND INFORM</t>
  </si>
  <si>
    <t>IEEE Trans. Ind. Inform.</t>
  </si>
  <si>
    <t>10.1109/TII.2021.3066257</t>
  </si>
  <si>
    <t>Automation &amp; Control Systems; Computer Science, Interdisciplinary Applications; Engineering, Industrial</t>
  </si>
  <si>
    <t>UI9TV</t>
  </si>
  <si>
    <t>WOS:000690940600037</t>
  </si>
  <si>
    <t>Luo, JX; Luo, XF; Ma, XD; Zan, YF; Bai, X</t>
  </si>
  <si>
    <t>Luo, Jiaxuan; Luo, Xiaofang; Ma, Xiandong; Zan, Yingfei; Bai, Xu</t>
  </si>
  <si>
    <t>An integrated condition-based opportunistic maintenance framework for offshore wind farms</t>
  </si>
  <si>
    <t>Maintenance framework; Offshore wind farms; Condition-based opportunistic maintenance; Maintenance cost; Component condition</t>
  </si>
  <si>
    <t>STRATEGY; OPERATION; SYSTEMS</t>
  </si>
  <si>
    <t>The maintenance strategies commonly used in offshore wind farms may lead to under-maintenance or overmaintenance activities. To address this issue, this paper proposes an integrated condition-based opportunistic maintenance (CBOM) framework for the offshore wind farm, to balance the maintenance cost and component condition. Component health index (HI) is calculated based on the P-F (potential failure to functional failure) intervals to divide the component health stages, and the component type with the highest proportion in the operation and maintenance (O&amp;M) cost is selected to determine the maintenance time window for multiple components. A maintenance priority index (PI) is calculated by the data envelopment analysis method (DEA) to determine the maintenance mode and sequence of individual components. The component with the lowest maintenance cost rate is selected by an exhaustive search algorithm (ESA) to reduce the total O&amp;M cost in one maintenance action. Finally, a case study is carried out to demonstrate the feasibility of the proposed framework with the specific calculation process, and a comparison analysis is given. The results show that the proposed framework is an effective method for balancing the O&amp;M cost against condition for the offshore wind farms.</t>
  </si>
  <si>
    <t>[Luo, Jiaxuan; Luo, Xiaofang] Jiangsu Univ Sci &amp; Technol, Sch Econ &amp; management, Zhenjiang 212003, Peoples R China; [Ma, Xiandong] Univ Lancaster, Sch Engn, Lancaster, England; [Zan, Yingfei] Harbin Engn Univ, Coll Shipbldg Engn, Harbin 150001, Peoples R China; [Bai, Xu] Jiangsu Univ Sci &amp; Technol, Sch Naval Architecture &amp; Ocean Engn, Zhenjiang 212003, Peoples R China</t>
  </si>
  <si>
    <t>Jiangsu University of Science &amp; Technology; Lancaster University; Harbin Engineering University; Jiangsu University of Science &amp; Technology</t>
  </si>
  <si>
    <t>Luo, XF (corresponding author), Jiangsu Univ Sci &amp; Technol, Sch Econ &amp; management, Zhenjiang 212003, Peoples R China.;Ma, XD (corresponding author), Univ Lancaster, Sch Engn, Lancaster, England.</t>
  </si>
  <si>
    <t>luoxiaofang@just.edu.cn; xiandong.ma@lancaster.ac.uk</t>
  </si>
  <si>
    <t>Ma, Xiandong/0000-0001-7363-9727</t>
  </si>
  <si>
    <t>Royal Society International Exchanges [IEC\NSFC\223091]; National Natural Sci-ence Foundation of China [42276225]; Natural Science Foundation of Heilongjiang Province of China [LH2021E048]; Postgraduate Research &amp; Practice Innovation Program of Jiangsu Province [KYCX24_4055]</t>
  </si>
  <si>
    <t>Royal Society International Exchanges(Royal Society); National Natural Sci-ence Foundation of China(National Natural Science Foundation of China (NSFC)); Natural Science Foundation of Heilongjiang Province of China(Natural Science Foundation of Heilongjiang Province); Postgraduate Research &amp; Practice Innovation Program of Jiangsu Province</t>
  </si>
  <si>
    <t>The authors would like to thank the Royal Society International Exchanges under Grant IEC\NSFC\223091, the National Natural Sci-ence Foundation of China (No. 42276225) , Natural Science Foundation of Heilongjiang Province of China (Grant No. LH2021E048) and the Postgraduate Research &amp; Practice Innovation Program of Jiangsu Province (No. KYCX24_4055) for their financial supports. The authors wish to express their thanks to the reviewers for their useful and constructive comments.</t>
  </si>
  <si>
    <t>10.1016/j.ress.2024.110701</t>
  </si>
  <si>
    <t>O8Q9E</t>
  </si>
  <si>
    <t>WOS:001373717600001</t>
  </si>
  <si>
    <t>Dui, HY; Li, SM; Xing, LD; Liu, HL</t>
  </si>
  <si>
    <t>Dui, Hongyan; Li, Shumin; Xing, Liudong; Liu, Hanlin</t>
  </si>
  <si>
    <t>System performance-based joint importance analysis guided maintenance for repairable systems</t>
  </si>
  <si>
    <t>Importance measure; System performance; Corrective maintenance; Preventive maintenance; Multi-valued decision diagram</t>
  </si>
  <si>
    <t>INTEGRATED IMPORTANCE MEASURE; COMPONENT IMPORTANCE; STANDBY SYSTEMS; RELIABILITY; OPTIMIZATION; EXTENSION; COST</t>
  </si>
  <si>
    <t>To enhance system performance, corrective maintenance for failed components and preventive maintenance (PM) for operating components can be performed simultaneously on repairable systems. Due to limited budget, it is typically not practical to perform PM for all the operating system components. Moreover, different selections of components for PM can lead to significant differences in system performance improvements. This paper proposes an extended joint integrated importance measure (JIIM) to effectively guide the selection of PM components, aiming to maximize gains of the system performance. A multi-valued decision diagram (MDD) based method is then developed to evaluate the proposed JIIM for general repairable systems. The computational procedure of MDD and some properties of JIIM are illustrated with a numerical example of a system containing three components. A realistic application to the performance analysis of an aircraft warning system verifies the proposed method.</t>
  </si>
  <si>
    <t>[Dui, Hongyan; Li, Shumin] Zhengzhou Univ, Sch Management Engn, Zhengzhou 450001, Henan, Peoples R China; [Xing, Liudong] Univ Massachusetts, Dept Elect &amp; Comp Engn, Dartmouth, MA 02747 USA; [Xing, Liudong] Univ Elect Sci &amp; Technol China, Sch Mechatron Engn, Chengdu 611731, Sichuan, Peoples R China; [Liu, Hanlin] City Univ Hong Kong, Dept Syst Engn &amp; Engn Management, Hong Kong, Peoples R China</t>
  </si>
  <si>
    <t>Zhengzhou University; University of Massachusetts System; University Massachusetts Dartmouth; University of Electronic Science &amp; Technology of China; City University of Hong Kong</t>
  </si>
  <si>
    <t>Dui, HY (corresponding author), Zhengzhou Univ, Sch Management Engn, Zhengzhou 450001, Henan, Peoples R China.</t>
  </si>
  <si>
    <t>duihongyan@zzu.edu.cn; lishumin@zzu.edu.cn; liudong.xing@umassd.edu; hanlinliu2-c@my.cityu.edu.hk</t>
  </si>
  <si>
    <t>Xing, Liudong/0000-0003-1606-1644; Dui, Hongyan/0000-0002-2277-6454</t>
  </si>
  <si>
    <t>National Natural Youth Science Foundation of China [71501173, 71571168]; University Grants Council of Hong Kong [9042183 (CityU 11203815), T32-101/15-R]; Innovation Development Fund of School of Management Engineering, Zhengzhou University of China</t>
  </si>
  <si>
    <t>National Natural Youth Science Foundation of China; University Grants Council of Hong Kong; Innovation Development Fund of School of Management Engineering, Zhengzhou University of China</t>
  </si>
  <si>
    <t>This work was supported by the National Natural Youth Science Foundation of China (Nos. 71501173, 71571168), a grant from the University Grants Council of Hong Kong under a GRF No. 9042183 (CityU 11203815) and a theme-based project grant (T32-101/15-R), and the Innovation Development Fund of School of Management Engineering, Zhengzhou University of China.</t>
  </si>
  <si>
    <t>10.1016/j.ress.2019.02.021</t>
  </si>
  <si>
    <t>HU1WK</t>
  </si>
  <si>
    <t>WOS:000465062300014</t>
  </si>
  <si>
    <t>Song, MC; Zhang, XX; Lind, M</t>
  </si>
  <si>
    <t>Song, Mengchu; Zhang, Xinxin; Lind, Morten</t>
  </si>
  <si>
    <t>Automatic identification of maintenance significant items in reliability centered maintenance analysis by using functional modeling and reasoning</t>
  </si>
  <si>
    <t>Reliability centered maintenance; Maintenance significant items; RCM automation; Functional modeling; Failure consequence analysis; Functional reasoning</t>
  </si>
  <si>
    <t>FAULT-DIAGNOSIS; DECISION-MAKING; SYSTEMS; FRAMEWORK; RCM; REPRESENTATION; MANAGEMENT; OPERATIONS; HAZOP</t>
  </si>
  <si>
    <t>Complex industrial systems adopt reliability centered maintenance (RCM) for maintenance optimization to improve safety and reduce maintenance cost. Preserving function is the core maintenance principle, yet the function concept has not been systematically studied in the context of RCM. This article presents a framework of model-based RCM analysis, which is driven by functional modeling and reasoning. The study focuses on identifying the so-called maintenance significant items through assessment of failure consequences. Multilevel flow modeling (MFM) is proved competitive to identify sufficient system functions that expect maintenance to preserve. It is also able to define failure modes and represent their interactions with system functions, which are essential to RCM. A failure analysis tool for RCM is developed by taking advantage of the causal reasoning capability of MFM, which can be used to automatically analyze consequences of all failures predefined for a target system and generate equipment classifications useful to maintenance optimization. The study provides the possibility of RCM automation, which has been highly demanded by various complex industries. Moreover, as a fundamental functional knowledge framework, MFM can easily accommodate changes in design and operation, which affords the opportunity of implementing a living RCM program.</t>
  </si>
  <si>
    <t>[Song, Mengchu; Zhang, Xinxin; Lind, Morten] Tech Univ Denmark, Dept Elect &amp; Photon Engn, Bygning 326, DK-2800 Lyngby, Denmark</t>
  </si>
  <si>
    <t>Song, MC (corresponding author), Tech Univ Denmark, Dept Elect &amp; Photon Engn, Bygning 326, DK-2800 Lyngby, Denmark.</t>
  </si>
  <si>
    <t>menso@dtu.dk; xinz@dtu.dk; mli@dtu.dk</t>
  </si>
  <si>
    <t>Lind, Morten/0000-0003-3843-4552; Zhang, Xinxin/0000-0002-1856-9145; Song, Mengchu/0000-0003-0374-4008</t>
  </si>
  <si>
    <t>Danish Offshore Technology Centre, Denmark</t>
  </si>
  <si>
    <t>AUG</t>
  </si>
  <si>
    <t>10.1016/j.cie.2023.109409</t>
  </si>
  <si>
    <t>N1BA2</t>
  </si>
  <si>
    <t>WOS:001034439000001</t>
  </si>
  <si>
    <t>Vanderschueren, T; Boute, R; Verdonck, T; Baesens, B; Verbeke, W</t>
  </si>
  <si>
    <t>Vanderschueren, Toon; Boute, Robert; Verdonck, Tim; Baesens, Bart; Verbeke, Wouter</t>
  </si>
  <si>
    <t>Optimizing the preventive maintenance frequency with causal machine</t>
  </si>
  <si>
    <t>Maintenance; Causal inference; Individual treatment effects; Machine learning</t>
  </si>
  <si>
    <t>REALIZING PRESCRIPTIVE MAINTENANCE; NEURAL-NETWORK; IMPERFECT MAINTENANCE; OPTIMIZATION; MODELS; POLICY; INFERENCE; STRATEGY; DESIGN; PRIMA</t>
  </si>
  <si>
    <t>Maintenance is a challenging operational problem where the goal is to plan sufficient preventive maintenance (PM) to avoid asset overhauls and failures. Existing work typically relies on strong assumptions (1) to model the asset's overhaul and failure rate, assuming a stochastic process with known hazard rate, (2) to model the effect of PM on this hazard rate, assuming the effect is deterministic or governed by a known probability distribution, and (3) by not taking asset-specific characteristics into account, but assuming homogeneous hazard rates and PM effects. Instead of relying on these assumptions to model the problem, this work uses causal inference to learn the effect of the PM frequency on the overhaul and failure rate, conditional on the asset's characteristics, from observational data. Based on these learned outcomes, we can optimize each asset's PM frequency to minimize the combined cost of failures, overhauls, and preventive maintenance. We validate our approach on real-life data of more than 4000 maintenance contracts from an industrial partner. Empirical results on semi-synthetic data show that our methodology based on causal machine learning results in individualized maintenance schedules that are more accurate and cost-effective than a non-causal approach that does not deal with selection bias and a non-individualized approach that prescribes the same PM frequency to all machines.</t>
  </si>
  <si>
    <t>[Vanderschueren, Toon; Baesens, Bart; Verbeke, Wouter] Katholieke Univ Leuven, Res Ctr Informat Syst Engn, Fac Econ &amp; Business, Leuven, Belgium; [Vanderschueren, Toon; Verdonck, Tim] Univ Antwerp, Dept Math, Appl Math, Antwerp, Belgium; [Boute, Robert] Katholieke Univ Leuven, Fac Econ &amp; Business, Res Ctr Operat Management, Leuven, Belgium; [Boute, Robert] Vlerick Business Sch, Technol &amp; Operat Management Area, Leuven, Belgium; [Boute, Robert] Flanders Make KU Leuven, Leuven, Belgium; [Verdonck, Tim] Katholieke Univ Leuven, Dept Math, Stat &amp; Data Sci, Leuven, Belgium; [Baesens, Bart] Southampton Business Sch, Dept Decis Analyt &amp; Risk, Southampton, England; [Vanderschueren, Toon] Res Ctr Informat Syst Engn LIRIS, Naamsestr 69 Box 3555, B-3000 Leuven, Belgium</t>
  </si>
  <si>
    <t>KU Leuven; University of Antwerp; KU Leuven; Vlerick Business School; KU Leuven; Solent University</t>
  </si>
  <si>
    <t>Vanderschueren, T (corresponding author), Res Ctr Informat Syst Engn LIRIS, Naamsestr 69 Box 3555, B-3000 Leuven, Belgium.</t>
  </si>
  <si>
    <t>toon.vanderschueren@kuleuven.be; robert.boute@kuleuven.be; tim.verdonck@uantwerpen.be; bart.baesens@kuleuven.be; wouter.verbeke@kuleuven.be</t>
  </si>
  <si>
    <t>Vanderschueren, Toon/HIK-2254-2022; Verbeke, Wouter/AAH-4792-2019; Baesens, Bart/JTU-4766-2023; Verbeke, Wouter/F-5660-2014</t>
  </si>
  <si>
    <t>Verbeke, Wouter/0000-0002-8438-0535; Vanderschueren, Toon/0000-0001-7202-1589</t>
  </si>
  <si>
    <t>BNP Paribas Fortis Chair in Fraud Analytics; BASF Chair on Robust Predictive Analytics; FWO [G015020N, 11I7322N]; Research Foundation - Flanders (FWO); Flemish Government - department EWI</t>
  </si>
  <si>
    <t>BNP Paribas Fortis Chair in Fraud Analytics; BASF Chair on Robust Predictive Analytics; FWO(FWO); Research Foundation - Flanders (FWO)(FWO); Flemish Government - department EWI</t>
  </si>
  <si>
    <t>This work was supported by the BNP Paribas Fortis Chair in Fraud Analytics, BASF Chair on Robust Predictive Analytics, FWO Research Project G015020N, and FWO PhD Fellowship 11I7322N. The computational resources and services used in this work were provided by the VSC (Flemish Supercomputer Center), funded by the Research Foundation - Flanders (FWO) and the Flemish Government - department EWI.</t>
  </si>
  <si>
    <t>10.1016/j.ijpe.2023.108798</t>
  </si>
  <si>
    <t>9Q2MW</t>
  </si>
  <si>
    <t>WOS:000944805700001</t>
  </si>
  <si>
    <t>Mena, R; Viveros, P; Zio, E; Campos, S</t>
  </si>
  <si>
    <t>Mena, R.; Viveros, P.; Zio, E.; Campos, S.</t>
  </si>
  <si>
    <t>An optimization framework for opportunistic planning of preventive maintenance activities</t>
  </si>
  <si>
    <t>Preventive maintenance; Opportunistic maintenance grouping; Maintenance activities planning; Mixed-integer linear programming</t>
  </si>
  <si>
    <t>GROUPING STRATEGY; DECISION-MAKING; SYSTEMS; POLICIES</t>
  </si>
  <si>
    <t>Methodologies for designing maintenance policies, such as Reliability Centered Maintenance (RCM), provide a list of recommended preventive maintenance (PM) activities as well as the periodicity for their execution, to comply with safety and reliability standards. This information is then used to elaborate PM plans, defining the instants of execution of each PM activity in the policy throughout a planning horizon, while assuring adequate levels of equipment availability, labor and resource coordination, and spare parts management. Preferably, it is sought to group PM activities executions to form opportunistic work packages to reduce functionality interruptions on the equipment. To address the latter issue, this paper presents an optimization framework for the medium-term opportunistic planning of PM activities on a single machine. The proposed framework is formulated as a computationally tractable continuous time mixed-integer linear program (MILP) that determines the execution instants of PM activities, considering time window tolerances for advancing or delaying executions to maximize the number of grouped executions or, equivalently, minimizing the number of stoppages needed to comply with a PM policy. Diverse numerical experiments are conducted, considering variants of the model regarding the conservativeness in use of the time window tolerances and the inclusion of resource constraints for planning. The results show that the reductions on the number of stoppages of the PM plans, that can be achieved from different levels of time window tolerances, are more significant for PM policies composed by activities with more heterogeneous periodicities of execution.</t>
  </si>
  <si>
    <t>[Mena, R.; Viveros, P.; Campos, S.] Univ Tecn Federico Santa Maria, Dept Ind Engn, Santiago, Chile; [Zio, E.] PSL Res Univ, CRC, MINES ParisTech, Sophia Antipolis, France; [Zio, E.] Politecn Milan, Energy Dept, Via La Masa 34, I-20156 Milan, Italy</t>
  </si>
  <si>
    <t>Universidad Tecnica Federico Santa Maria; Universite PSL; MINES ParisTech; Polytechnic University of Milan</t>
  </si>
  <si>
    <t>Mena, R (corresponding author), Univ Tecn Federico Santa Maria, Dept Ind Engn, Santiago, Chile.</t>
  </si>
  <si>
    <t>rodrigo.mena@usm.cl; pablo.viveros@usm.cl; enrico.zio@polimi.it; sebastian.campos.12@sansano.usm.cl</t>
  </si>
  <si>
    <t>Viveros, Pablo/L-4961-2014</t>
  </si>
  <si>
    <t>Mena, Rodrigo/0009-0005-2805-2106; Zio, Enrico/0000-0002-7108-637X</t>
  </si>
  <si>
    <t>10.1016/j.ress.2021.107801</t>
  </si>
  <si>
    <t>UI0BI</t>
  </si>
  <si>
    <t>WOS:000690283800016</t>
  </si>
  <si>
    <t>Jin, YX; Geng, J; Lv, C; Chi, Y; Zhao, TD</t>
  </si>
  <si>
    <t>Jin, Yuxue; Geng, Jie; Lv, Chuan; Chi, Ying; Zhao, Tingdi</t>
  </si>
  <si>
    <t>A methodology for equipment condition simulation and maintenance threshold optimization oriented to the influence of multiple events</t>
  </si>
  <si>
    <t>Equipment condition evolution; Simulation; Maintenance decisions; Condition -based maintenance; Maintenance thresholds</t>
  </si>
  <si>
    <t>MULTICOMPONENT SYSTEMS; DEGRADATION; PROGNOSTICS; SUBJECT</t>
  </si>
  <si>
    <t>The core of condition-based maintenance is the accurate evaluation of equipment state. For various equipment, performance degradation or regression caused by factors, such as unexpected shock, failure, and work stress withdrawal, is typical. Accordingly, the law on incorporating impulse, failure, maintenance, and regression events based on natural condition evolution is analyzed. Moreover, a mathematical model and simulation algorithm of equipment condition evolution are devised. Then, considering safety, availability, and economy, the optimal maintenance threshold is determined based on the condition evolution process, providing new technical support to the field of maintenance decision-making. Finally, the effectiveness of the proposed model and algorithm is proved. The improved conformance of the stochastic process to actual situations considering the influence of multiple events is thus demonstrated. Further, a new concept for equipment maintenance management is presented.</t>
  </si>
  <si>
    <t>[Jin, Yuxue; Geng, Jie; Lv, Chuan; Zhao, Tingdi] State Key Lab Virtual Real Technol &amp; Syst, Beijing 100191, Peoples R China; [Jin, Yuxue; Geng, Jie; Lv, Chuan; Zhao, Tingdi] Beihang Univ, Sch Reliabil &amp; Syst Engn, Beijing 100191, Peoples R China; [Chi, Ying] China Aerosp Sci &amp; Technol Corp, Beijing 100084, Peoples R China</t>
  </si>
  <si>
    <t>Beihang University; China Aerospace Science &amp; Technology Corporation (CASC)</t>
  </si>
  <si>
    <t>Geng, J (corresponding author), State Key Lab Virtual Real Technol &amp; Syst, Beijing 100191, Peoples R China.</t>
  </si>
  <si>
    <t>buaa2020ta@126.com</t>
  </si>
  <si>
    <t>Lv, Chuan/AAI-7076-2020</t>
  </si>
  <si>
    <t>10.1016/j.ress.2022.108879</t>
  </si>
  <si>
    <t>5T0AI</t>
  </si>
  <si>
    <t>WOS:000875540700003</t>
  </si>
  <si>
    <t>Liu, BY; Wang, YJ; Yang, HD; Segerstedt, A; Zhang, LW</t>
  </si>
  <si>
    <t>Liu, Biyu; Wang, Yijiao; Yang, Haidong; Segerstedt, Anders; Zhang, Liangwei</t>
  </si>
  <si>
    <t>Maintenance service strategy for leased equipment: Integrating lessor-preventive maintenance and lessee-careful protection efforts</t>
  </si>
  <si>
    <t>Maintenance service; Leasing; Cost-sharing contract; Effort level; Preventive maintenance</t>
  </si>
  <si>
    <t>SUPPLY CHAIN; COORDINATION; MODELS; WARRANTY; CONTRACT; SYSTEMS</t>
  </si>
  <si>
    <t>Lessees may abuse equipment during the lease period since lacking of ownership, thereby increasing lessors' repair cost and lessees' downtime losses. This study integrates lessees' effort to protect leased equipment during the lease period with lessors' preventive maintenance (PM) into maintenance service strategies. It is proved in a non-cooperative game, neither party achieves the cooperative game's ideal revenue, but improvement in the lessee's effort level and lessor's PM degree can increase the other party's revenue. A cost-sharing contract model is designed to achieve the maximum revenue as in a cooperative game and ensure Pareto improvement of the leasing parties. In the contract, the lessor grants the lessee a rental discount, and the lessor's PM cost and lessee's effort cost are shared with cost-sharing coefficients. Conditions under which the ideal revenue and Pareto improvement can be achieved are discussed. Numerical examples are provided to illustrate the effects of contract parameters, unit penalty on the effort level, and revenue. Managerial insights are finally proposed for leasing parties. The results show: the effect of the effort level and PM degree on equipment failures is marginally diminishing; proposed cost-sharing contract model can achieve the ideal revenue and Pareto improvement; the rental discount has a greater impact on the lessee, while the cost-sharing coefficients have a greater impact on the lessor; and increasing the unit penalty decreases (increases) the lessor's (lessee's) revenue but maintains the effort level at constant.</t>
  </si>
  <si>
    <t>[Liu, Biyu; Wang, Yijiao; Yang, Haidong] Fuzhou Univ, Sch Econ &amp; Management, Fuzhou 350116, Peoples R China; [Segerstedt, Anders] Lulea Univ Technol, Ind Logist, S-97187 Lulea, Sweden; [Zhang, Liangwei] Dongguan Univ Technol, Dept Ind Engn, Dongguan 523808, Peoples R China</t>
  </si>
  <si>
    <t>Fuzhou University; Lulea University of Technology; Dongguan University of Technology</t>
  </si>
  <si>
    <t>jasperseu@fzu.edu.cn; 1010420772@qq.com; yanghaidong@fzu.edu.cn; anders.segerstedt@ltu.se; liangwei.zhang@dgut.edu.cn</t>
  </si>
  <si>
    <t>王, 一骄/HIU-0683-2022; Segerstedt, Anders/HNQ-5904-2023; Zhang, Liangwei/U-6811-2019</t>
  </si>
  <si>
    <t>Zhang, Liangwei/0000-0001-7310-5717</t>
  </si>
  <si>
    <t>National Natural Science Foundation of China [71971064, 71501046, 71801045]; Major Project Funding for Social Science Research Base in Fujian Province Social Science Planning [FJ2019JDZ012]; National Natural Science Foundation of Fujian Province [2019J01636]; China Postdoctoral Science Foundation [2017M612019, 2016M602053, 2018T110640]</t>
  </si>
  <si>
    <t>National Natural Science Foundation of China(National Natural Science Foundation of China (NSFC)); Major Project Funding for Social Science Research Base in Fujian Province Social Science Planning; National Natural Science Foundation of Fujian Province(Natural Science Foundation of Fujian Province); China Postdoctoral Science Foundation(China Postdoctoral Science Foundation)</t>
  </si>
  <si>
    <t>This work was supported by the National Natural Science Foundation of China with Grant Nos. 71971064, 71501046, and 71801045, the Major Project Funding for Social Science Research Base in Fujian Province Social Science Planning with Grant No. FJ2019JDZ012, the National Natural Science Foundation of Fujian Province with Grant No. 2019J01636, and the China Postdoctoral Science Foundation with Grant Nos. 2017M612019, 2016M602053, and 2018T110640.</t>
  </si>
  <si>
    <t>10.1016/j.cie.2021.107257</t>
  </si>
  <si>
    <t>WOS:000647845400036</t>
  </si>
  <si>
    <t>Boumallessa, Z; Chouikhi, H; Elleuch, M; Bentaher, H</t>
  </si>
  <si>
    <t>Boumallessa, Zeineb; Chouikhi, Houssam; Elleuch, Mounir; Bentaher, Hatem</t>
  </si>
  <si>
    <t>Modeling and optimizing the maintenance schedule using dynamic quality and machine condition monitors in an unreliable single production system</t>
  </si>
  <si>
    <t>Quality management; Production scheduling; Maintenance planning; Reliability; Optimization</t>
  </si>
  <si>
    <t>STATISTICAL PROCESS-CONTROL; CONTROL CHART; INTEGRATED MODEL; PREVENTIVE MAINTENANCE; OPTIMIZATION; POLICY; SUBJECT; DESIGN</t>
  </si>
  <si>
    <t>This work attempted to propose an integrated approach for the joint control of production, quality and main-tenance where a single machine would produce one type of product. The machine would be subject to degra-dation process that would produce non-conform units. Based on the simultaneous operations of assessment of the machine degradation and that of the product quality, decisions to conduct maintenance activities would be proposed to improve the machine reliability. The strategy adopted in this work was to establish a link between the information from the quality indicator and the level of the machine degradation using a coupling function h (x,y) to generate a maintenance schedule. The ultimate objective of this work was to minimize the average total cost per unit of time in function of cost of maintenance and cost of production. For this purpose, a mathematical model was developed and numerical examples were implemented where optimal values of decision variables were computed.</t>
  </si>
  <si>
    <t>[Boumallessa, Zeineb; Chouikhi, Houssam; Elleuch, Mounir; Bentaher, Hatem] Natl Engn Sch Sfax, Lab Electromech Syst LASEM, Sfax, Tunisia; [Boumallessa, Zeineb; Elleuch, Mounir; Bentaher, Hatem] Higher Inst Ind Management Sfax ISGI, Sfax, Tunisia; [Chouikhi, Houssam] King Faisal Univ, Coll Engn, Mech Engn Dept, Al Hufuf, Saudi Arabia</t>
  </si>
  <si>
    <t>Universite de Sfax; Ecole Nationale dIngenieurs de Sfax (ENIS); King Faisal University</t>
  </si>
  <si>
    <t>Boumallessa, Z (corresponding author), Natl Engn Sch Sfax, Lab Electromech Syst LASEM, Sfax, Tunisia.;Boumallessa, Z (corresponding author), Higher Inst Ind Management Sfax ISGI, Sfax, Tunisia.</t>
  </si>
  <si>
    <t>zeineb.boumallessa@gmail.com</t>
  </si>
  <si>
    <t>CHOUIKHI, Houssam/JCE-2154-2023</t>
  </si>
  <si>
    <t>Elleuch, Mounir/0000-0001-9411-4620; BENTAHER, Hatem/0000-0002-9940-5598; Chouikhi, Houssam/0000-0002-0470-0771; Boumallessa, Zeineb/0000-0002-4730-5018</t>
  </si>
  <si>
    <t>10.1016/j.ress.2023.109216</t>
  </si>
  <si>
    <t>D3RG1</t>
  </si>
  <si>
    <t>WOS:000967926000001</t>
  </si>
  <si>
    <t>Shang, LJ; Liu, BL; Qiu, QA; Yang, L; Du, YJ</t>
  </si>
  <si>
    <t>Shang, Lijun; Liu, Baoliang; Qiu, Qingan; Yang, Li; Du, Yongjun</t>
  </si>
  <si>
    <t>Designing warranty and maintenance policies for products subject to random working cycles</t>
  </si>
  <si>
    <t>Working cycle; Reliability; Random warranty; Preventive maintenance; Random periodic replacement</t>
  </si>
  <si>
    <t>SYSTEMS SUBJECT; COST-ANALYSIS; RELIABILITY; MODELS; OPTIMIZATION; DEGRADATION; LAST</t>
  </si>
  <si>
    <t>The extensive application of digital technologies makes it possible for reliability managers to track in real time the product working cycles over the life cycle. Tracked working cycles belong to a type of reliability management factor because they can more accurately measure the product reliability in real time. By integrating tracked working cycles into reliability management over the product life cycle, the present paper designs two categories of random maintenance policies. The first category includes two random warranties to manage product reli-ability over the warranty period, where refund and limited maintenance service are two key methods to maintain warranty fairness. Each random warranty is evaluated and analyzed from the viewpoint of cost. The second category is a random maintenance policy to manage the product reliability over the post-warranty period, where preventive maintenance and random periodic replacement are combined. In such a policy, preventive mainte-nance can improve the reliability of the product through its warranty at a limit that occurs last, and the intention of such an action is to lower the failure frequency over the post-warranty period. By analyzing the parameters, such a policy is simplified as some special maintenance policies to manage product reliability over the warranty period. The devised random maintenance policy is modeled and optimized to minimize the expected cost rate. Sensitivities on the devised warranties and random maintenance policy are explored numerically. The results show that the designed random maintenance policy is capable of reducing failure frequency over the post -warranty period.</t>
  </si>
  <si>
    <t>[Shang, Lijun] Foshan Univ, Sch Qual Management &amp; Standardizat, Foshan, Peoples R China; [Liu, Baoliang] Shanxi Datong Univ, Coll Math &amp; Stat, Datong, Peoples R China; [Qiu, Qingan] Beijing Inst Technol, Sch Management &amp; Econ, Beijing, Peoples R China; [Yang, Li] Beihang Univ, Sch Reliabil &amp; Syst Engn, Beijing, Peoples R China; [Du, Yongjun] Lanzhou Univ Technol, Sch Econ &amp; Management, Lanzhou, Peoples R China</t>
  </si>
  <si>
    <t>Foshan University; Shanxi Datong University; Beijing Institute of Technology; Beihang University; Lanzhou University of Technology</t>
  </si>
  <si>
    <t>Qiu, QA (corresponding author), Beijing Inst Technol, Sch Management &amp; Econ, Beijing, Peoples R China.</t>
  </si>
  <si>
    <t>qiu_qingan@bit.edu.cn</t>
  </si>
  <si>
    <t>du, yongjun/ABE-5503-2020; Shang, Lijun/AAT-8172-2020; , Qingan/AEV-3558-2022</t>
  </si>
  <si>
    <t>This study is supported by the National Natural Science Foundation of China (Nos. 72001026, 71871181, 72161025, 72271169) , the Characteristic Innovation Projects of Colleges and Universities in Guangdong Province (No. 2021WTSCX081) , the Base and Basic Applied Study of Guangdong Province (No. 2020A1515011360) .</t>
  </si>
  <si>
    <t>10.1016/j.ress.2023.109187</t>
  </si>
  <si>
    <t>C4WS1</t>
  </si>
  <si>
    <t>WOS:000961941500001</t>
  </si>
  <si>
    <t>Li, T; He, SG; Zhao, XJ; Liu, B</t>
  </si>
  <si>
    <t>Li, Ting; He, Shuguang; Zhao, Xiujie; Liu, Bin</t>
  </si>
  <si>
    <t>Warranty service contracts design for deteriorating products with maintenance duration commitments</t>
  </si>
  <si>
    <t>Degradation process; Maintenance duration; Overdue penalty; Customer choice model</t>
  </si>
  <si>
    <t>PREVENTIVE MAINTENANCE; PROSPECT-THEORY; CHOICE; POLICY; MODEL; TIME; AVAILABILITY; OPTIMIZATION; MANAGEMENT; SYSTEMS</t>
  </si>
  <si>
    <t>With the increasing diversification of customers' demand and purchasing behaviors, more and more manufacturers have focused their attention on the warranty service contracts design. The maintenance duration of the sold product, which plays an important role in the normal production and operation process of the user, is frequently taken into consideration in warranty contracts. In this study, we design different warranty contracts with various combinations of maintenance duration and availability requirements. The manufacturer commits to compensate for each overdue repair or failing to satisfy the availability target. The customers' choice behavior is described by the multinomial logit (MNL) model, and customers often form their own minimum acceptable levels (also referred to as reference points) of maintenance duration and availability when making purchasing decisions, which have an impact on the contract choice. The expected warranty servicing profit is maximized to determine the optimal price, maintenance duration and availability. Finally, the proposed warranty contracts are demonstrated by numerical examples. We find that the maintenance duration affects not only the warranty cost but also the customer choice, which further affects the optimal contract pricing and profits.</t>
  </si>
  <si>
    <t>[Li, Ting] North Univ China, Coll Econ &amp; Management, Taiyuan 030051, Peoples R China; [He, Shuguang; Zhao, Xiujie] Tianjin Univ, Coll Management &amp; Econ, Tianjin 300072, Peoples R China; [Liu, Bin] Univ Strathclyde, Dept Management Sci, Glasgow City G1, Scotland</t>
  </si>
  <si>
    <t>North University of China; Tianjin University; University of Strathclyde</t>
  </si>
  <si>
    <t>Liu, B (corresponding author), Univ Strathclyde, Dept Management Sci, Glasgow City G1, Scotland.</t>
  </si>
  <si>
    <t>b.liu@strath.ac.uk</t>
  </si>
  <si>
    <t>Liu, Bin/GZM-0167-2022</t>
  </si>
  <si>
    <t>National Natural Science Foundation of China [72032005, 71872123, 71802145, 72002066]</t>
  </si>
  <si>
    <t>This work was supported by the National Natural Science Foundation of China [Grant NO. 72032005, 71872123, 72002149, 71802145, 72002066].</t>
  </si>
  <si>
    <t>10.1016/j.ijpe.2023.108982</t>
  </si>
  <si>
    <t>P5VM9</t>
  </si>
  <si>
    <t>Green Accepted, hybrid</t>
  </si>
  <si>
    <t>WOS:001051352100001</t>
  </si>
  <si>
    <t>Geng, SJ; Wang, XL</t>
  </si>
  <si>
    <t>Geng, Sujie; Wang, Xiuli</t>
  </si>
  <si>
    <t>Predictive maintenance scheduling for multiple power equipment based on data-driven fault prediction</t>
  </si>
  <si>
    <t>Multiple power equipment; Predictive maintenance scheduling; Fault state prediction; Maintenance priority; Maintenance time-window</t>
  </si>
  <si>
    <t>SYSTEM; TIME; MODELS</t>
  </si>
  <si>
    <t>In view of the maintenance of multiple power equipment operating in abnormal conditions in large-scale power plants, based on the prediction of fault state, a predictive maintenance scheduling method is proposed to schedule the maintenance activities. Firstly, based on the actual operating data, combined with the influencing factors of fault state deterioration by Pareto analysis, a time-variant function is improved to predict the deterioration state of potential fault in future maintenance interval. Then, maintenance priority is divided based on the fault state, considering the constraints of maintenance resources and equipment downtime, with the objective of minimizing the total maintenance cost, a scheduling model is built for the maintenance of multiple equipment. Finally, aiming at the continuity of maintenance time, a two-stage algorithm is proposed, which divides the maintenance time-window to transform the complex continuous time optimization problem into a combinatorial optimization problem of time periods, and then develops the optimal maintenance scheme. Taking the maintenance of multiple power transformers as an example, combined with the data resources provided by Yunnan power grid of China, the effectiveness of the improved prediction function of fault state is proved. In addition, by comparing with the traditional maintenance strategy based on the principle of first-fault-first-repair, the superiority of the proposed maintenance scheduling method is verified in reducing cost and improving system stability.</t>
  </si>
  <si>
    <t>[Geng, Sujie] Jiangsu Univ, Sch Management, Zhenjiang, Jiangsu, Peoples R China; [Wang, Xiuli] Nanjing Univ Sci &amp; Technol, Sch Econ &amp; Management, Xiaolingwei Rd, Nanjing, Jiangsu, Peoples R China</t>
  </si>
  <si>
    <t>Jiangsu University; Nanjing University of Science &amp; Technology</t>
  </si>
  <si>
    <t>Wang, XL (corresponding author), Nanjing Univ Sci &amp; Technol, Sch Econ &amp; Management, Xiaolingwei Rd, Nanjing, Jiangsu, Peoples R China.</t>
  </si>
  <si>
    <t>gengsj0110@126.com; wangdu0816@163.com</t>
  </si>
  <si>
    <t>10.1016/j.cie.2021.107898</t>
  </si>
  <si>
    <t>YV6TO</t>
  </si>
  <si>
    <t>WOS:000752860400027</t>
  </si>
  <si>
    <t>Ahmad, S; Kasmuri, N; Ismail, NA; Miskon, MF; Ramli, NH</t>
  </si>
  <si>
    <t>Ahmad, Shahizan; Kasmuri, Norhafezah; Ismail, Nor Asyikin; Miskon, Mohd Fuad; Ramli, Nor Hanuni</t>
  </si>
  <si>
    <t>Maintenance Strategy Selection Using Fuzzy Delphi Method in Royal Malaysian Air Force</t>
  </si>
  <si>
    <t>PERTANIKA JOURNAL OF SCIENCE AND TECHNOLOGY</t>
  </si>
  <si>
    <t>Condition-based maintenance (CBM); fuzzy Delphi method (FDM); preventive maintenance (PM); reactive maintenance (RM)</t>
  </si>
  <si>
    <t>FACILITIES MANAGEMENT; DECISION-MAKING; MODEL; OPTIMIZATION; MACHINE; SYSTEM; SET</t>
  </si>
  <si>
    <t>The proper maintenance strategy is significant in extending assets and equipment, thus saving maintenance within an organization. Currently, there are three types of maintenance strategies implemented in the Royal Malaysian Air Force (RMAF), namely Reactive Maintenance (RM), Preventive Maintenance (PM), and Condition Based Maintenance (CBM). Due to the constraints in terms of maintenance costs by RMAF, choosing the right maintenance strategy is important to ensure that the maintenance provision can be optimized. In this research study, the Fuzzy Delphi Method has been used as a tool in determining the most effective maintenance strategies to be adopted by the RMAF. The output of agreement and opinion from experts in the related field has been used to select the appropriate maintenance strategy. In choosing this maintenance strategy, goals are set first in line with RMAF maintenance's objectives. The specified maintenance goals are as follows; low maintenance cost, reducing the chance of a breakdown, safety, feasibility on the acceptance by labor, and response time starting from failure. Later, the result showed that the fuzzy score for RM, PM, and CBM was 0.747, 0.789, and 0.767, respectively. The highest fuzzy score showed the most accepted method chosen by the expert. Based on the result and maintenance goals that have been outlined, experts have agreed to choose PM as a maintenance method that should be given priority to be implemented in RMAF compared to other maintenance methods due to the highest fuzzy score.</t>
  </si>
  <si>
    <t>[Ahmad, Shahizan; Kasmuri, Norhafezah; Ismail, Nor Asyikin] Univ Teknol MARA, Coll Engn, Sch Civil Engn, Shah Alam 40450, Selangor, Malaysia; [Ahmad, Shahizan] Markas Tentera Udara, Bahagian Perancangan &amp; Pembangunan Infra Bina, Tingkat 10-06, Kuala Lumpur 50634, Malaysia; [Miskon, Mohd Fuad] Int Islamic Univ Malaysia, Kulliyyah Sci, Inst Oceanog &amp; Maritime Studies INOCEM, Kuantan 25200, Pahang, Malaysia; [Ramli, Nor Hanuni] Univ Malaysia Pahang, Fak Teknol Kejuruteraan Kimia &amp; Proses, Kuantan 26300, Pahang, Malaysia</t>
  </si>
  <si>
    <t>Universiti Teknologi MARA; International Islamic University Malaysia; Universiti Malaysia Pahang Al-Sultan Abdullah (UMPSA)</t>
  </si>
  <si>
    <t>Kasmuri, N (corresponding author), Univ Teknol MARA, Coll Engn, Sch Civil Engn, Shah Alam 40450, Selangor, Malaysia.</t>
  </si>
  <si>
    <t>shahizanahmad@yahoo.com; norhafezahkasmuri@uitm.edu.my; n.asyikinismail96@gmail.com; fuadm@iium.edu.my; drhanuni@ump.edu.my</t>
  </si>
  <si>
    <t>KASMURI, NORHAFEZAH/AAN-8528-2021; Miskon, Fuad/ADE-1108-2022</t>
  </si>
  <si>
    <t>RAMLI@SAID, NOR HANUNI/0000-0003-0731-2405; Miskon, Mohd Fuad/0000-0002-5190-374X</t>
  </si>
  <si>
    <t>Universiti Teknologi MARA, Shah Alam; IIUM-UMP-UiTM Sustainable Research Collaboration Grant, by RMC [600-RMC/SRC/5/3 (051/2020)]</t>
  </si>
  <si>
    <t>Universiti Teknologi MARA, Shah Alam; IIUM-UMP-UiTM Sustainable Research Collaboration Grant, by RMC</t>
  </si>
  <si>
    <t>The authors wish to express their sincere gratitude to the respondent from RMAF's staff and the School of Civil Engineering, College of Engineering, Universiti Teknologi MARA,Shah Alam, for their assistance throughout the research study. Furthermore, the authors gratefully acknowledged Universiti Teknologi MARA, Shah Alam, and IIUM-UMP-UiTM Sustainable Research Collaboration Grant (600-RMC/SRC/5/3 (051/2020)), provided by RMC for financially supporting this study and providing the resources.</t>
  </si>
  <si>
    <t>UNIV PUTRA MALAYSIA PRESS</t>
  </si>
  <si>
    <t>SELANGOR</t>
  </si>
  <si>
    <t>SERDANG, SELANGOR, 00000, MALAYSIA</t>
  </si>
  <si>
    <t>0128-7680</t>
  </si>
  <si>
    <t>PERTANIKA J SCI TECH</t>
  </si>
  <si>
    <t>Pertanika J. Sci. Technol.</t>
  </si>
  <si>
    <t>10.47836/pjst.30.2.02</t>
  </si>
  <si>
    <t>0N5KS</t>
  </si>
  <si>
    <t>WOS:000782877200002</t>
  </si>
  <si>
    <t>Rasay, H; Hadian, SM; Naderkhani, F; Azizi, F</t>
  </si>
  <si>
    <t>Rasay, Hasan; Hadian, Seyed Mohammad; Naderkhani, Farnoosh; Azizi, Fariba</t>
  </si>
  <si>
    <t>Optimal condition based maintenance using attribute Bayesian control chart</t>
  </si>
  <si>
    <t>Condition-based maintenance; Bayesian control chart; Markov decision process; attribute control chart</t>
  </si>
  <si>
    <t>STATISTICAL PROCESS-CONTROL; PARTIALLY OBSERVABLE SYSTEM; ECONOMIC DESIGN; PREVENTIVE MAINTENANCE; INTEGRATED MODEL; QUALITY-CONTROL; CONTROL POLICY; OPTIMIZATION; INSPECTION</t>
  </si>
  <si>
    <t>Condition-based maintenance (CBM) has been emerged as a relatively new trend in maintenance management. Instead of conducting preventive maintenance actions in specified time intervals, the CBM program collects information through condition monitoring, then recommends maintenance actions based on the observed data. On the other hand, Bayesian control charts use the posterior probability of being the system in an unhealthy state as the chart statistic. An attribute Bayesian control chart is employed in this study to monitor a deteriorating system and plan CBM actions based on a continuous-time homogeneous Markov chain. The system consists of three states: healthy, unhealthy, and failure states. A partially observable Markov decision process (POMDP) is developed, which optimally determines the sample size, sampling interval, and warning limit to minimize the long-term expected cost per time unit. Numerical examples and sensitivity analyses are conducted to clarify the performance of the proposed attribute control chart. To the best of the authors' knowledge, this is the first study of the applications of attribute Bayesian control charts in condition-based maintenance.</t>
  </si>
  <si>
    <t>[Rasay, Hasan] Kermanshah Univ Technol, Kermanshah 6715685420, Iran; [Hadian, Seyed Mohammad] Univ Kurdistan, Fac Engn, Dept Ind Engn, Sanandaj, Iran; [Naderkhani, Farnoosh] Concordia Univ, Concordia Inst Informat Syst Engn CIISE, Montreal, PQ, Canada; [Azizi, Fariba] Alzahra Univ, Fac Math Sci, Dept Stat, Tehran, Iran</t>
  </si>
  <si>
    <t>Kermanshah University of Technology; University of Kurdistan; Concordia University - Canada; Alzahra University</t>
  </si>
  <si>
    <t>Rasay, H (corresponding author), Kermanshah Univ Technol, Kermanshah 6715685420, Iran.</t>
  </si>
  <si>
    <t>H.Rasay@kut.ac.ir</t>
  </si>
  <si>
    <t>Azizi, Fariba/ABH-4798-2020; Rasay, Hasan/IAR-8269-2023</t>
  </si>
  <si>
    <t>Azizi, Fariba/0000-0002-6266-7279</t>
  </si>
  <si>
    <t>10.1177/1748006X231174960</t>
  </si>
  <si>
    <t>MAY 2023</t>
  </si>
  <si>
    <t>A9Y9U</t>
  </si>
  <si>
    <t>WOS:001001697800001</t>
  </si>
  <si>
    <t>Sheng, JY; Prescott, D</t>
  </si>
  <si>
    <t>Sheng, Jingyu; Prescott, Darren</t>
  </si>
  <si>
    <t>A coloured Petri net framework for modelling aircraft fleet maintenance</t>
  </si>
  <si>
    <t>Maintenance; Decision support systems; Aircraft fleet; Modelling framework; Coloured Petri nets</t>
  </si>
  <si>
    <t>The aircraft fleet maintenance organisation is responsible for keeping aircraft in a safe, efficient operating condition. Through optimising the use of maintenance resources and the implementation of maintenance activities, fleet maintenance management aims to maximise fleet performance by, for example, ensuring there is minimal deviation from the planned operational schedule, that the number of unexpected failures is minimised or that maintenance cost is kept at a minimum. To obtain overall fleet performance, the performance of individual aircraft must first be known. The calculation of aircraft performance requires an accurate model of the fleet operation and maintenance processes. This paper aims to introduce a framework that can be used to build aircraft fleet maintenance models. A variety of CPN (coloured Petri nets) models are established to represent fleet maintenance activities and maintenance management, as well as the factors that have a significant impact on fleet maintenance including fleet operation, aircraft failure logic and component failure processes. Such CPN models provide an ideal structured framework for Monte Carlo simulation analysis, within which calculations can be performed in order to determine numerous fleet reliability and maintenance performance measures.</t>
  </si>
  <si>
    <t>[Sheng, Jingyu] Chinese Air Force, 93582 Troops, Shouzhou 038300, Shanxi, Peoples R China; [Prescott, Darren] Univ Nottingham, Resilience Engn Res Grp, Nottingham NG7 2RD, England</t>
  </si>
  <si>
    <t>Air Force General Hospital PLA; University of Nottingham</t>
  </si>
  <si>
    <t>Sheng, JY (corresponding author), Chinese Air Force, 93582 Troops, Shouzhou 038300, Shanxi, Peoples R China.</t>
  </si>
  <si>
    <t>sjy215@126.com</t>
  </si>
  <si>
    <t>10.1016/j.ress.2019.04.004</t>
  </si>
  <si>
    <t>IH4WO</t>
  </si>
  <si>
    <t>WOS:000474493000007</t>
  </si>
  <si>
    <t>Jasiulewicz-Kaczmarek, M; Zywica, P; Gola, A</t>
  </si>
  <si>
    <t>Jasiulewicz-Kaczmarek, Malgorzata; Zywica, Patryk; Gola, Arkadiusz</t>
  </si>
  <si>
    <t>Fuzzy set theory driven maintenance sustainability performance assessment model: a multiple criteria approach</t>
  </si>
  <si>
    <t>JOURNAL OF INTELLIGENT MANUFACTURING</t>
  </si>
  <si>
    <t>Maintenance; Performance; Sustainable maintenance; Fuzzy integral; Decision support system</t>
  </si>
  <si>
    <t>BALANCED SCORECARD; MANAGEMENT; OPERATORS; FRAMEWORK; SYSTEM; IMPACT</t>
  </si>
  <si>
    <t>During the last five decades, manufacturing has radically changed not only due to the technology development but also because of the new market and environmental requirements. Nowadays, companies are focused not only on cost-reduction and effectiveness or realized processes but also on reducing the negative impact on natural and social environment. Therefore, the maintenance is also transforming its role in order to better support value creation, both contributing to the economic dimension as well as extending its care for the environmental and social aspects. The paper presents a new method to solve the problem of the initial maintenance indicator merge into a new synthetic index that allows measuring the level of maintenance sustainability. The proposed approach allows to look at the process of combining indicators from a different perspective (i.e. through interactions between criteria) to help decision-makers in improving economic, social and environmental results of maintenance system. To justify effectiveness of proposed approach, it was applied to Composite Maintenance Sustainability Indicator, which was therefore generalized and expanded, so that it could be used in decision support system. The included case study shows the real benefit of using the proposed approach to analyse the actual results of maintenance system from sustainability point of view and forecasting future actions.</t>
  </si>
  <si>
    <t>[Jasiulewicz-Kaczmarek, Malgorzata] Poznan Univ Tech, Fac Management Engn, Dept Ergon &amp; Qual Management, Poznan, Poland; [Zywica, Patryk] Adam Mickiewicz Univ, Dept Artificial Intelligence, Fac Math &amp; Comp Sci, Poznan, Poland; [Gola, Arkadiusz] Lublin Univ Technol, Dept Prod Computerisat &amp; Robotisat, Fac Mech Engn, Lublin, Poland</t>
  </si>
  <si>
    <t>Poznan University of Technology; Adam Mickiewicz University; Lublin University of Technology</t>
  </si>
  <si>
    <t>Gola, A (corresponding author), Lublin Univ Technol, Dept Prod Computerisat &amp; Robotisat, Fac Mech Engn, Lublin, Poland.</t>
  </si>
  <si>
    <t>a.gola@pollub.pl</t>
  </si>
  <si>
    <t>Jasiulewicz-Kaczmarek, Malgorzata/M-1624-2014; Żywica, Patryk/AAC-5145-2020; Gola, Arkadiusz/K-4423-2012</t>
  </si>
  <si>
    <t>Zywica, Patryk/0000-0003-3542-8982; Gola, Arkadiusz/0000-0002-2935-5003</t>
  </si>
  <si>
    <t>project Lublin University of Technology-Regional Excellence Initiative - Polish Ministry of Science and Higher Education [030/RID/2018/19]</t>
  </si>
  <si>
    <t>project Lublin University of Technology-Regional Excellence Initiative - Polish Ministry of Science and Higher Education</t>
  </si>
  <si>
    <t>The project/research was financed in the framework of the project Lublin University of Technology-Regional Excellence Initiative, funded by the Polish Ministry of Science and Higher Education (Contract No. 030/RID/2018/19).</t>
  </si>
  <si>
    <t>SPRINGER</t>
  </si>
  <si>
    <t>DORDRECHT</t>
  </si>
  <si>
    <t>VAN GODEWIJCKSTRAAT 30, 3311 GZ DORDRECHT, NETHERLANDS</t>
  </si>
  <si>
    <t>0956-5515</t>
  </si>
  <si>
    <t>1572-8145</t>
  </si>
  <si>
    <t>J INTELL MANUF</t>
  </si>
  <si>
    <t>J. Intell. Manuf.</t>
  </si>
  <si>
    <t>10.1007/s10845-020-01734-3</t>
  </si>
  <si>
    <t>Computer Science, Artificial Intelligence; Engineering, Manufacturing</t>
  </si>
  <si>
    <t>RX1VA</t>
  </si>
  <si>
    <t>WOS:000612279000001</t>
  </si>
  <si>
    <t>Aghdam, SS; Fattahi, P; Hosseini, SMH; Babaeimorad, S; Sana, SS</t>
  </si>
  <si>
    <t>Aghdam, Sahra Sheydaei; Fattahi, Parviz; Hosseini, Seyed Mohammad Hassan; Babaeimorad, Samaneh; Sana, Shib Sankar</t>
  </si>
  <si>
    <t>Joint optimisation of the maintenance and buffer stock policies considering back orders</t>
  </si>
  <si>
    <t>INTERNATIONAL JOURNAL OF SYSTEMS SCIENCE-OPERATIONS &amp; LOGISTICS</t>
  </si>
  <si>
    <t>Joint optimisation; preventive maintenance; corrective maintenance; inventory control; back order</t>
  </si>
  <si>
    <t>PREVENTIVE MAINTENANCE; INVENTORY CONTROL; MULTIUNIT SYSTEMS</t>
  </si>
  <si>
    <t>Inventory control and maintenance systems are two main processes in production systems that play a vital role in the efficiency of production resources. This study aims to propose a joint optimisation procedure for maintenance and inventory policies in a single-machine production system considering back orders. The failure rate is random and the minimum level of accessibility required for preventive maintenance is considered. To close the problem at hand to the real-world condition, demand is considered as uncertain and shortage is inevitable. In addition, the unsatisfied demand is considered as back order. The problem is described and formulated via a mathematical model and all the possible scenarios corresponding to the different possible cases of the problem are described. Then a numerical iterative procedure is introduced to solve the problem in a reasonable time. The proposed procedure does not explore all solution space, but it behaves like a numerical optimisation procedure and provides a near optimal solution. The performance of the proposed method is evaluated using a numerical instance based on a real case study. In addition, some sensitivity analyses are performed to identify the most important effective parameters.</t>
  </si>
  <si>
    <t>[Aghdam, Sahra Sheydaei; Fattahi, Parviz; Babaeimorad, Samaneh] Alzahra Univ, Fac Engn, Dept Ind Engn, Tehran, Iran; [Hosseini, Seyed Mohammad Hassan] Shahrood Univ Technol, Dept Ind Engn &amp; Management, Shahrood, Iran; [Sana, Shib Sankar] Kishore Bharati Bhagini Nivedita Coll, Dept Math, Kolkata 700060, India</t>
  </si>
  <si>
    <t>Alzahra University; Shahrood University of Technology</t>
  </si>
  <si>
    <t>Sana, SS (corresponding author), Kishore Bharati Bhagini Nivedita Coll, Dept Math, Kolkata 700060, India.</t>
  </si>
  <si>
    <t>shib_sankar@yahoo.com</t>
  </si>
  <si>
    <t>Hosseini, Seyed Mohammad Hassan/AAW-1218-2020; Fattahi, Parviz/ABA-7164-2020; sana, shib/AAM-3813-2021</t>
  </si>
  <si>
    <t>Hosseini, Seyed Mohammad Hassan/0000-0002-6164-3179; Sana, Shib/0000-0002-7834-8969; babaeimorad, samane/0000-0001-5409-3343</t>
  </si>
  <si>
    <t>2330-2674</t>
  </si>
  <si>
    <t>2330-2682</t>
  </si>
  <si>
    <t>INT J SYST SCI-OPER</t>
  </si>
  <si>
    <t>Int. J. Syst. Sci.- Oper. Logist.</t>
  </si>
  <si>
    <t>DEC 31</t>
  </si>
  <si>
    <t>10.1080/23302674.2023.2169054</t>
  </si>
  <si>
    <t>CB4I5</t>
  </si>
  <si>
    <t>WOS:000924881400001</t>
  </si>
  <si>
    <t>Hu, JM; Wang, YH; Pang, YT; Liu, YM</t>
  </si>
  <si>
    <t>Hu, Jueming; Wang, Yuhao; Pang, Yutian; Liu, Yongming</t>
  </si>
  <si>
    <t>Optimal maintenance scheduling under uncertainties using Linear Programming-enhanced Reinforcement Learning</t>
  </si>
  <si>
    <t>Maintenance scheduling; Rollout; Linear programming; Infinite horizon; Stochastic maintenance</t>
  </si>
  <si>
    <t>ROLLOUT ALGORITHMS; DECISION-MAKING; OPTIMIZATION; SYSTEM; MODELS; POLICY; MANAGEMENT; OPERATION; DESIGN</t>
  </si>
  <si>
    <t>Maintenance is of great importance for the safety and integrity of infrastructures. The expected optimal maintenance policy in this study should be able to minimize system maintenance cost while satisfying the system reliability requirements. Stochastic maintenance scheduling with an infinite horizon has not been investigated thoroughly in the literature. In this work, we formulate the maintenance optimization under uncertainties as a Markov Decision Process (MDP) problem and solve it using a modified Reinforcement Learning method. A Linear Programming-enhanced RollouT (LPRT) is proposed, which considers both constrained deterministic and stochastic maintenance scheduling with an infinite horizon. The novelty of the proposed approach is that it is suitable for online maintenance scheduling, which can include random unexpected maintenance performance and system degradation. The proposed method is demonstrated with numerical examples and compared with several existing methods. Results show that LPRT is able to determine the suitable optimal maintenance policy efficiently compared with existing methods with similar accuracy. Parametric studies are used to investigate the effect of uncertainty, subproblem size, and the number of stochastic stages on the final maintenance cost. Limitations and future work are given based on the proposed study.</t>
  </si>
  <si>
    <t>[Hu, Jueming; Wang, Yuhao; Pang, Yutian; Liu, Yongming] Arizona State Univ, Tempe, AZ 85281 USA</t>
  </si>
  <si>
    <t>Arizona State University; Arizona State University-Tempe</t>
  </si>
  <si>
    <t>Liu, YM (corresponding author), Arizona State Univ, Tempe, AZ 85281 USA.</t>
  </si>
  <si>
    <t>Yongming.liu@asu.edu</t>
  </si>
  <si>
    <t>Wang, Yuhao/0000-0003-2144-9889</t>
  </si>
  <si>
    <t>NASA University Leadership Initiative program [NNX17AJ86 A]</t>
  </si>
  <si>
    <t>NASA University Leadership Initiative program</t>
  </si>
  <si>
    <t>The research reported in this paper was supported by funds from NASA University Leadership Initiative program (Contract No. NNX17AJ86 A, PI: Yongming Liu, Technical Officer: Anupa Bajwa). The support is gratefully acknowledged. The authors would like to thank Prof. Dimitri Bertsekas for helpful discussions.</t>
  </si>
  <si>
    <t>10.1016/j.engappai.2021.104655</t>
  </si>
  <si>
    <t>JAN 2022</t>
  </si>
  <si>
    <t>ZK4RH</t>
  </si>
  <si>
    <t>WOS:000762976300029</t>
  </si>
  <si>
    <t>Chang, FT; Zhou, GH; Zhang, C; Xiao, ZD; Wang, C</t>
  </si>
  <si>
    <t>Chang, Fengtian; Zhou, Guanghui; Zhang, Chao; Xiao, Zhongdong; Wang, Chuang</t>
  </si>
  <si>
    <t>A service-oriented dynamic multi-level maintenance grouping strategy based on prediction information of multi-component systems</t>
  </si>
  <si>
    <t>Product-service-system; Service-oriented maintenance; Maintenance strategy; Grouping maintenance; Predictive maintenance; Dynamic rolling horizon</t>
  </si>
  <si>
    <t>OPPORTUNISTIC MAINTENANCE; FUNCTION AVAILABILITY; NETWORK MODEL; OPTIMIZATION</t>
  </si>
  <si>
    <t>The development of product-service-system (PSS) urges the emergence of service-oriented maintenance mode (SOMA), which leads to the shift of maintenance manners from traditional high-cost in-house maintenance to the performance-based proactive service offerings for complex multi-component systems. In this case, a novel and adaptive maintenance grouping strategy that considers service responses, service interactions and dynamic prediction requirements is desired to implement the predictive maintenance planning. Thus, this paper presents a service-oriented dynamic multi-level predictive maintenance grouping strategy. It involves component level, dynamic grouping level and system level to fulfill the individual optimization and grouping optimization Firstly, the individual service time based on real-time remaining useful life (RUL) distribution information is optimized and obtained with the minimum average cost. Secondly, considering the existing economic and resource dependence in predictive and corrective services, this paper dynamically groups the predicted optimal individual services from rolling planning horizon at each calculated service planning time. The penalty costs and grouping service costs are both constructed. Then, a modified k-means method is designed to find out the optimal short-term grouping execution strategy from medium-term prediction information where the average cost savings and relative availability improvement degree are regarded as the optimization objectives. Finally, some numerical examples with three predictive grouping scenarios show that our grouping strategy could provide a feasible and effective long-term dynamic maintenance planning for proactive OEM or PSS providers. It is adapted to the SOMA on complex multi-component systems.</t>
  </si>
  <si>
    <t>[Chang, Fengtian; Zhou, Guanghui; Zhang, Chao] Xi An Jiao Tong Univ, Sch Mech Engn, 28 West Xianning Rd, Xian 710049, Shaanxi, Peoples R China; [Zhou, Guanghui] Xi An Jiao Tong Univ, State Key Lab Mfg Syst Engn, Xian 710049, Shaanxi, Peoples R China; [Xiao, Zhongdong] Xi An Jiao Tong Univ, Sch Management, Xian 710049, Shaanxi, Peoples R China; [Wang, Chuang] Xian Univ Posts &amp; Telecommun, Inst Internet Things &amp; IT Based Industrializat, Xian, Shaanxi, Peoples R China</t>
  </si>
  <si>
    <t>Xi'an Jiaotong University; Xi'an Jiaotong University; Xi'an Jiaotong University; Xi'an University of Posts &amp; Telecommunications</t>
  </si>
  <si>
    <t>Zhou, GH (corresponding author), Xi An Jiao Tong Univ, Sch Mech Engn, 28 West Xianning Rd, Xian 710049, Shaanxi, Peoples R China.</t>
  </si>
  <si>
    <t>ghzhou@mail.xjtu.edu.cn</t>
  </si>
  <si>
    <t>Zhang, Chao/0000-0001-8260-1210</t>
  </si>
  <si>
    <t>Program for New Century Excellent Talents in University by China Ministry of Education [NCET-12-0452]; Intelligent Manufacturing Project of Ministry of Industry and Information Technology (Application of a new intelligent manufacturing mode of complex power equipment)</t>
  </si>
  <si>
    <t>Program for New Century Excellent Talents in University by China Ministry of Education(Program for New Century Excellent Talents in University (NCET)); Intelligent Manufacturing Project of Ministry of Industry and Information Technology (Application of a new intelligent manufacturing mode of complex power equipment)</t>
  </si>
  <si>
    <t>This work was supported by the Program for New Century Excellent Talents in University by China Ministry of Education under Grant number NCET-12-0452; and Intelligent Manufacturing Project of Ministry of Industry and Information Technology (Application of a new intelligent manufacturing mode of complex power equipment).</t>
  </si>
  <si>
    <t>10.1016/j.jmsy.2019.09.005</t>
  </si>
  <si>
    <t>JS3PO</t>
  </si>
  <si>
    <t>WOS:000500221000005</t>
  </si>
  <si>
    <t>Zhou, YY; Hu, LM; Peng, R; Li, J</t>
  </si>
  <si>
    <t>Zhou, Yiyan; Hu, Linmin; Peng, Rui; Li, Jing</t>
  </si>
  <si>
    <t>Reliability analysis and optimization of multi-product manufacturing systems based on two types of maintenance mechanisms</t>
  </si>
  <si>
    <t>Multi-product manufacturing system; Preventive maintenance; Production management index; Reliability index; Bi-objective genetic algorithm</t>
  </si>
  <si>
    <t>PREVENTIVE MAINTENANCE; INTEGRATED PRODUCTION; PLANNING-MODEL; QUALITY; MACHINE; NETWORK; BUFFERS</t>
  </si>
  <si>
    <t>Production efficiency, product quality and cost control are the focus issues that manufacturers are extremely concerned about. Multi-product manufacturing systems can mitigate uncertainty and enhance flexibility in the production process. In order to comprehensively explore the characteristics of multi-product manufacturing systems, this paper selects a two-product manufacturing system with setup time as the research object, and introduces a machine maintenance mechanism combining preventive maintenance(PM) with post-failure repair to analyze reliability and optimization problems of the manufacturing system. The Markov process approach is utilized for system modeling and analysis. Based on matrix equations, an iterative solution is employed to calculate the steady-state probabilities. This method yields production management indexes such as system throughput, the average work-in-process of the system and system mission completion rate. Additionally, it helps define and derive reliability indexes of the machine, including mean available time(MAT) and mean time before first unavailable(MTBFU). Based on numerical experiments, the influence degree and underlying reasons of each parameter on the performance indexes of the system and the machine are analyzed. The bi-objective genetic algorithm is used to determine optimal operating cost solutions for the manufacturing system.</t>
  </si>
  <si>
    <t>[Zhou, Yiyan; Hu, Linmin; Li, Jing] Yanshan Univ, Sch Sci, 438 West Hebei St, Qinhuangdao 066004, Hebei, Peoples R China; [Peng, Rui] Beijing Univ Technol, Sch Econ &amp; Management, Beijing 100124, Peoples R China</t>
  </si>
  <si>
    <t>Yanshan University; Beijing University of Technology</t>
  </si>
  <si>
    <t>Hu, LM (corresponding author), Yanshan Univ, Sch Sci, 438 West Hebei St, Qinhuangdao 066004, Hebei, Peoples R China.</t>
  </si>
  <si>
    <t>linminhu@ysu.edu.cn</t>
  </si>
  <si>
    <t>National Natural Science Foun-dation of China [72071175]; Shijiazhuang Science and Technology Project [241790737A]; Local Science and Technology Development Projects of the Central Committee: S&amp;T Program of Hebei [246Z0305G]; Basic Innovative Research and Cultivation Project of Yanshan University [2023LGZD003]</t>
  </si>
  <si>
    <t>National Natural Science Foun-dation of China(National Natural Science Foundation of China (NSFC)); Shijiazhuang Science and Technology Project; Local Science and Technology Development Projects of the Central Committee: S&amp;T Program of Hebei; Basic Innovative Research and Cultivation Project of Yanshan University</t>
  </si>
  <si>
    <t>This work was supported by the National Natural Science Foun-dation of China [grant number 72071175] ; the Shijiazhuang Science and Technology Project [grant number 241790737A] ; the Local Science and Technology Development Projects of the Central Committee: S&amp;T Program of Hebei [grant number 246Z0305G] ; and the Basic Innovative Research and Cultivation Project of Yanshan University [grant number 2023LGZD003] .</t>
  </si>
  <si>
    <t>10.1016/j.ress.2024.110676</t>
  </si>
  <si>
    <t>P1H8N</t>
  </si>
  <si>
    <t>WOS:001375516700001</t>
  </si>
  <si>
    <t>Chen, ZX; Chen, Z; Zhou, D; Xia, TB; Pan, ER</t>
  </si>
  <si>
    <t>Chen, Zhaoxiang; Chen, Zhen; Zhou, Di; Xia, Tangbin; Pan, Ershun</t>
  </si>
  <si>
    <t>Opportunistic maintenance optimization of continuous process manufacturing systems considering imperfect maintenance with epistemic uncertainty</t>
  </si>
  <si>
    <t>Continuous process manufacturing systems; Opportunistic maintenance; Epistemic uncertainty; Stochastic fuzzy flow manufacturing network; Immune algorithm</t>
  </si>
  <si>
    <t>FUZZY; POLICY; TIME; SUBJECT</t>
  </si>
  <si>
    <t>Due to the production process for continuous process manufacturing system (CPMS) cannot be stopped, the opportunities for maintenance can only occur within the specified time intervals. To improve the completion rate of production process, the focus of opportunistic maintenance for CPMS is whether the maintenance is to be performed at known time. Meanwhile, several opportunistic maintenance optimization models assumed imperfect maintenance to develop more reasonable maintenance plan. However, the parameters of imperfect maintenance cannot be accurately assessed (namely epistemic uncertainty) due to inadequate knowledge of maintenance and degradation mechanisms. This epistemic uncertainty was ignored in previous studies. Therefore, a novel opportunistic maintenance optimization model for CPMSs is proposed. The opportunity time window (OTW) concept is introduced to constrain the production-constrained maintenance opportunity. Three types of maintenance actions, including do nothing, perfect maintenance, and imperfect maintenance with epistemic uncertainty, are considered during the OTW to improve the production efficiency and performance of the manufacturing system. In the context of random and epistemic uncertainty, a stochastic fuzzy flow manufacturing network (SFFMN) is established to describe dynamic production processes and evaluate machine reliability. Moreover, a simulated annealing-based adaptive immune algorithm (SAAIA) with multiple immune operators is developed to address the opportunity maintenance optimization model of CPMSs. Finally, a case study of the hot rolling manufacturing system is provided to better understand the proposed method and demonstrate its effectiveness.</t>
  </si>
  <si>
    <t>[Chen, Zhaoxiang; Chen, Zhen; Xia, Tangbin; Pan, Ershun] Shanghai Jiao Tong Univ, Dept Ind Engn &amp; Management, State Key Lab Mech Syst &amp; Vibrat, Shanghai 200240, Peoples R China; [Zhou, Di] Donghua Univ, Sch Mech Engn, Shanghai 200051, Peoples R China</t>
  </si>
  <si>
    <t>Shanghai Jiao Tong University; Donghua University</t>
  </si>
  <si>
    <t>Chen, Z (corresponding author), Shanghai Jiao Tong Univ, Dept Ind Engn &amp; Management, State Key Lab Mech Syst &amp; Vibrat, Shanghai 200240, Peoples R China.</t>
  </si>
  <si>
    <t>chenzhendr@sjtu.edu.cn</t>
  </si>
  <si>
    <t>Xia, Tangbin/0000-0001-9121-1716</t>
  </si>
  <si>
    <t>National Key Research and Development Program of China [2020YFB1711100]; National Natural Science Foundation of China [52005327, 72071127]</t>
  </si>
  <si>
    <t>National Key Research and Development Program of China(National Key Research &amp; Development Program of China); National Natural Science Foundation of China(National Natural Science Foundation of China (NSFC))</t>
  </si>
  <si>
    <t>This work was supported in part by National Key Research and Development Program of China under Grant 2020YFB1711100; and in part by the National Natural Science Foundation of China under Grant 52005327 and Grant 72071127.</t>
  </si>
  <si>
    <t>10.1016/j.jmsy.2023.10.001</t>
  </si>
  <si>
    <t>X4PZ9</t>
  </si>
  <si>
    <t>WOS:001098300900001</t>
  </si>
  <si>
    <t>Wang, YK; Li, XP; Chen, JY; Liu, YL</t>
  </si>
  <si>
    <t>Wang, Yukun; Li, Xiaopeng; Chen, Junyan; Liu, Yiliu</t>
  </si>
  <si>
    <t>A condition-based maintenance policy for multi-component systems subject to stochastic and economic dependencies</t>
  </si>
  <si>
    <t>Multi-component system; Condition-based maintenance; Stochastic dependence; Economic dependence; Maintenance efficacy</t>
  </si>
  <si>
    <t>PREDICTIVE MAINTENANCE; RELIABILITY-ANALYSIS; OPTIMIZATION; DEGRADATION; COMPONENTS; STRATEGY; MODELS</t>
  </si>
  <si>
    <t>Condition-based maintenance (CBM) optimization utilizing prognostic information and methods for complex systems has attracted increasing attention. This paper presents a bi-level approach to optimize a CBM policy for multi-component systems subject to stochastic and economic dependencies. The objective of the decision rule at the system level is to address if preventive and/or corrective maintenance actions are necessary regarding the predictive reliability of the system. At the component level, the aim is to identify the optimal group of components to be preventively maintained when maintenance is triggered due to the decision made at the system level. A maintenance efficacy indicator is introduced to prioritize components to be maintained by taking into account both the resulting reliability improvement quantity and the maintenance cost incurred. The optimal inter-inspection interval, the thresholds of system and component conditional reliability for triggering maintenance are jointly determined for minimization of the long-run average cost rate. A numerical study and sensitivity analysis on a 2oo3:G system are carried out to validate the performance of the proposed maintenance policy. Compared to another opportunistic maintenance policy without considering the system health condition, the proposed CBM policy leads to more cost gain and effectiveness in the maintenance decision-making.</t>
  </si>
  <si>
    <t>[Wang, Yukun; Chen, Junyan] Tianjin Chengjian Univ, Sch Econ &amp; Management, Tianjin, Peoples R China; [Li, Xiaopeng] Nanjing Univ Finance &amp; Econ, Sch Management Sci &amp; Engn, Nanjing, Peoples R China; [Liu, Yiliu] Norwegian Univ Sci &amp; Technol, Dept Mech &amp; Ind Engn, Trondheim, Norway</t>
  </si>
  <si>
    <t>Tianjin Chengjian University; Nanjing University of Finance &amp; Economics; Norwegian University of Science &amp; Technology (NTNU)</t>
  </si>
  <si>
    <t>Liu, YL (corresponding author), Norwegian Univ Sci &amp; Technol, Dept Mech &amp; Ind Engn, Trondheim, Norway.</t>
  </si>
  <si>
    <t>yiliu.liu@ntnu.no</t>
  </si>
  <si>
    <t>Li, Xiaopeng/JPX-0647-2023; Wang, Yukun/GRJ-5930-2022; Li, Xiaopeng/B-5675-2018; Liu, Yiliu/AAY-2097-2021</t>
  </si>
  <si>
    <t>Li, Xiaopeng/0000-0002-8237-9194; Liu, Yiliu/0000-0002-0612-2231</t>
  </si>
  <si>
    <t>National Natural Science Foundation of China [71801171]</t>
  </si>
  <si>
    <t>This research is supported by National Natural Science Foundation of China (No. 71801171).</t>
  </si>
  <si>
    <t>10.1016/j.ress.2021.108174</t>
  </si>
  <si>
    <t>ZG6BH</t>
  </si>
  <si>
    <t>WOS:000760341500002</t>
  </si>
  <si>
    <t>Wang, XL; Li, LS; Xie, M</t>
  </si>
  <si>
    <t>Wang, Xiaolin; Li, Lishuai; Xie, Min</t>
  </si>
  <si>
    <t>Optimal preventive maintenance strategy for leased equipment under successive usage-based contracts</t>
  </si>
  <si>
    <t>Successive leasing; usage-based contract; warranty; upgrade; maintenance management; cost analysis</t>
  </si>
  <si>
    <t>2-DIMENSIONAL WARRANTY; FAILURE-RATE; POLICY; RELIABILITY; SOLD; OPTIMIZATION; PRODUCTS; UPGRADE; DESIGN; PERIOD</t>
  </si>
  <si>
    <t>In the context of equipment leasing, maintenance service is usually bundled with the leased equipment and offered by the lessor as an integrated package under a lease contract. The lessor is then responsible to prescribe an effective maintenance policy to keep the equipment operational in an economical way. This paper investigates upgrade and preventive maintenance (PM) strategies for industrial equipment during successive usage-based lease contracts with consideration of a warranty period, from the lessor's perspective. The accelerated failure time model and age reduction model are adopted to capture the effect of usage rate and imperfect PM/upgrade on the equipment reliability, respectively. More importantly, since equipment usage rates may vary across different lease contracts, this study develops an age correspondence framework to characterise usage rate shifts between successive lease periods. The optimal upgrade degree and the optimal number and level of PM actions are progressively updated for each upcoming lease period to minimise the total expected lease servicing cost, by considering the usage rate and maintenance implementation history. Numerical studies show that under given cost structures, periodical PM activities within each lease period tends to outperform the pre-leasing upgrade actions, though both of them can reduce the lease servicing cost.</t>
  </si>
  <si>
    <t>[Wang, Xiaolin; Li, Lishuai; Xie, Min] City Univ Hong Kong, Dept Syst Engn &amp; Engn Management, Kowloon, Hong Kong, Peoples R China; [Li, Lishuai; Xie, Min] City Univ Hong Kong, Shenzhen Res Inst, Shenzhen, Peoples R China</t>
  </si>
  <si>
    <t>City University of Hong Kong; City University of Hong Kong; Shenzhen Research Institute, City University of Hong Kong</t>
  </si>
  <si>
    <t>Wang, XL (corresponding author), City Univ Hong Kong, Dept Syst Engn &amp; Engn Management, Kowloon, Hong Kong, Peoples R China.</t>
  </si>
  <si>
    <t>xlwang28-c@my.cityu.edu.hk</t>
  </si>
  <si>
    <t>Wang, Xiao-Lin/AAT-4317-2021; Xie, Min/IUQ-1412-2023; Li, Lishuai/K-8472-2014</t>
  </si>
  <si>
    <t>Wang, Xiao-Lin/0000-0003-0100-8154; Li, Lishuai/0000-0002-0990-5119</t>
  </si>
  <si>
    <t>Research Grants Council of Hong Kong under a Theme-based Research Fund [T32-101/15-R]; National Natural Science Foundation of China [71532008, 71601166]; [CityU 11203815]</t>
  </si>
  <si>
    <t>Research Grants Council of Hong Kong under a Theme-based Research Fund; National Natural Science Foundation of China(National Natural Science Foundation of China (NSFC));</t>
  </si>
  <si>
    <t>This work was supported by the Research Grants Council of Hong Kong under a Theme-based Research Fund [grant number T32-101/15-R] and a General Research Fund [grant number CityU 11203815], and also by the National Natural Science Foundation of China [grant number 71532008, 71601166].</t>
  </si>
  <si>
    <t>SEP 17</t>
  </si>
  <si>
    <t>10.1080/00207543.2018.1542181</t>
  </si>
  <si>
    <t>IV7EM</t>
  </si>
  <si>
    <t>WOS:000484429400005</t>
  </si>
  <si>
    <t>Si, GJ; Xia, TB; Pan, ES; Xi, LF</t>
  </si>
  <si>
    <t>Si, Guojin; Xia, Tangbin; Pan, Ershun; Xi, Lifeng</t>
  </si>
  <si>
    <t>Service-oriented global optimization integrating maintenance grouping and technician routing for multi-location multi-unit production systems</t>
  </si>
  <si>
    <t>Service-oriented manufacturing; group maintenance; technician routing; multi-location multi-unit production systems; cost saving</t>
  </si>
  <si>
    <t>PREDICTIVE-MAINTENANCE; PROGNOSTICS; STRATEGY</t>
  </si>
  <si>
    <t>With the product-service requirement of modern production enterprises, service-oriented manufacturing and its corresponding operations and maintenance have gained growing attention. Advances in sensor technology and wireless communication, promoting lessors to propose new strategies for intelligent maintenance decision-making of geographically distributed manufacturing enterprises. In this article, we present a comprehensive strategy for solving the maintenance grouping and technician routing problem of multi-location multi-unit production systems. Based on real-time machine degradation, we estimate the failure rate of leased machines and establish a time-varying maintenance cost function to quantify the trade-off between early maintenance and delayed maintenance. Unlike group maintenance of a single system, we integrate the travel time between systems and the maintenance capacity of technician teams into a mixed-integer optimization model to provide the dynamic preventive maintenance scheme. Finally, numerical examples are employed to illustrate the effectiveness of the proposed strategy and explore some managerial insights for the lessor's daily management.</t>
  </si>
  <si>
    <t>[Si, Guojin; Xia, Tangbin; Pan, Ershun; Xi, Lifeng] Shanghai Jiao Tong Univ, SJTU Fraunhofer Ctr, Dept Ind Engn &amp; Management, Sch Mech Engn,State Key Lab Mech Syst &amp; Vibrat, Shanghai, Peoples R China</t>
  </si>
  <si>
    <t>Shanghai Jiao Tong University</t>
  </si>
  <si>
    <t>Xia, TB (corresponding author), Shanghai Jiao Tong Univ, SJTU Fraunhofer Ctr, Dept Ind Engn &amp; Management, Sch Mech Engn,State Key Lab Mech Syst &amp; Vibrat, Shanghai, Peoples R China.</t>
  </si>
  <si>
    <t>xtbxtb@sjtu.edu.cn</t>
  </si>
  <si>
    <t>Si, Guojin/HLP-9772-2023</t>
  </si>
  <si>
    <t>Nation Natural Science Foundation of China [51875359]; Natural Science Foundation of Shanghai [20ZR1428600]; Shanghai Science &amp; Technology Innovation Center for System Engineering of Commercial Aircraft [FASE-2021-M7]; Ministry of Education-China Mobile Research Foundation [MCM20180703]</t>
  </si>
  <si>
    <t>Nation Natural Science Foundation of China(National Natural Science Foundation of China (NSFC)); Natural Science Foundation of Shanghai(Natural Science Foundation of Shanghai); Shanghai Science &amp; Technology Innovation Center for System Engineering of Commercial Aircraft; Ministry of Education-China Mobile Research Foundation</t>
  </si>
  <si>
    <t>The authors greatly acknowledge supports form the Nation Natural Science Foundation of China under Grant 51875359; Natural Science Foundation of Shanghai under Grant 20ZR1428600; Shanghai Science &amp; Technology Innovation Center for System Engineering of Commercial Aircraft under Grant FASE-2021-M7; and Ministry of Education-China Mobile Research Foundation under Grant MCM20180703.</t>
  </si>
  <si>
    <t>JUN 15</t>
  </si>
  <si>
    <t>10.1080/24725854.2021.1957181</t>
  </si>
  <si>
    <t>AUG 2021</t>
  </si>
  <si>
    <t>2E2NE</t>
  </si>
  <si>
    <t>WOS:000693548400001</t>
  </si>
  <si>
    <t>Xia, TB; Sun, BW; Chen, Z; Pan, ES; Wang, H; Xi, LF</t>
  </si>
  <si>
    <t>Xia, Tangbin; Sun, Bowen; Chen, Zhen; Pan, Ershun; Wang, Hao; Xi, Lifeng</t>
  </si>
  <si>
    <t>Opportunistic maintenance policy integrating leasing profit and capacity balancing for serial-parallel leased systems</t>
  </si>
  <si>
    <t>Service-oriented manufacturing; Leasing profits; Predictive maintenance; Multi-procedure capacity; Maintenance opportunity</t>
  </si>
  <si>
    <t>PREVENTIVE MAINTENANCE; MULTICOMPONENT SYSTEMS; HEALTH MANAGEMENT; PROGNOSTICS; STRATEGY; REPAIR</t>
  </si>
  <si>
    <t>Service-oriented manufacturing promotes maintenance outsourcing as a new profit growth spot in the industry. For maximizing the leasing profits in this product-service mode, a new opportunistic maintenance policy is developed to handle the challenges of complex serial-parallel structure and multi-procedure capacity. Different from traditional maintenance strategies for a single leased machine, the serial-parallel structure of a manufacturing system is taken as the research emphasis. Meanwhile, capacity balancing is analyzed for the practical manufacturing. At the machine level, sequential predictive maintenance (PM) intervals for each machine is individually scheduled according to its health evolution. At the procedure level and the system level, a capacity balancing-oriented leasing profit optimization (CB-LPO) policy is proposed by considering the constraints of the capacity balancing to optimize real-time maintenance decisions dynamically. Finally, we present a case study by comparing the global maintenance scheme during the lease contract period. It has been verified that this CB-LPO policy has significant economic advantages and computational benefits.</t>
  </si>
  <si>
    <t>[Xia, Tangbin; Sun, Bowen; Chen, Zhen; Pan, Ershun; Wang, Hao; Xi, Lifeng] Shanghai Jiao Tong Univ, SJTU Fraunhofer Ctr, Sch Mech Engn, State Key Lab Mech Syst &amp; Vibrat, Shanghai 200240, Peoples R China</t>
  </si>
  <si>
    <t>Xi, LF (corresponding author), Shanghai Jiao Tong Univ, SJTU Fraunhofer Ctr, Sch Mech Engn, State Key Lab Mech Syst &amp; Vibrat, Shanghai 200240, Peoples R China.</t>
  </si>
  <si>
    <t>lfxi@sjtu.edu.cn</t>
  </si>
  <si>
    <t>National Natural Science Foundation of China [51875359]; Natural Science Foundation of Shanghai [20ZR1428600]; China Postdoctoral Science Foundation [2019M661532]; Ministry of Education-China Mobile Research Foundation [CMHQ-JS-201900003]</t>
  </si>
  <si>
    <t>National Natural Science Foundation of China(National Natural Science Foundation of China (NSFC)); Natural Science Foundation of Shanghai(Natural Science Foundation of Shanghai); China Postdoctoral Science Foundation(China Postdoctoral Science Foundation); Ministry of Education-China Mobile Research Foundation</t>
  </si>
  <si>
    <t>This research is funded by National Natural Science Foundation of China (51875359), Natural Science Foundation of Shanghai (20ZR1428600), China Postdoctoral Science Foundation (2019M661532) and Ministry of Education-China Mobile Research Foundation (CMHQ-JS-201900003).</t>
  </si>
  <si>
    <t>10.1016/j.ress.2020.107233</t>
  </si>
  <si>
    <t>OQ9JE</t>
  </si>
  <si>
    <t>WOS:000589091300018</t>
  </si>
  <si>
    <t>Duan, CQ; Chen, PW</t>
  </si>
  <si>
    <t>Duan, Chaoqun; Chen, Peiwen</t>
  </si>
  <si>
    <t>Adaptive Maintenance Scheme for Degrading Devices With Dynamic Conditions and Random Failures</t>
  </si>
  <si>
    <t>Adaptive maintenance; degradation mod-eling; prognostics and health management (PHM); reliabil-ity estimation</t>
  </si>
  <si>
    <t>PREVENTIVE MAINTENANCE; LIFETIME ESTIMATION; PROGNOSTICS; MODEL; SYSTEM; RELIABILITY; PREDICTION; SCHEDULES; SUBJECT; POLICY</t>
  </si>
  <si>
    <t>The estimations of degradation and remaining useful life are important for realizing the maintenance of modern devices, which generally operate under varying conditions. Although some prognostic approaches have been presented, there is still a lack of an effective maintenance scheme that utilizes prognostic information to maintain systems under varying operational conditions. Therefore, a new degradation-integrated failure model is presented in this article for deteriorating systems that are subject to dynamic conditions and random failures. An adaptive maintenance scheme is then developed on the basis of the failure model. The proposed scheme is used to adaptively monitor the system conditions and switch the monitoring frequency according to the system hazard level. The monitoring frequencies in the maintenance scheme are optimized by a computational algorithm formulated in a semi-Markov decision process framework using estimated conditional reliability under varying conditions. The particularity of this work is the consideration of a changeable monitoring scheme under dynamic conditions, which is effective in reducing false alarms of maintenance incurred by environmental shocks. The proposed approach is demonstrated by a case study of power devices, and comparisons with other advanced approaches are also presented.</t>
  </si>
  <si>
    <t>[Duan, Chaoqun; Chen, Peiwen] Shanghai Univ, Sch Mechatron Engn &amp; Automat, Shanghai 200444, Peoples R China</t>
  </si>
  <si>
    <t>Shanghai University</t>
  </si>
  <si>
    <t>Duan, CQ (corresponding author), Shanghai Univ, Sch Mechatron Engn &amp; Automat, Shanghai 200444, Peoples R China.</t>
  </si>
  <si>
    <t>chaoqun.duan@hotmail.com; peiwen-chen@outlook.com</t>
  </si>
  <si>
    <t>Chen, Peiwen/AAD-1787-2022</t>
  </si>
  <si>
    <t>10.1109/TII.2022.3182789</t>
  </si>
  <si>
    <t>D0BT3</t>
  </si>
  <si>
    <t>WOS:000965474000001</t>
  </si>
  <si>
    <t>Cheng, WQ; Zhao, XJ</t>
  </si>
  <si>
    <t>Cheng, Wanqing; Zhao, Xiujie</t>
  </si>
  <si>
    <t>Maintenance optimization for dependent two-component degrading systems subject to imperfect repair</t>
  </si>
  <si>
    <t>Stochastic degradation; Imperfect maintenance; Maintenance policy optimization; Markov decision process</t>
  </si>
  <si>
    <t>PROCESS MODEL; INSPECTION; INTENSITY; POLICIES</t>
  </si>
  <si>
    <t>Appropriate maintenance policies play an important role in improving system availability and ensuring safe operation. Seeking optimal maintenance policies for technical systems has been widely pursued by reliability engineers and researchers. In this paper, we propose a maintenance optimization method that is applicable to dependent two-component systems subject to degradation and imperfect repair. We consider both economic and stochastic dependencies between the components and establish a random-effect imperfect repair model to realistically model the degradation process and maintainability of components. Moreover, we model the maintenance problem under the infinite horizon using the Markov decision process and obtain the optimal solution via value iteration algorithm. Structural insights are gleaned using the stochastic orders. A numerical example is then presented to illustrate the proposed methods. We discover that the characteristics of imperfect repair can considerably influence the optimal policies. Specifically, the mean effect of imperfect repair has a larger influence on maintenance decisions while the influence of imperfect repair variability effect is relatively small.</t>
  </si>
  <si>
    <t>[Cheng, Wanqing; Zhao, Xiujie] Tianjin Univ, Coll Management &amp; Econ, Tianjin, Peoples R China</t>
  </si>
  <si>
    <t>Tianjin University</t>
  </si>
  <si>
    <t>Zhao, XJ (corresponding author), Tianjin Univ, Coll Management &amp; Econ, Tianjin, Peoples R China.</t>
  </si>
  <si>
    <t>xiujiezhao@tju.edu.cn</t>
  </si>
  <si>
    <t>Zhao, Xiujie/0000-0003-3450-5480</t>
  </si>
  <si>
    <t>National Natural Science Foundation of China [72371182, 72002149, 72032005, 72231005]</t>
  </si>
  <si>
    <t>Acknowledgments This work was supported in part by the National Natural Science Foundation of China under grant 72371182, 72002149, 72032005 and 72231005.</t>
  </si>
  <si>
    <t>10.1016/j.ress.2023.109581</t>
  </si>
  <si>
    <t>S7DZ9</t>
  </si>
  <si>
    <t>WOS:001072750200001</t>
  </si>
  <si>
    <t>Nasrfard, F; Mohammadi, M; Rastegar, M</t>
  </si>
  <si>
    <t>Nasrfard, Farshid; Mohammadi, Mohammad; Rastegar, Mohammad</t>
  </si>
  <si>
    <t>Probabilistic optimization of preventive maintenance inspection rates by considering correlations among maintenance costs, duration, and states transition probabilities</t>
  </si>
  <si>
    <t>Inspection; Monte Carlo simulation (MCS); Preventive maintenance; Semi-Markov chain; State diagram</t>
  </si>
  <si>
    <t>WEIBULL DISTRIBUTION; RELIABILITY; SYSTEM; POLICY; LIFE; MODEL</t>
  </si>
  <si>
    <t>Power system degradation has highly motivated utilities to perform preventive maintenance. Inadequate inspection and maintenance could lead to early failures. However, too much of them could be very costly; thus, many studies have been conducted to achieve the optimal inspection and maintenance rates. Previous studies have only considered the transition from a deterioration, repair, or inspection state to another one probabilistically. However, in practice, repair and maintenance costs and duration also vary randomly and are correlated with each other. This study proposes a probabilistic approach by considering all the aforementioned correlations and uncertainties to find the optimal inspection rates. The approach can incorporate the dependent deterioration phenomenon among different system/equipment components in the maintenance process. Additionally, a simple judgment matrix is assumed to estimate the present deterioration state before performing inspections or maintenance activities. The matrix makes classical approaches more usable from a practical point of view. A semiMarkov chain based on Monte Carlo simulations employing 95 percentiles of the total cost is utilized to determine the optimal inspection rates. Finally, the proposed method is applied to the distribution circuit breakers (CBs) of the Roy Billinton test system (RBTS) for illustration. The numerical results show that considering the correlations and uncertainties can change the optimal inspection rates and reduce the calculated costs and/or unavailability in comparison to the conventional approaches. Furthermore, the results indicate that the method is simple and accurate and can be integrated into asset management tools for the maintenance decision-making process.</t>
  </si>
  <si>
    <t>[Nasrfard, Farshid; Mohammadi, Mohammad; Rastegar, Mohammad] Shiraz Univ, Sch Elect &amp; Comp Engn, Shiraz, Iran</t>
  </si>
  <si>
    <t>Shiraz University</t>
  </si>
  <si>
    <t>Mohammadi, M (corresponding author), Shiraz Univ, Sch Elect &amp; Comp Engn, Shiraz, Iran.</t>
  </si>
  <si>
    <t>m.mohammadi@shirazu.ac.ir; mohammadrastegar@shirazu.ac.ir</t>
  </si>
  <si>
    <t>Rastegar, Mohammad/AAD-6687-2022; Mohammadi, Mohammad/T-6537-2017</t>
  </si>
  <si>
    <t>Nasrfard, Farshid/0000-0002-9482-7089; Mohammadi, Mohammad/0000-0002-8953-1996</t>
  </si>
  <si>
    <t>10.1016/j.cie.2022.108619</t>
  </si>
  <si>
    <t>4Y0JB</t>
  </si>
  <si>
    <t>WOS:000861219700001</t>
  </si>
  <si>
    <t>Tao, X; Mårtensson, J; Warnquist, H; Pernestål, A</t>
  </si>
  <si>
    <t>Tao, Xin; Martensson, Jonas; Warnquist, Hakan; Pernestal, Anna</t>
  </si>
  <si>
    <t>Short-term maintenance planning of autonomous trucks for minimizing economic risk</t>
  </si>
  <si>
    <t>Autonomous truck; Maintenance planning; Risk-based decision-making; Economic risk; Availability loss; Maintenance cost</t>
  </si>
  <si>
    <t>OPTIMIZATION; INTELLIGENT; PREDICTION; SYSTEM; COST</t>
  </si>
  <si>
    <t>New autonomous driving technologies are emerging every day and some of them have been commercially applied in the real world. While benefiting from these technologies, autonomous trucks are facing new challenges in short-term maintenance planning, which directly influences the truck operator's profit. In this paper, we implement a vehicle health management system by addressing the maintenance planning issues of autonomous trucks on a transport mission. We also present a maintenance planning model using a risk-based decision-making method, which identifies the maintenance decision with minimal economic risk of the truck company. Both availability losses and maintenance costs are considered when evaluating the economic risk. We demonstrate the proposed model by numerical experiments illustrating real-world scenarios. In the experiments, compared to three baseline methods, the expected economic risk of the proposed method is reduced by up to 47%. We also conduct sensitivity analyses of different model parameters. The analyses show that the economic risk significantly decreases when the estimation accuracy of remaining useful life, the maximal allowed time of delivery delay before order cancellation, or the number of workshops increases. The experiment results contribute to identifying future research and development attentions of autonomous trucks from an economic perspective.</t>
  </si>
  <si>
    <t>[Tao, Xin; Martensson, Jonas; Pernestal, Anna] KTH Royal Inst Technol, Integrated Transport Res Lab, SE-10044 Stockholm, Sweden; [Martensson, Jonas] KTH Royal Inst Technol, Div Decis &amp; Control Syst, SE-10044 Stockholm, Sweden; [Warnquist, Hakan] Scania CV AB, SE-15187 Sodertalje, Sweden</t>
  </si>
  <si>
    <t>Royal Institute of Technology; Royal Institute of Technology; Scania</t>
  </si>
  <si>
    <t>Tao, X (corresponding author), KTH Royal Inst Technol, Integrated Transport Res Lab, SE-10044 Stockholm, Sweden.</t>
  </si>
  <si>
    <t>taoxin@kth.se; jonas1@kth.se; hakan.warnquist@scania.com; annapern@kth.se</t>
  </si>
  <si>
    <t>Mårtensson, Jonas/AAD-4745-2020</t>
  </si>
  <si>
    <t>Tao, Xin/0000-0002-7933-039X</t>
  </si>
  <si>
    <t>KTH-CSC Programme - China Scholarship Council (CSC) [201700260189]</t>
  </si>
  <si>
    <t>KTH-CSC Programme - China Scholarship Council (CSC)(China Scholarship Council)</t>
  </si>
  <si>
    <t>This research was supported by the KTH-CSC Programme, funded by the China Scholarship Council (CSC) (grant no. 201700260189). All authors approved the version of the manuscript to be published.</t>
  </si>
  <si>
    <t>10.1016/j.ress.2021.108251</t>
  </si>
  <si>
    <t>ZG6CC</t>
  </si>
  <si>
    <t>hybrid, Green Submitted</t>
  </si>
  <si>
    <t>WOS:000760343700003</t>
  </si>
  <si>
    <t>Compare, M; Bellani, L; Cobelli, E; Zio, E; Annunziata, F; Carlevaro, F; Sepe, M</t>
  </si>
  <si>
    <t>Compare, Michele; Bellani, Luca; Cobelli, Enrico; Zio, Enrico; Annunziata, Francesco; Carlevaro, Fausto; Sepe, Marzia</t>
  </si>
  <si>
    <t>A reinforcement learning approach to optimal part flow management for gas turbine maintenance</t>
  </si>
  <si>
    <t>Part flow; reinforcement learning; gas turbine</t>
  </si>
  <si>
    <t>OPTIMAL PREVENTIVE MAINTENANCE; HIGH-CYCLE FATIGUE; INVENTORY OPTIMIZATION; CAPACITY; SYSTEMS</t>
  </si>
  <si>
    <t>We consider the maintenance process of gas turbines used in the Oil and Gas industry: the capital parts are first removed from the gas turbines and replaced by parts of the same type taken from the warehouse; then, they are repaired at the workshop and returned to the warehouse for use in future maintenance events. Experience-based rules are used to manage the flow of the parts for a profitable gas turbine operation. In this article, we formalize the part flow management as a sequential decision problem and propose reinforcement learning for its solution. An application to a scaled-down case study derived from real industrial practice shows that reinforcement learning can find policies outperforming those based on experience-based rules.</t>
  </si>
  <si>
    <t>[Compare, Michele; Cobelli, Enrico; Zio, Enrico] Politecn Milan, Dept Energy, Milan, Italy; [Compare, Michele; Bellani, Luca; Zio, Enrico] Aramis Srl, I-20124 Milan, Italy; [Zio, Enrico] PSL Res Univ, Mines ParisTech, CRC, Sophia Antipolis, France; [Zio, Enrico] Kyung Hee Univ, Coll Engn, Dept Nucl Engn, Seoul, South Korea; [Annunziata, Francesco; Carlevaro, Fausto; Sepe, Marzia] Baker Hughes, Florence, Italy</t>
  </si>
  <si>
    <t>Polytechnic University of Milan; Universite PSL; MINES ParisTech; Kyung Hee University</t>
  </si>
  <si>
    <t>Compare, M (corresponding author), Aramis Srl, I-20124 Milan, Italy.</t>
  </si>
  <si>
    <t>michele.compare@polimi.it</t>
  </si>
  <si>
    <t>10.1177/1748006X19869750</t>
  </si>
  <si>
    <t>KG6GV</t>
  </si>
  <si>
    <t>WOS:000510049700005</t>
  </si>
  <si>
    <t>Bokrantz, J; Skoogh, A</t>
  </si>
  <si>
    <t>Bokrantz, Jon; Skoogh, Anders</t>
  </si>
  <si>
    <t>Adoption patterns and performance implications of Smart Maintenance</t>
  </si>
  <si>
    <t>Maintenance; Manufacturing; Production; Performance; Configuration theory; Empirical taxonomy</t>
  </si>
  <si>
    <t>CONFIGURATIONS; MANAGEMENT; FUTURE; MODEL; BIAS</t>
  </si>
  <si>
    <t>To substantiate and extend emergent research on maintenance in digitalized manufacturing, we examine adoption patterns and performance implications of the four dimensions of Smart Maintenance: data-driven de-cision-making, human capital resource, internal integration, and external integration. Using data collected from 145 Swedish manufacturing plants, we apply a configurational approach to study how emergent patterns of Smart Maintenance are shaped and formed, as well as how the patterns are related to the operating environment and the performance of the manufacturing plant. Cluster analysis was used to develop an empirical taxonomy of Smart Maintenance, revealing four emergent patterns that reflect the strength and balance of the underlying dimensions. Canonical discriminant analysis indicated that the Smart Maintenance patterns are related to operating environments with a higher level of digitalization. The results from ANOVA and NCA showed the importance of a coordinated and joint Smart Maintenance implementation to the maintenance performance and productivity of the manufacturing plant. This study contributes to the literature on industrial maintenance by expanding and strengthening the theoretical and empirical foundation of Smart Maintenance, and it provides managerial advice for making strategic decisions about Smart Maintenance implementation.</t>
  </si>
  <si>
    <t>[Bokrantz, Jon; Skoogh, Anders] Chalmers Univ Technol, Dept Ind &amp; Mat Sci, Div Prod Syst, SE-41265 Gothenburg, Sweden</t>
  </si>
  <si>
    <t>Bokrantz, J (corresponding author), Chalmers Univ Technol, Dept Ind &amp; Mat Sci, Div Prod Syst, SE-41265 Gothenburg, Sweden.</t>
  </si>
  <si>
    <t>jon.bokrantz@chalmers.se; anders.skoogh@chalmers.se</t>
  </si>
  <si>
    <t>Skoogh, Anders/D-6242-2015; /N-7541-2015</t>
  </si>
  <si>
    <t>Skoogh, Anders/0000-0001-8519-0736; /0000-0003-4930-7786</t>
  </si>
  <si>
    <t>Swedish Agency for Innovation Systems; [2017-01652]</t>
  </si>
  <si>
    <t>Swedish Agency for Innovation Systems(Vinnova);</t>
  </si>
  <si>
    <t>Above all, we direct our gratitude towards the working professionals who devoted their time and interest to this study. They contributed to both the research design and the collection of data. We also thank Mukund Subramaniyan for his support during the quantitative data analysis. This work was supported by VINNOVA, Swedish Agency for Innovation Systems [grant number2017-01652] . This work has been performed within the Sustainable Production Initiative and the Production Area of Advance at Chalmers. The support is greatly appreciated.</t>
  </si>
  <si>
    <t>10.1016/j.ijpe.2022.108746</t>
  </si>
  <si>
    <t>7M5RL</t>
  </si>
  <si>
    <t>WOS:000906714200001</t>
  </si>
  <si>
    <t>Leu, SS; Fu, YL; Wu, PL</t>
  </si>
  <si>
    <t>Leu, Sou-Sen; Fu, Yen-Lin; Wu, Pei-Lin</t>
  </si>
  <si>
    <t>Dynamic civil facility degradation prediction for rare defects under imperfect maintenance</t>
  </si>
  <si>
    <t>System reliability; Imperfect maintenance; Hidden Markov chain; Poisson process; Particle filter; Sequential simulation</t>
  </si>
  <si>
    <t>HUMAN ERROR; LIFE PREDICTION; NEURAL-NETWORK; SYSTEMS; MODEL</t>
  </si>
  <si>
    <t>PurposeThis paper aims to develop a dynamic civil facility degradation prediction model to forecast the reliability performance tendency and remaining useful life under imperfect maintenance based on the inspection records and the maintenance actions.Design/methodology/approachA real-time hidden Markov chain (HMM) model is proposed in this paper to predict the reliability performance tendency and remaining useful life under imperfect maintenance based on rare failure events. The model assumes a Poisson arrival pattern for facility failure events occurrence. HMM is further adopted to establish the transmission probabilities among stages. Finally, the simulation inference is conducted using Particle filter (PF) to estimate the most probable model parameters. Water seals at the spillway hydraulic gate in a Taiwan's reservoir are used to examine the appropriateness of the approach.FindingsThe results of defect probabilities tendency from the real-time HMM model are highly consistent with the real defect trend pattern of civil facilities. The proposed facility degradation prediction model can provide the maintenance division with early warning of potential failure to establish a proper proactive maintenance plan, even under the condition of rare defects.Originality/valueThis model is a new method of civil facility degradation prediction under imperfect maintenance, even with rare failure events. It overcomes several limitations of classical failure pattern prediction approaches and can reliably simulate the occurrence of rare defects under imperfect maintenance and the effect of inspection reliability caused by human error. Based on the degradation trend pattern prediction, effective maintenance management plans can be practically implemented to minimize the frequency of the occurrence and the consequence of civil facility failures.</t>
  </si>
  <si>
    <t>[Leu, Sou-Sen; Fu, Yen-Lin] Natl Taiwan Univ Sci &amp; Technol, Taipei, Taiwan; [Wu, Pei-Lin] Natl Taiwan Univ Sci &amp; Technol, Dept Civil &amp; Construct Engn, Taipei, Taiwan</t>
  </si>
  <si>
    <t>National Taiwan University of Science &amp; Technology; National Taiwan University of Science &amp; Technology</t>
  </si>
  <si>
    <t>Leu, SS (corresponding author), Natl Taiwan Univ Sci &amp; Technol, Taipei, Taiwan.</t>
  </si>
  <si>
    <t>leuss@mail.ntust.edu.tw</t>
  </si>
  <si>
    <t>Wu, Peilin/0000-0003-4050-4185</t>
  </si>
  <si>
    <t>10.1108/JQME-01-2023-0001</t>
  </si>
  <si>
    <t>WOS:001080248400001</t>
  </si>
  <si>
    <t>Yu, T; Zhu, C; Chang, Q; Wang, JF</t>
  </si>
  <si>
    <t>Yu, Tian; Zhu, Cheng; Chang, Qing; Wang, Junfeng</t>
  </si>
  <si>
    <t>Imperfect corrective maintenance scheduling for energy efficient manufacturing systems through online task allocation method</t>
  </si>
  <si>
    <t>Real-time maintenance policy; Stochastic manufacturing system; Online task allocation; Energy consumption</t>
  </si>
  <si>
    <t>OPPORTUNISTIC MAINTENANCE; OPTIMIZATION</t>
  </si>
  <si>
    <t>Maintenance management is critical in enabling a smooth production operation in a manufacturing system. Once one machine fails, a corrective maintenance (CM) is required to resume its normal operation. However, perfect CM is not always needed to restore the failed machine as good as new. A Mull-level or imperfect CM is a more realistic and economic way based on the need of production operational levels. In addition, maintenance resources such as maintenance staffs are limited in reality. Therefore, how to dispatch the limited maintenance workforce with an appropriate level of CM is critical since it directly impacts the overall system's productivity, energy efficiency and cost. This paper aims at creating a real-time CM scheduling policy to reduce the overall maintenance and energy related cost for a stochastic serial production line. To accomplish the goal, the CM scheduling problem is formulated as an online task allocation (OTA) problem. The expected cost rate of the serial production line is introduced and used to define the payoff function of the OTA problem. A numerical case study is provided to evaluate the effectiveness of the OTA based maintenance policy by comparing with other heuristic policies.</t>
  </si>
  <si>
    <t>[Yu, Tian; Zhu, Cheng; Chang, Qing] Univ Virginia, Dept Mech &amp; Aerosp Engn, Charlottesville, VA 22904 USA; [Wang, Junfeng] Huazhong Univ Sci &amp; Technol, Dept Ind &amp; Mfg Syst Engn, Wuhan 430074, Hubei, Peoples R China</t>
  </si>
  <si>
    <t>University of Virginia; Huazhong University of Science &amp; Technology</t>
  </si>
  <si>
    <t>Chang, Q (corresponding author), Univ Virginia, Dept Mech &amp; Aerosp Engn, Charlottesville, VA 22904 USA.</t>
  </si>
  <si>
    <t>qc9nq@virginia.edu</t>
  </si>
  <si>
    <t>Chang, Qing/O-8787-2016</t>
  </si>
  <si>
    <t>Chang, Qing/0000-0003-3744-1371; Wang, Junfeng/0000-0003-2756-8803</t>
  </si>
  <si>
    <t>U.S. National Science Foundation (NSF) Grant [1351160, 1853454]; Directorate For Engineering; Div Of Civil, Mechanical, &amp; Manufact Inn [1351160] Funding Source: National Science Foundation</t>
  </si>
  <si>
    <t>U.S. National Science Foundation (NSF) Grant(National Science Foundation (NSF)); Directorate For Engineering; Div Of Civil, Mechanical, &amp; Manufact Inn(National Science Foundation (NSF)NSF - Directorate for Engineering (ENG))</t>
  </si>
  <si>
    <t>This work was supported by the U.S. National Science Foundation (NSF) Grant. 1351160 and 1853454.</t>
  </si>
  <si>
    <t>10.1016/j.jmsy.2019.11.002</t>
  </si>
  <si>
    <t>WOS:000500221000021</t>
  </si>
  <si>
    <t>Einabadi, B; Mahmoodjanloo, M; Baboli, A; Rother, E</t>
  </si>
  <si>
    <t>Einabadi, Behnam; Mahmoodjanloo, Mehdi; Baboli, Armand; Rother, Eva</t>
  </si>
  <si>
    <t>Dynamic predictive and preventive maintenance planning with failure risk and opportunistic grouping considerations: A case study in the automotive industry</t>
  </si>
  <si>
    <t>Maintenance planning; Mathematical optimization; Predictive maintenance; Opportunistic maintenance; Industry 4; 0</t>
  </si>
  <si>
    <t>FAULT-DIAGNOSIS; MACHINERY; SYSTEMS; PROGNOSTICS; MODEL</t>
  </si>
  <si>
    <t>Recently, the Predictive Maintenance (PdM) concept has gotten increasing attention in industrial practices and academic research. It is often used with real-time data to monitor the health status, or in the best case, estimate the Remaining Useful Life (RUL) of certain components. Apart from the technical and economic challenges of data acquisition and RUL calculation, estimating RUL is not the final goal in a maintenance management system. As in industry, there are other types of maintenance activities, industrial constraints, and complexities that should be managed together to define overall maintenance planning. In this paper, a simultaneous PdM and Preventive Maintenance (PvM) planning problem of multi-machine and multi-component systems is studied. In this context, a mathematical programming model is proposed to minimize direct and indirect maintenance costs, considering opportunistic grouping of maintenance activities, unused life losses of spare parts, and breakdown costs related to failure risk. To validate the proposed method, a case study from the automotive industry (FPT Powertrain Technologies) is used, and a comprehensive sensitivity analysis is provided. The results indicate that consideration of the mentioned aspects could significantly impact maintenance planning and overall maintenance costs. Finally, the applicability of the proposed approach is discussed in managerial insights.</t>
  </si>
  <si>
    <t>[Einabadi, Behnam; Mahmoodjanloo, Mehdi; Baboli, Armand] INSA Lyon, LIRIS Lab, UMR 5205 CNRS, F-69621 Villeurbanne, France; [Einabadi, Behnam; Rother, Eva] FPT Powertrain Technol, F-71140 Bourbon Lancy, France</t>
  </si>
  <si>
    <t>Institut National des Sciences Appliquees de Lyon - INSA Lyon</t>
  </si>
  <si>
    <t>Baboli, A (corresponding author), INSA Lyon, LIRIS Lab, UMR 5205 CNRS, F-69621 Villeurbanne, France.</t>
  </si>
  <si>
    <t>armand.baboli@insa-lyon.fr</t>
  </si>
  <si>
    <t>Baboli, Armand/A-5221-2015; Mahmoodjanloo, Mehdi/AAM-6595-2021; Rother, Eva/AAM-6713-2021</t>
  </si>
  <si>
    <t>EINABADI, Behnam/0000-0003-2775-5860; Mahmoodjanloo, Mehdi/0000-0003-0928-5834</t>
  </si>
  <si>
    <t>10.1016/j.jmsy.2023.06.012</t>
  </si>
  <si>
    <t>N4RT8</t>
  </si>
  <si>
    <t>WOS:001036910300001</t>
  </si>
  <si>
    <t>Dui, HY; Wu, SM; Zhao, JB</t>
  </si>
  <si>
    <t>Dui, Hongyan; Wu, Shaomin; Zhao, Jiangbin</t>
  </si>
  <si>
    <t>Some extensions of the component maintenance priority</t>
  </si>
  <si>
    <t>Multistate system; System performance; Importance measure; Maintenance policy</t>
  </si>
  <si>
    <t>INTEGRATED IMPORTANCE MEASURE; BIRNBAUM IMPORTANCE; JOINT IMPORTANCE; SYSTEM; EVENTS</t>
  </si>
  <si>
    <t>If a component in a binary system fails, preventive maintenance (PM) on other components may be conducted while the failed component is being repaired. This raises a question on which components should be selected for PM if maintenance resource is limited. The question can be answered by using the component maintenance priority (CMP) to prioritise components for PM. This paper extends the definition of the CMP to the cases of multi-state systems, continuum systems and non-coherent systems, respectively. It investigates the applications of the proposed measures for multi-state systems in optimisation of maintenance policies and proposes algorithms to minimise maintenance cost. A case study is used to instantiate the validity of the proposed measures.</t>
  </si>
  <si>
    <t>[Dui, Hongyan] Zhengzhou Univ, Sch Management Engn, Zhengzhou 450001, Peoples R China; [Wu, Shaomin] Univ Kent, Kent Business Sch, Canterbury CT2 7FS, Kent, England; [Zhao, Jiangbin] Northwestern Polytech Univ, Sch Mech Engn, Xian 710072, Peoples R China</t>
  </si>
  <si>
    <t>Zhengzhou University; University of Kent; Northwestern Polytechnical University</t>
  </si>
  <si>
    <t>Wu, SM (corresponding author), Univ Kent, Kent Business Sch, Canterbury CT2 7FS, Kent, England.</t>
  </si>
  <si>
    <t>s.m.wu@kent.ac.uk</t>
  </si>
  <si>
    <t>Zhao, Jiangbin/V-5405-2019; Wu, Shaomin/A-1940-2010</t>
  </si>
  <si>
    <t>Zhao, Jiangbin/0000-0002-3034-6710; Dui, Hongyan/0000-0002-2277-6454; Wu, Shaomin/0000-0001-9786-3213</t>
  </si>
  <si>
    <t>National Natural Science Foundation of China [U1904211, 72071182]; ministry of education's humanities and social sciences planning fund [20YJA630012]; ESRC [ES/L011859/1]</t>
  </si>
  <si>
    <t>National Natural Science Foundation of China(National Natural Science Foundation of China (NSFC)); ministry of education's humanities and social sciences planning fund; ESRC(UK Research &amp; Innovation (UKRI)Economic &amp; Social Research Council (ESRC))</t>
  </si>
  <si>
    <t>This work was supported by the National Natural Science Foundation of China (Nos. U1904211, 72071182), the ministry of education's humanities and social sciences planning fund (No. 20YJA630012) and the ESRC Grant Award Reference ES/L011859/1 Smart Data Analytics for Business and Local Government.</t>
  </si>
  <si>
    <t>10.1016/j.ress.2021.107729</t>
  </si>
  <si>
    <t>WOS:000663912500022</t>
  </si>
  <si>
    <t>Eriksen, S; Utne, IB; Lützen, M</t>
  </si>
  <si>
    <t>Eriksen, Stig; Utne, Ingrid Bouwer; Luetzen, Marie</t>
  </si>
  <si>
    <t>An RCM approach for assessing reliability challenges and maintenance needs of unmanned cargo ships</t>
  </si>
  <si>
    <t>Unmanned ships; Maintenance; Reliability centered maintenance; Reliability; Autonomous Ships</t>
  </si>
  <si>
    <t>Unmanned autonomous cargo ships may change the maritime industry, but there are issues regarding reliability and maintenance of machinery equipment that are yet to be solved. This article examines the applicability of the Reliability Centred Maintenance (RCM) method for assessing maintenance needs and reliability issues on unmanned cargo ships. The analysis shows that the RCM method is generally applicable to the examination of reliability and maintenance issues on unmanned ships, but there are also important limitations. The RCM method lacks a systematic process for evaluating the effects of preventive versus corrective maintenance measures. The method also lacks a procedure to ensure that the effect of the length of the unmanned voyage in the development of potential failures in machinery systems is included. Amendments to the RCM method are proposed to address these limitations, and the amended method is used to analyse a machinery system for two operational situations: one where the vessel is conventionally manned and one where it is unmanned. There are minor differences in the probability of failures between manned and unmanned operation, but the major challenge relating to risk and reliability of unmanned cargo ships is the severely restricted possibilities for performing corrective maintenance actions at sea.</t>
  </si>
  <si>
    <t>[Eriksen, Stig; Luetzen, Marie] Univ So Denmark, Dept Mech &amp; Elect Engn, Campusvej 55, DK-5230 Odense M, Denmark; [Eriksen, Stig] Svendborg Int Maritime Acad, Graaesvej 27, DK-5700 Svendborg, Denmark; [Utne, Ingrid Bouwer] NTNU, Dept Marine Technol, Otto Nielsens Veg 10, N-7491 Trondheim, Norway</t>
  </si>
  <si>
    <t>University of Southern Denmark; Norwegian University of Science &amp; Technology (NTNU)</t>
  </si>
  <si>
    <t>Eriksen, S (corresponding author), Univ So Denmark, Dept Mech &amp; Elect Engn, Campusvej 55, DK-5230 Odense M, Denmark.;Eriksen, S (corresponding author), Svendborg Int Maritime Acad, Graaesvej 27, DK-5700 Svendborg, Denmark.</t>
  </si>
  <si>
    <t>ser@iti.sdu.dk</t>
  </si>
  <si>
    <t>Utne, Ingrid/B-7405-2011; Lützen, Marie/AAJ-3567-2021; Lutzen, Marie/Y-4260-2018</t>
  </si>
  <si>
    <t>Eriksen, Stig/0000-0002-5914-6392; Lutzen, Marie/0000-0002-6036-5234</t>
  </si>
  <si>
    <t>Norwegian Research Council [280655]; Danish Maritime Fund; Lauritzen Fonden; A/S D/S Orient's Fond; Svendborg International Maritime Academy</t>
  </si>
  <si>
    <t>Norwegian Research Council(Research Council of Norway); Danish Maritime Fund; Lauritzen Fonden; A/S D/S Orient's Fond; Svendborg International Maritime Academy</t>
  </si>
  <si>
    <t>S This work has been carried out in affiliation with the Online Risk Management and Risk Control for Autonomous Ships (ORCAS) project. The Norwegian Research Council is acknowledged as the main sponsor of project number 280655. The authors are grateful for both the system details received from Kongsberg Maritime and the invaluable input of the working group during the analysis. Also, a special thanks to Lauritzen Kosan for supplying and allowing the publication of the maintenance data used in this paper. This work has been generously funded by the Danish Maritime Fund, Lauritzen Fonden, A/S D/S Orient's Fond and Svendborg International Maritime Academy.</t>
  </si>
  <si>
    <t>10.1016/j.ress.2021.107550</t>
  </si>
  <si>
    <t>WOS:000663909400046</t>
  </si>
  <si>
    <t>Zhang, YD; Wang, SP; Zio, E; Zhang, C; Dui, HY; Chen, RT</t>
  </si>
  <si>
    <t>Zhang, Yadong; Wang, Shaoping; Zio, Enrico; Zhang, Chao; Dui, Hongyan; Chen, Rentong</t>
  </si>
  <si>
    <t>Multi-objective maintenance strategy for complex systems considering the maintenance uncertain impact by adaptive multi-strategy particle swarm optimization</t>
  </si>
  <si>
    <t>Maintenance; Uncertainty; Multi-objective optimization; Pareto solution optimization</t>
  </si>
  <si>
    <t>Effective maintenance optimization strategies are crucial for improving the complex equipment reliability and reducing the maintenance costs. However, the effectiveness of the maintenance procedures applied to industrial equipment is affected by uncertainty, e.g. due to the professional skills of maintenance personnel, the actual condition of the equipment being maintained. The quantification of the uncertainty on the effect of maintenance has practical significance and must be accounted in the development of maintenance strategies for reducing equipment probability of failure. This paper proposes a multi-objective maintenance strategy considering the uncertain impact of the maintenance actions. The impact of maintenance actions on the reliability of components is first studied and a reliability assessment model is developed, which considers the skill of maintenance personnel and the actual condition of the equipment. To optimize the multi-objective maintenance strategy, a multi-strategy particle swarm optimization (MS-PSO) algorithm is proposed. Two case studies are considered to verify the effectiveness of the proposed approach for multi-objective maintenance strategy optimization. In the case studies considered, it turns out that the maintenance cost rate (MCR) is reduced throughout the system life cycle and the cumulative availability is improved.</t>
  </si>
  <si>
    <t>[Zhang, Yadong; Wang, Shaoping; Zhang, Chao; Chen, Rentong] Beihang Univ, Sch Automat Sci &amp; Elect Engn, Beijing 100191, Peoples R China; [Zhang, Yadong; Zio, Enrico; Chen, Rentong] Politecn Milan, Energy Dept, Via Masa 34, I-20156 Milan, Italy; [Zhang, Chao] Beihang Univ, Res Inst Frontier Sci, Beijing 100191, Peoples R China; [Wang, Shaoping; Zhang, Chao] Beihang Univ, Ningbo Inst Technol, Ningbo 315800, Peoples R China; [Zio, Enrico] PSL Res Univ, MINES ParisTech, CRC, Sophia Antipolis, France; [Dui, Hongyan] Zhengzhou Univ, Sch Management Engn, Zhengzhou 450001, Peoples R China</t>
  </si>
  <si>
    <t>Beihang University; Polytechnic University of Milan; Beihang University; Beihang University; Universite PSL; MINES ParisTech; Zhengzhou University</t>
  </si>
  <si>
    <t>Zhang, C (corresponding author), Beihang Univ, Sch Automat Sci &amp; Elect Engn, Beijing 100191, Peoples R China.;Zhang, C (corresponding author), Beihang Univ, Res Inst Frontier Sci, Beijing 100191, Peoples R China.;Zhang, C (corresponding author), Beihang Univ, Ningbo Inst Technol, Ningbo 315800, Peoples R China.</t>
  </si>
  <si>
    <t>Chen, Rentong/KLC-2034-2024; Zhang, Dong/LFT-0590-2024</t>
  </si>
  <si>
    <t>ZHANG, Yadong/0000-0003-0133-9009</t>
  </si>
  <si>
    <t>National Natural Science Foundation of China [U2233212, 52375036]; China Scholarship Council [202306020133]</t>
  </si>
  <si>
    <t>National Natural Science Foundation of China(National Natural Science Foundation of China (NSFC)); China Scholarship Council(China Scholarship Council)</t>
  </si>
  <si>
    <t>The authors would like to express their gratitude for the financial support of the National Natural Science Foundation of China (Grant No. U2233212, 52375036) and the program of China Scholarship Council (No. 202306020133) .</t>
  </si>
  <si>
    <t>10.1016/j.ress.2024.110671</t>
  </si>
  <si>
    <t>O8T5T</t>
  </si>
  <si>
    <t>WOS:001373787100001</t>
  </si>
  <si>
    <t>Qarahasanlou, AN; Barabadi, A; Ataei, M; Einian, V</t>
  </si>
  <si>
    <t>Qarahasanlou, Ali Nouri; Barabadi, Abbas; Ataei, Mohammad; Einian, Vahid</t>
  </si>
  <si>
    <t>Spare part requirement prediction under different maintenance strategies</t>
  </si>
  <si>
    <t>INTERNATIONAL JOURNAL OF MINING RECLAMATION AND ENVIRONMENT</t>
  </si>
  <si>
    <t>Spare part; reliability; operating environment; maintenance; proportional hazard model</t>
  </si>
  <si>
    <t>OPERATING ENVIRONMENT; RELIABILITY; SELECTION; MODELS; SYSTEM</t>
  </si>
  <si>
    <t>Maintenance cost is a significant part of production costs. Hence, logistics and spare part management should be considered early in the design and operational phase. The reliability characteristic of the item can be used effectively to spare part prediction (SPP). In mining industries, the reliability characteristic can be affected significantly by the operational conditions. In this study, to have an accurate SPP, covariate-based reliability models have been used to estimate the required number of tire spare parts for a dump truck fleet. The outputs represent a significant difference in the required spare parts' management, when considering and ignoring covariates.</t>
  </si>
  <si>
    <t>[Qarahasanlou, Ali Nouri; Ataei, Mohammad] Shahrood Univ Technol, Fac Min Petr &amp; Geophys, Shahrood, Iran; [Barabadi, Abbas] UiT Arctic Univ Norway, Dept Engn &amp; Safety, Tromso, Norway; [Einian, Vahid] Urmia Univ, Min Engn, Orumiyeh, Iran</t>
  </si>
  <si>
    <t>Shahrood University of Technology; UiT The Arctic University of Tromso; Urmia University</t>
  </si>
  <si>
    <t>Qarahasanlou, AN (corresponding author), Shahrood Univ Technol, Fac Min Petr &amp; Geophys, Shahrood, Iran.</t>
  </si>
  <si>
    <t>Ali_Nouri@Shahroodut.ac.ir</t>
  </si>
  <si>
    <t>Qarahasanlou, Ali/AAE-4916-2019</t>
  </si>
  <si>
    <t>Ataei, Mohammad/0000-0002-7016-8170; Nouri Qarahasanlou, Ali/0000-0003-1302-7176</t>
  </si>
  <si>
    <t>1748-0930</t>
  </si>
  <si>
    <t>1748-0949</t>
  </si>
  <si>
    <t>INT J MIN RECLAM ENV</t>
  </si>
  <si>
    <t>Int. J. Min. Reclam. Environ.</t>
  </si>
  <si>
    <t>APR 3</t>
  </si>
  <si>
    <t>10.1080/17480930.2017.1373883</t>
  </si>
  <si>
    <t>Environmental Sciences; Mining &amp; Mineral Processing</t>
  </si>
  <si>
    <t>Environmental Sciences &amp; Ecology; Mining &amp; Mineral Processing</t>
  </si>
  <si>
    <t>HK9QC</t>
  </si>
  <si>
    <t>WOS:000458325600002</t>
  </si>
  <si>
    <t>Zhang, N; Tian, S; Cai, KQ; Zhang, J</t>
  </si>
  <si>
    <t>Zhang, Nan; Tian, Sen; Cai, Kaiquan; Zhang, Jun</t>
  </si>
  <si>
    <t>Condition-based maintenance assessment for a deteriorating system considering stochastic failure dependence</t>
  </si>
  <si>
    <t>Maintenance; condition-based maintenance; failure dependence; multiple degradation processes; Markov decision process</t>
  </si>
  <si>
    <t>OPTIMAL SELECTIVE MAINTENANCE; INVERSE GAUSSIAN PROCESS; OF-N SYSTEMS; MULTICOMPONENT SYSTEMS; RELIABILITY-ANALYSIS; DEGRADATION; SUBJECT; POLICY; INSPECTION; MODEL</t>
  </si>
  <si>
    <t>In this article, the condition-based maintenance optimization of a K-out-of-N deteriorating system considering failure dependence is discussed. The degradation of each component is modelled by a pure jump levy process. Whenever one component fails, it can either induce instantaneous failures or lead to the increment of degradation levels of other components. Thus, this model has the flexibility to describe the phenomena of instantaneous failures of multiple components, which is known as the common cause failure. It can also model the accumulative, gradual propagation effect of the component failure to the system. A periodic inspection policy is considered to reveal the real state of the system, upon which, possible maintenance actions can be carried out according to the observations. The inspection and maintenance problem is formulated as a Markov decision process and the value iteration algorithm is employed to solve the problem. The proposed policy is assessed by the total expected discounted cost in the long-run horizon. Under mild conditions, some structural properties of the optimal maintenance policies are obtained. A numerical example is given to illustrate the applicability of the proposed model. It can provide theoretical reference for the decision-maker when developing maintenance policies.</t>
  </si>
  <si>
    <t>[Zhang, Nan; Tian, Sen] Beijing Inst Technol, Sch Management &amp; Econ, Beijing, Peoples R China; [Cai, Kaiquan] Beihang Univ, Sch Elect &amp; Informat Engn, Beijing, Peoples R China; [Zhang, Jun] Beijing Inst Technol, Adv Res Inst Multidisciplinary Sci, Beijing, Peoples R China</t>
  </si>
  <si>
    <t>Beijing Institute of Technology; Beihang University; Beijing Institute of Technology</t>
  </si>
  <si>
    <t>Cai, KQ (corresponding author), Beihang Univ, Sch Elect &amp; Informat Engn, Beijing, Peoples R China.</t>
  </si>
  <si>
    <t>caikq@buaa.edu.cn</t>
  </si>
  <si>
    <t>zhang, jiliang/N-5659-2015; Cai, Kaiquan/ADM-6168-2022</t>
  </si>
  <si>
    <t>National Natural Science Foundation of China [71901026, U2133210]; Outstanding Youth Fund of the National Science Foundation of China [61822102]</t>
  </si>
  <si>
    <t>National Natural Science Foundation of China(National Natural Science Foundation of China (NSFC)); Outstanding Youth Fund of the National Science Foundation of China</t>
  </si>
  <si>
    <t>The authors acknowledge the generous support from the National Natural Science Foundation of China (No. 71901026, No. U2133210), the Outstanding Youth Fund of the National Science Foundation of China (No. 61822102).</t>
  </si>
  <si>
    <t>JUL 3</t>
  </si>
  <si>
    <t>10.1080/24725854.2022.2078523</t>
  </si>
  <si>
    <t>D8QD0</t>
  </si>
  <si>
    <t>WOS:000821768900001</t>
  </si>
  <si>
    <t>Gholami, J; Razavi, A; Ghaffarpour, R</t>
  </si>
  <si>
    <t>Gholami, Javad; Razavi, Ahmad; Ghaffarpour, Reza</t>
  </si>
  <si>
    <t>Decision-making regarding the best maintenance strategy for electrical equipment of buildings based on fuzzy analytic hierarchy process; case study: elevator</t>
  </si>
  <si>
    <t>Condition monitoring; Corrective maintenance; Decision-making framework; Fuzzy inference systems; Maintenance strategy selection (MSS); Multiple-criteria decision-making (MCDM)</t>
  </si>
  <si>
    <t>SELECT OPTIMUM MAINTENANCE; AHP; LINGUISTICS; MANAGEMENT</t>
  </si>
  <si>
    <t>Purpose The purpose of this paper is to propose the best method of maintenance for electrical equipment of a building and especially elevators in order to achieve various benefits. Design/methodology/approach Literature review shows that there are various methods such as corrective maintenance, condition-based maintenance, time-based maintenance and reliability-centered maintenance (RCM) for the maintenance of electrical equipment of a building. Selecting the most appropriate maintenance method, especially in large buildings such as commercial ones, is a multiple-criteria decision-making problem. To solve this problem, the fuzzy analytic hierarchy process is used in the present study. It considers the uncertainties of the experts' judgments to provide an optimized maintenance method. Findings Theoretically, the RCM method will take a lot of time and cost. But in prioritizing the methods, RCM gained more points with regard to safety criteria and value added. The main finding of this study suggests that RCM can be used in the case of elevators and would improve the safety and reliability of buildings. Originality/value The authors believe that this study will be valuable because one of the problems in building maintenance complexes is the lack of knowledge about the best method to prevent the risks of elevators. The proposed method has compared with other methods in various sub-criteria, and the results have been fully analyzed.</t>
  </si>
  <si>
    <t>[Gholami, Javad] Iran Univ Sci &amp; Technol, Sch Mech Engn, Tehran, Iran; [Razavi, Ahmad] Imam Hossein Comprehens Univ, Dept Ind Engn, Tehran, Iran; [Ghaffarpour, Reza] Imam Hossein Comprehens Univ, Dept Elect Engn, Tehran, Iran</t>
  </si>
  <si>
    <t>Gholami, J (corresponding author), Iran Univ Sci &amp; Technol, Sch Mech Engn, Tehran, Iran.</t>
  </si>
  <si>
    <t>javadgholami@mecheng.iust.ac.ir</t>
  </si>
  <si>
    <t>Gholami, Javad/0000-0001-9527-8555</t>
  </si>
  <si>
    <t>10.1108/JQME-03-2020-0015</t>
  </si>
  <si>
    <t>WOS:000670007200001</t>
  </si>
  <si>
    <t>Mohril, RS; Solanki, BS; Kulkarni, MS; Lad, BK</t>
  </si>
  <si>
    <t>Mohril, Ram S.; Solanki, Bhupendra S.; Kulkarni, Makarand S.; Lad, Bhupesh K.</t>
  </si>
  <si>
    <t>XGBoost based residual life prediction in the presence of human error in maintenance</t>
  </si>
  <si>
    <t>Human error in maintenance; Residual life prediction; XGBoost</t>
  </si>
  <si>
    <t>RELIABILITY; SYSTEMS; MODEL</t>
  </si>
  <si>
    <t>Accurate maintenance decision making is essential for organizations like military and aviation. Immensely demanding situations like limited time availability for maintenance in strenuous conditions escalate the possibility of human errors in maintaining such equipment. Human errors in maintenance negatively impact the life of the systems. Human Reliability Analysis methodologies have evolved to systematically quantify the human error in terms of Human Error Probability. However, the exact effect of human error on every component's life is unknown yet. In the presence of the diverse operating profiles for equipment, estimating such effects becomes a complex and mathematically challenging problem to be handled by conventional statistical techniques. This paper presents a machine learning approach to estimate the residual life of a component by incorporating the effect of human error in maintenance. Based on the nature of the maintenance data, a gradient boosting ensemble model (XGBoost) is developed, which predicts the residual life of the component while considering error induced by maintenance personnel during its maintenance. The model recommends the maintenance decision considering the predicted residual life and the user-defined future mission profile. Additionally, provision is made to capture the stochastic future operating profile. The developed model effectively handles the uncertainties and variabilities in expected future mission profiles and the correlation of multiple influencing parameters without increasing mathematical complexity. The developed model is illustrated in the decision making of replacement of a component in a mission-critical military system in pre-mission maintenance break. From the perspective of managerial implications, some of the key findings from numerical experiments on the developed model are presented.</t>
  </si>
  <si>
    <t>[Mohril, Ram S.; Lad, Bhupesh K.] Indian Inst Technol Indore, Dept Mech Engn, Indore, Madhya Pradesh, India; [Solanki, Bhupendra S.; Kulkarni, Makarand S.] Indian Inst Technol, Dept Mech Engn, Mumbai, Maharashtra, India</t>
  </si>
  <si>
    <t>Indian Institute of Technology System (IIT System); Indian Institute of Technology (IIT) - Indore; Indian Institute of Technology System (IIT System); Indian Institute of Technology (IIT) - Bombay</t>
  </si>
  <si>
    <t>Mohril, RS (corresponding author), Indian Inst Technol Indore, Dept Mech Engn, Indore, Madhya Pradesh, India.</t>
  </si>
  <si>
    <t>phd1801203004@iiti.ac.in</t>
  </si>
  <si>
    <t>Royal Academy of Engineering, London [IAPP18-19/31]</t>
  </si>
  <si>
    <t>Royal Academy of Engineering, London</t>
  </si>
  <si>
    <t>The authors are thankful to the organizing committee of 4th IFAC workshop on Advanced Maintenance Engineering, Services and Technologies (AMEST) 2020, for inviting this article to the topical collection on 'Applications of Machine Learning in Maintenance Engineering and Management'. Authors also acknowledge the support by the project-IAPP18-19/31 funded by Royal Academy of Engineering, London.</t>
  </si>
  <si>
    <t>10.1007/s00521-022-07216-2</t>
  </si>
  <si>
    <t>8K3TD</t>
  </si>
  <si>
    <t>WOS:000789750600004</t>
  </si>
  <si>
    <t>Diaz, K; Kammoun, MA; Hajej, Z; Sefiani, N; Milazzo, MF</t>
  </si>
  <si>
    <t>Diaz, Kamar; Kammoun, Mohamed Ali; Hajej, Zied; Sefiani, Naoufal; Milazzo, Maria Francesca</t>
  </si>
  <si>
    <t>Joint production, transportation, and maintenance in downstream fuel supply chain</t>
  </si>
  <si>
    <t>Production; maintenance; transportation; fuel supply chain; failure rate; storage tank; production rate; service level</t>
  </si>
  <si>
    <t>MANAGEMENT; POLICY; OIL</t>
  </si>
  <si>
    <t>This paper presents an integrated production, maintenance, and transportation strategy for a multi-site, multi-demand, multi-tank fuel production system. Firstly, each site's economic fuel production plan is developed under a random demand and service level. Then, a transportation plan is proposed to collaborate between sites in case of unavailability site or unmet needs, minimizing the total cost. According to the correlation between production and maintenance, a periodically preventive maintenance strategy is developed for both refining machines and storage tanks, while minimizing the incurred costs by considering the influence of fuel production rate on their failure rates. Additionally, in this study, experimental tests are performed on an industrial tank, based on the real-life case of fuel companies, to investigate the tanks' degradation due to corrosion phenomena. The resolution complexity of the analytical model arises from its stochastic nature due to random demands. Hence, a transformation to a deterministic form is performed. Numerical examples and a sensitivity study are presented to illustrate the effectiveness of the proposed methodology and the obtained results.</t>
  </si>
  <si>
    <t>[Diaz, Kamar; Kammoun, Mohamed Ali; Hajej, Zied] Univ Lorraine, Comp Engn Prod &amp; Maintenance Lab, Metz, France; [Diaz, Kamar; Sefiani, Naoufal] Univ Abdelmalek Essaadi, Dept Mech, Tangier, Morocco; [Milazzo, Maria Francesca] Univ Messina, Dept Engn, Messina, Italy; [Diaz, Kamar] Univ Lorraine, Comp Engn Prod &amp; Maintenance Lab, 3 Rue Augustin Fresnel, F-57012 Metz, France</t>
  </si>
  <si>
    <t>Universite de Lorraine; Abdelmalek Essaadi University of Tetouan; University of Messina; Universite de Lorraine</t>
  </si>
  <si>
    <t>Diaz, K (corresponding author), Univ Lorraine, Comp Engn Prod &amp; Maintenance Lab, 3 Rue Augustin Fresnel, F-57012 Metz, France.</t>
  </si>
  <si>
    <t>kamar.diaz@univ-lorraine.fr</t>
  </si>
  <si>
    <t>hajej, zied/R-4619-2019; Milazzo, Maria/I-3161-2012</t>
  </si>
  <si>
    <t>hajej, zied/0000-0001-6604-0193</t>
  </si>
  <si>
    <t>2024 FEB 18</t>
  </si>
  <si>
    <t>10.1177/1748006X241229518</t>
  </si>
  <si>
    <t>FEB 2024</t>
  </si>
  <si>
    <t>IH2Y0</t>
  </si>
  <si>
    <t>WOS:001165383300001</t>
  </si>
  <si>
    <t>Liu, T; Shi, ZB; Dong, HF; Bai, J; Yan, Y</t>
  </si>
  <si>
    <t>Liu, Tao; Shi, Zhibo; Dong, Huifen; Bai, Jie; Yan, Yu</t>
  </si>
  <si>
    <t>Risk evaluation for the task transfer of an aircraft maintenance program based on a multielement connection number</t>
  </si>
  <si>
    <t>FRONTIERS OF ENGINEERING MANAGEMENT</t>
  </si>
  <si>
    <t>risk evaluation; maintenance steering group; analytic network process; task transfer; maintenance program</t>
  </si>
  <si>
    <t>SET PAIR ANALYSIS; AVIATION MAINTENANCE; FRAMEWORK</t>
  </si>
  <si>
    <t>This paper proposes a framework for evaluating the efficacy and suitability of maintenance programs with a focus on quantitative risk assessment in the domain of aircraft maintenance task transfer. The analysis is anchored in the principles of Maintenance Steering Group-3 (MSG-3) logic decision paradigms. The paper advances a holistic risk assessment index architecture tailored for the task transfer of maintenance programs. Utilizing the analytic network process (ANP), the study quantifies the weight interrelationships among diverse variables, incorporating expert-elicited subjective weighting. A multielement connection number-based evaluative model is employed to characterize decision-specific data, thereby facilitating the quantification of task transfer-associated risk through the appraisal of set-pair potentials. Moreover, the paper conducts a temporal risk trend analysis founded on partial connection numbers of varying orders. This analytical construct serves to streamline the process of risk assessment pertinent to maintenance program task transfer. The empirical component of this research, exemplified through a case study of the Boeing 737NG aircraft maintenance program, corroborates the methodological robustness and pragmatic applicability of the proposed framework in the quantification and analysis of mission transfer risk.</t>
  </si>
  <si>
    <t>[Liu, Tao; Shi, Zhibo; Dong, Huifen; Yan, Yu] Civil Aviat Univ China, Coll Elect Informat &amp; Automat, Tianjin 300300, Peoples R China; [Bai, Jie] Civil Aviat Univ China, Coll Airworthiness, Tianjin 300300, Peoples R China</t>
  </si>
  <si>
    <t>Civil Aviation University of China; Civil Aviation University of China</t>
  </si>
  <si>
    <t>Shi, ZB (corresponding author), Civil Aviat Univ China, Coll Elect Informat &amp; Automat, Tianjin 300300, Peoples R China.</t>
  </si>
  <si>
    <t>zb-shi@cauc.edu.cn</t>
  </si>
  <si>
    <t>yan, yu/KYL-9861-2024; Liu, Tao/AIA-7232-2022</t>
  </si>
  <si>
    <t>Civil Aviation Administration of China (CAAC) Safety Capability Building Fund [AADSA2019009]; Fundamental Research Funds of Central Universities [3122022060]</t>
  </si>
  <si>
    <t>Civil Aviation Administration of China (CAAC) Safety Capability Building Fund; Fundamental Research Funds of Central Universities</t>
  </si>
  <si>
    <t>This research was supported by the Civil Aviation Administration of China (CAAC) Safety Capability Building Fund (Grant No.AADSA2019009) and the Fundamental Research Funds of Central Universities (Grant No. 3122022060).</t>
  </si>
  <si>
    <t>HIGHER EDUCATION PRESS</t>
  </si>
  <si>
    <t>BEIJING</t>
  </si>
  <si>
    <t>CHAOYANG DIST, 4, HUIXINDONGJIE, FUSHENG BLDG, BEIJING 100029, PEOPLES R CHINA</t>
  </si>
  <si>
    <t>2095-7513</t>
  </si>
  <si>
    <t>2096-0255</t>
  </si>
  <si>
    <t>FRONT ENG MANAG</t>
  </si>
  <si>
    <t>Front. Eng. Manag.</t>
  </si>
  <si>
    <t>10.1007/s42524-023-0282-0</t>
  </si>
  <si>
    <t>LI9F0</t>
  </si>
  <si>
    <t>WOS:001132118900002</t>
  </si>
  <si>
    <t>Allaham, H; Dalalah, D</t>
  </si>
  <si>
    <t>Allaham, Hamed; Dalalah, Doraid</t>
  </si>
  <si>
    <t>MILP of multitask scheduling of geographically distributed maintenance tasks</t>
  </si>
  <si>
    <t>INTERNATIONAL JOURNAL OF INDUSTRIAL ENGINEERING COMPUTATIONS</t>
  </si>
  <si>
    <t>Maintenance; Scheduling; Routing; Task Assignment; Utilization</t>
  </si>
  <si>
    <t>OPTIMIZATION; SYSTEMS; MODELS</t>
  </si>
  <si>
    <t>Due to its proactive impact on the serviceability of components in a system, preventive maintenance plays an important role particularly in systems of geographically spread infrastructure such as utilities networks in commercial buildings. What makes such systems differ from the classical schemes is the routing and technicians' travel times. Besides, maintenance in commercial buildings is characterized by its short tasks' durations and spatial distribution within and between different buildings, a class of problems that has not been suitably investigated. Although it is not trivial to assign particular duties solely to multi-skilled teams under limited time and capacity constraints, the problem becomes more challenging when travel routes, durations and service levels are considered during the execution of the daily maintenance tasks. To address this problem, we propose a Mixed Integer Linear Programming Model that considers the above settings. The model exact solution recommends collaborative choices that include the number of maintenance teams, the selected tasks, routes, tasks schedules, all detailed to days and teams. The model will reduce the cost of labor, replacement parts, penalties on service levels and travel time. The optimization model has been tested using different maintenance scenarios taken from a real maintenance provider in the UAE. Using CPLEX solver, the findings demonstrate an inspiring time utilization, schedules of minimal routing and high service levels using a minimum number of teams. Different travel speeds of diverse assortment of tasks, durations and cost settings have been tested for further sensitivity analysis. (c) 2022 by the authors; licensee Growing Science, Canada</t>
  </si>
  <si>
    <t>[Allaham, Hamed; Dalalah, Doraid] Univ Sharjah, Ind Engn &amp; Engn Management, Sharjah, U Arab Emirates; [Dalalah, Doraid] Jordan Univ Sci &amp; Technol, Ind Engn, Irbid, Jordan</t>
  </si>
  <si>
    <t>University of Sharjah; Jordan University of Science &amp; Technology</t>
  </si>
  <si>
    <t>Allaham, H (corresponding author), Univ Sharjah, Ind Engn &amp; Engn Management, Sharjah, U Arab Emirates.</t>
  </si>
  <si>
    <t>u16200784@sharjah.ac.ae</t>
  </si>
  <si>
    <t>Dalalah, Doraid/AAP-2756-2020</t>
  </si>
  <si>
    <t>Dalalah, Doraid/0000-0002-0055-3508</t>
  </si>
  <si>
    <t>GROWING SCIENCE</t>
  </si>
  <si>
    <t>TORONTO</t>
  </si>
  <si>
    <t>611, 141 DAVISVILLE AVE, TORONTO, ON M4S 1G7, CANADA</t>
  </si>
  <si>
    <t>1923-2926</t>
  </si>
  <si>
    <t>1923-2934</t>
  </si>
  <si>
    <t>INT J IND ENG COMP</t>
  </si>
  <si>
    <t>Int. J. Ind. Eng. Comput.</t>
  </si>
  <si>
    <t>WIN</t>
  </si>
  <si>
    <t>10.5267/j.ijiec.2021.7.001</t>
  </si>
  <si>
    <t>WY6PP</t>
  </si>
  <si>
    <t>WOS:000719401500009</t>
  </si>
  <si>
    <t>Krit, M</t>
  </si>
  <si>
    <t>Krit, Makram</t>
  </si>
  <si>
    <t>General Efficiency Modeling with Planned Preventive Maintenance</t>
  </si>
  <si>
    <t>Reliability; Maintenance; Reparable System; Stochastic Modeling; Failure Intensity; Estimation; Likelihood</t>
  </si>
  <si>
    <t>SYSTEMS; REPLACEMENT</t>
  </si>
  <si>
    <t>We propose in this article, a general model of the joint effect of corrective and preventive maintenance for repairable systems in degradation. The assessing criterion of the maintenance efficiency is supported with the failure intensity in the bath-tub form. The maintenance effect is expressed by the change induced on the failure intensity before and after maintenance. The modeling frameworks are proposed and studied in order to generalize several models to the planned preventive maintenances. The generalization of the models suggested makes it possible to integrate the dependence between corrective and preventive maintenances. The likelihood functions are derived, so parameter estimation and assessment of the maintenance efficiency are possible. Relevant results relating to the theoretical properties of the maintenance efficiency estimators allow to better understand the system behavior. Finally, results are illustrated on a basis of real data issued from industry.</t>
  </si>
  <si>
    <t>[Krit, Makram] Univ Gafsa, Higher Inst Business Adm, Gafsa, Tunisia</t>
  </si>
  <si>
    <t>Universite de Gafsa</t>
  </si>
  <si>
    <t>Krit, M (corresponding author), Univ Gafsa, Higher Inst Business Adm, Gafsa, Tunisia.</t>
  </si>
  <si>
    <t>krit_makram@yahoo.fr</t>
  </si>
  <si>
    <t>10.7232/iems.2023.22.2.165</t>
  </si>
  <si>
    <t>O7BZ4</t>
  </si>
  <si>
    <t>WOS:001045331500007</t>
  </si>
  <si>
    <t>Wu, D; Han, RR; Ma, Y; Yang, L; Wei, FP; Peng, R</t>
  </si>
  <si>
    <t>Wu, Di; Han, Ruoran; Ma, Ye; Yang, Li; Wei, Fanping; Peng, Rui</t>
  </si>
  <si>
    <t>A two-dimensional maintenance optimization framework balancing hazard risk and energy consumption rates</t>
  </si>
  <si>
    <t>Preventive maintenance; Energy consumption; Hazard rate; Optimization</t>
  </si>
  <si>
    <t>PREVENTIVE MAINTENANCE; SYSTEMS; POLICY; LIFE; DESIGN</t>
  </si>
  <si>
    <t>Numerous power assets, such as power cables and refrigerator, have inevitably confronted with severe energy consumption problems. An essential topic in maintenance engineering of such assets is to balance energy con-sumption mitigation and malfunction risk control, such that to reduce production/delivery losses. This paper established a novel proactive maintenance framework, which arranges two dimensions of control limits to control maintenance frequencies: (a) operational age and (b) consumption severity to guide repair and spare part replacement. The energy consumption process is structured by a Semi-Markov chain. The asset is preventively replaced upon a certain operational age, or when the unit time energy consumption reaches a pre-specified threshold, given that the time to scheduled age-based replacement is greater than a threshold. The mainte-nance optimization model is formulated, followed by an in-depth exploration of its analytical structures. The superior performance of the proposed framework over conventional maintenance policies is demonstrated by a numerical experiment on high-voltage power cables.</t>
  </si>
  <si>
    <t>[Wu, Di] Xi An Jiao Tong Univ, Sch Management, Xian, Peoples R China; [Han, Ruoran; Yang, Li; Wei, Fanping] Beihang Univ, Sch Reliabil &amp; Syst Engn, Beijing, Peoples R China; [Ma, Ye; Peng, Rui] Beijing Univ Technol, Sch Econ &amp; Management, Beijing, Beijing, Peoples R China</t>
  </si>
  <si>
    <t>Xi'an Jiaotong University; Beihang University; Beijing University of Technology</t>
  </si>
  <si>
    <t>Yang, L (corresponding author), Beihang Univ, Sch Reliabil &amp; Syst Engn, Beijing, Peoples R China.</t>
  </si>
  <si>
    <t>Wei, Fanping/JBJ-4593-2023; Peng, Rui/AAL-7506-2020; Wu, Di/W-6541-2019</t>
  </si>
  <si>
    <t>National Natural Science Foundation of China [72101010, 71671016, 71832011, 72001078]; China Scholarship Council</t>
  </si>
  <si>
    <t>The research was supported by the National Natural Science Foundation of China under grant numbers 72101010, 71671016, 71832011 and 72001078. The first author also gratefully acknowledges financial support from China Scholarship Council.</t>
  </si>
  <si>
    <t>10.1016/j.cie.2022.108193</t>
  </si>
  <si>
    <t>1T5MX</t>
  </si>
  <si>
    <t>WOS:000804773500007</t>
  </si>
  <si>
    <t>Zuo, W; Fan, YT; Xu, XM; Jiang, AP</t>
  </si>
  <si>
    <t>Zuo, Wei; Fan, Yuntong; Xu, Xuemin; Jiang, Aiping</t>
  </si>
  <si>
    <t>Grouping-Maintenance of Multi-Components Production System Under Ecological Background</t>
  </si>
  <si>
    <t>JOURNAL OF INDUSTRIAL ENGINEERING AND MANAGEMENT-JIEM</t>
  </si>
  <si>
    <t>multi-component system; opportunistic maintenance; carbon dioxide emission; energy efficient index; intelligence</t>
  </si>
  <si>
    <t>OPTIMIZATION; MODELS; RELIABILITY; STRATEGIES; POLICY</t>
  </si>
  <si>
    <t>Purpose: The purpose of this paper is to propose an opportunistic group maintenance model for a multi-component series system considering reducing CO2 emission and increasing system efficiency, which establishes a maintenance policy to minimize the cost rate of the system life cycle. Design/methodology/approach: Structural dependence and economic dependence between the components in a multi-component series system are analyzed to make a condition-based maintenance policy. To minimize the cost rate of the system life cycle, clustering theory and two decision variables, which include the preventive maintenance cycle multiplier and basic preventive maintenance interval of each component, is utilized to make an opportunistic policy for system optimal maintenance under the background of increasing energy efficiency and reducing CO2 emissions. Findings: It can be concluded that the government imposes fines on excessive CO2 emissions and energy consumption indicators, which can influence the maintenance decisions of enterprises, promote enterprises to shorten the cycle of preventive maintenance, and avoid excessive CO2 emissions of various components and exceed the indicators as much as possible, so as to enable enterprises to actively save energy, reduce emissions and control carbon emissions. Furthermore, when the single preparation cost of repair maintenance increases, enterprises need to shorten the maintenance period to avoid frequent component failures. As the cost of a single prep for preventive maintenance rises, organizations need to extend maintenance cycles and avoid frequent parts downtime- minimizing their own repair costs. Practical implications: Considering the high maintenance cost and low energy efficiency of multi-component systems, this model assists production managers to have better maintenance of these systems. Originality/value: 1.Model innovation: comprehensive consideration of two variables in the selection of decision variables for preventive maintenance or opportunistic maintenance; The selection and synthesis of ecological factors when making ecologically conscious maintenance decisions for multi-component systems make up for the gaps of single variables and one-sided indicators in previous studies and models. 2. Methodological innovation: In the identification of opportunity maintenance, the idea of clustering is first combined; In the simulation analysis, genetic algorithm is used to obtain the optimal parameters quickly and accurately. A blend of management, statistics, biology and computer science.</t>
  </si>
  <si>
    <t>[Zuo, Wei; Fan, Yuntong; Xu, Xuemin; Jiang, Aiping] Shanghai Univ, SILC Business Sch, Shanghai, Peoples R China</t>
  </si>
  <si>
    <t>Jiang, AP (corresponding author), Shanghai Univ, SILC Business Sch, Shanghai, Peoples R China.</t>
  </si>
  <si>
    <t>zuowei@shu.edu.cn; zuowei@shu.edu.cn; xueminxu@shu.edu.cn; ap724@shu.edu.cn</t>
  </si>
  <si>
    <t>Fan, Yuntong/0009-0007-1566-1628; Jiang, Aiping/0000-0002-4822-9627</t>
  </si>
  <si>
    <t>National Social Science Fund of China [23BJY219]</t>
  </si>
  <si>
    <t>National Social Science Fund of China</t>
  </si>
  <si>
    <t>Funding This work was supported by The National Social Science Fund of China (23BJY219) .</t>
  </si>
  <si>
    <t>OMNIASCIENCE</t>
  </si>
  <si>
    <t>BARCELONA</t>
  </si>
  <si>
    <t>TERRASSA, BARCELONA, 00000, SPAIN</t>
  </si>
  <si>
    <t>2013-8423</t>
  </si>
  <si>
    <t>2013-0953</t>
  </si>
  <si>
    <t>J IND ENG MANAG-JIEM</t>
  </si>
  <si>
    <t>J. Ind. Eng. Manag.-JIEM</t>
  </si>
  <si>
    <t>10.3926/jiem.6698</t>
  </si>
  <si>
    <t>G3U4D</t>
  </si>
  <si>
    <t>WOS:001315925100001</t>
  </si>
  <si>
    <t>Liu, YY; Chang, KH; Chen, YY</t>
  </si>
  <si>
    <t>Liu, Yuan-Yuan; Chang, Kuo-Hao; Chen, You-Ying</t>
  </si>
  <si>
    <t>Simultaneous predictive maintenance and inventory policy in a continuously monitoring system using simulation optimization</t>
  </si>
  <si>
    <t>COMPUTERS &amp; OPERATIONS RESEARCH</t>
  </si>
  <si>
    <t>Production; Predictive maintenance; Inventory policy; Imperfect maintenance; Simulation optimization</t>
  </si>
  <si>
    <t>MULTICOMPONENT SYSTEMS; DECISION-MAKING; DETERIORATING SYSTEMS; REPLACEMENT POLICIES; JOINT OPTIMIZATION; OPTIMAL INSPECTION; SINGLE-MACHINE; DEGRADATION; FRAMEWORK; MODELS</t>
  </si>
  <si>
    <t>Predictive maintenance (PdM) is a strategy which can help determine the appropriate timing for maintenance depending on the actual operational conditions of a manufacturing system. Many relevant studies have ignored the effects of resource dependency and only considered perfect maintenance to reduce the complexity and uncertainty of maintenance problems. In this study, we develop a novel and highly practical maintenance model to fill the gap. The proposed model simultaneously considers the predictive maintenance and inventory policies of spare parts. In light of the high degree of complexity in modern manufacturing systems and the profound stochasticity in component degradation, a metamodeling-based simulation optimization method is proposed to find the optimal component inventory policy and degradation level thresholds of each component. A numerical study is conducted to verify that the proposed model and solution method can find the optimal or nearly optimal maintenance cost effectively and efficiently. Furthermore, the impact of critical factors in the maintenance model on the optimal policy is analyzed and useful managerial insights are derived.</t>
  </si>
  <si>
    <t>[Liu, Yuan-Yuan; Chang, Kuo-Hao] Natl Tsing Hua Univ, Dept Ind Engn &amp; Engn Management, Hsinchu, Taiwan; [Chen, You-Ying] Taiwan Semicond Mfg Co, Hsinchu, Taiwan</t>
  </si>
  <si>
    <t>National Tsing Hua University; Taiwan Semiconductor Manufacturing Company</t>
  </si>
  <si>
    <t>Chang, KH (corresponding author), Natl Tsing Hua Univ, Dept Ind Engn &amp; Engn Management, Hsinchu, Taiwan.</t>
  </si>
  <si>
    <t>chang@mx.nthu.edu.tw</t>
  </si>
  <si>
    <t>liu, yuanyuan/HSG-8372-2023</t>
  </si>
  <si>
    <t>Chang, Kuo-Hao/0000-0002-3828-960X</t>
  </si>
  <si>
    <t>0305-0548</t>
  </si>
  <si>
    <t>1873-765X</t>
  </si>
  <si>
    <t>COMPUT OPER RES</t>
  </si>
  <si>
    <t>Comput. Oper. Res.</t>
  </si>
  <si>
    <t>10.1016/j.cor.2023.106146</t>
  </si>
  <si>
    <t>JAN 2023</t>
  </si>
  <si>
    <t>Computer Science, Interdisciplinary Applications; Engineering, Industrial; Operations Research &amp; Management Science</t>
  </si>
  <si>
    <t>8Q8DV</t>
  </si>
  <si>
    <t>WOS:000927432000001</t>
  </si>
  <si>
    <t>Nganga, P; Wakiru, J; Muchiri, P</t>
  </si>
  <si>
    <t>Nganga, P.; Wakiru, J.; Muchiri, P.</t>
  </si>
  <si>
    <t>Maintenance Performance Optimization for Critical Subsystems in Cement Pre-Grinding Section: A Case Study Approach</t>
  </si>
  <si>
    <t>Maintenance; Cement plant; Availability; Simulation; Maintenance cost</t>
  </si>
  <si>
    <t>AVAILABILITY</t>
  </si>
  <si>
    <t>This paper aims to develop a simulation-based framework to identify critical equipment, critical maintenance and operational factors (e.g., maintenance actions, spare sourcing lead times and fill rate) affecting plant performance (availability and maintenance cost). The study develops a framework that utilizes empirical maintenance data. Pareto analysis is employed to identify critical subsystems, while expert input is incorporated to derive model variables. A full factorial Design of Experiment (DOE) is employed to establish the variables with significant main and interaction effects on the plant availability and maintenance cost. The framework is applied to a real case study of a cement-manufacturing firm, where a simulation model is developed based on the empirical maintenance and operational data while considering the availability and maintenance cost as the performance measures. Simulation results highlight the bucket elevator as the critical subsystem. At the same time, spare parts importation probability, among other parameters like the preventive maintenance interval and utilization of adjust maintenance action, significantly affects the performance (availability and maintenance cost) as main and interaction effects. The research was applied to only one case study, in this case, a cement grinding plant. The study provides a pragmatic reference model framework to practitioners that enhances maintenance decision-making by identifying critical equipment, maintenance and operational parameters and disclosing their effect (main and interaction) on the plant performance (availability and maintenance cost). This study is one of the first to (i) investigate the maintenance and operational factors' main and interaction effects on maintenance cost and (ii) integrate the spare parts importation probability as a factor affecting plant performance. The developed framework assists in determining critical systems to be optimized, considers various maintenance strategies simultaneously, the stochasticity of spare parts availability and replenishment and ultimately discovers the interactions for decision support.</t>
  </si>
  <si>
    <t>[Nganga, P.; Wakiru, J.; Muchiri, P.] Dedan Kimathi Univ Technol, Dept Mech Engn, Nyeri, Kenya</t>
  </si>
  <si>
    <t>Nganga, P (corresponding author), Dedan Kimathi Univ Technol, Dept Mech Engn, Nyeri, Kenya.</t>
  </si>
  <si>
    <t>ngangap72@gmail.com</t>
  </si>
  <si>
    <t>10.24867/IJIEM-2023-3-333</t>
  </si>
  <si>
    <t>EH6J3</t>
  </si>
  <si>
    <t>WOS:001138067100002</t>
  </si>
  <si>
    <t>Tanwar, M; Raghavan, N</t>
  </si>
  <si>
    <t>Tanwar, Monika; Raghavan, Nagarajan</t>
  </si>
  <si>
    <t>Continuous degradation modeling under random shocks and imperfect maintenance using generalized renewal process</t>
  </si>
  <si>
    <t>Imperfect maintenance; Degradation modeling; Optimization; Virtual age model</t>
  </si>
  <si>
    <t>INVERSE GAUSSIAN PROCESS; REPAIRABLE SYSTEMS; DEGRADING SYSTEMS; REPLACEMENT; POLICY; SUBJECT</t>
  </si>
  <si>
    <t>PurposeThe idea is to develop a condition-based maintenance (CBM) model for continuously monitored degrading systems under imperfect maintenance. The system is subjected to random shocks, inspection, corrective maintenance (CM) and preventive maintenance (PM); respective thresholds are set to make decisions.Design/methodology/approachThe generalized renewal process is considered for degradation modeling, and the maximum likelihood estimation method is used for parameter estimation. Optimum replacement time is derived by minimizing downtime per unit time (DT).FindingsOptimum replacement time is derived by minimizing DT. The paper provides insight into the virtual age model's applicability and efficacy in CBM policy-based decision-making.Practical implicationsThis paper assesses the CBM policy for continuously degrading systems under random shocks and imperfect maintenance. An operating system faces five events, i.e. CM, PM, inspection, random shock and sudden failure, during its lifetime. The combination and timing of these mutually exclusive events decide the degradation path in addition to the system's natural degradation (wear-out) dynamics when it is not tampered with in any way. Sequential modeling of such events for a degradation dataset will provide maintenance estimation and prediction parameters.Originality/valueIn general, CBM models do not consider CM to be part of the maintenance policy. It is debatable whether to include CM as part of a CBM policy. In our case, we consider CM in CBM policy formulation, assuming: (1) fail-repair: the system is restored to its operating state after failure with repair; (2) salvage: disposal of non-repairable part or material from the system, i.e. CM actions are a result of minor component-level failures. System failure is referred to as a case involving rebuild/complete system replacement. We assume CM for minor failures and acknowledge that failure can be delayed using CBM but cannot be avoided entirely. Therefore, the consideration of CM in the CBM model will make the model more generic and comprehensive.</t>
  </si>
  <si>
    <t>[Tanwar, Monika] Indian Inst Technol Jodhpur, Sch Management &amp; Entrepreneurship, Jodhpur, India; [Raghavan, Nagarajan] Singapore Univ Technol &amp; Design, EPD, Singapore, Singapore</t>
  </si>
  <si>
    <t>Indian Institute of Technology System (IIT System); Indian Institute of Technology (IIT) - Jodhpur; Singapore University of Technology &amp; Design</t>
  </si>
  <si>
    <t>Tanwar, M (corresponding author), Indian Inst Technol Jodhpur, Sch Management &amp; Entrepreneurship, Jodhpur, India.</t>
  </si>
  <si>
    <t>monika.tanwar79@gmail.com; nagarajan@sutd.edu.sg</t>
  </si>
  <si>
    <t>Ministry of Education (MOE), Singapore Academic Research Fund (AcRF) under the Tier-2 [T2MOE1709]</t>
  </si>
  <si>
    <t>Ministry of Education (MOE), Singapore Academic Research Fund (AcRF) under the Tier-2</t>
  </si>
  <si>
    <t>The authors would like to acknowledge the funding provided by the Ministry of Education (MOE), Singapore Academic Research Fund (AcRF) under the Tier-2 (No. T2MOE1709).</t>
  </si>
  <si>
    <t>MAR 4</t>
  </si>
  <si>
    <t>10.1108/JQME-10-2022-0069</t>
  </si>
  <si>
    <t>Y9P5T</t>
  </si>
  <si>
    <t>WOS:001376334800001</t>
  </si>
  <si>
    <t>Dui, HY; Wei, X; Xing, LD; Chen, LW</t>
  </si>
  <si>
    <t>Dui, Hongyan; Wei, Xuan; Xing, Liudong; Chen, Liwei</t>
  </si>
  <si>
    <t>Performance-based maintenance analysis and resource allocation in irrigation networks</t>
  </si>
  <si>
    <t>Maintenance; Performance; Resource allocation; Irrigation network</t>
  </si>
  <si>
    <t>FRAMEWORK; SYSTEMS</t>
  </si>
  <si>
    <t>The irrigation network is a critical infrastructure network consisting of reservoirs, canals, and croplands. However, the operation of irrigation networks is often disrupted by natural disasters like droughts, which can lead to serious losses. Timely and effective maintenance can minimize the yield losses. Many maintenance strategies have been proposed to improve the efficiency of maintenance resource utilization and reduce costs. But in the existing literature, the maintenance of irrigation networks under the influence of droughts is still under -explored. To bridge this gap, this paper proposes a maintenance metric for improving the performance of an irrigation network. A novel optimum maintenance efficiency model is then developed to get the optimal resource allocation. A case study, which investigates an irrigation network consisting of 27 nodes, is used to verify the practicality and effectiveness of the proposed method.</t>
  </si>
  <si>
    <t>[Dui, Hongyan] Luoyang Polytech, Business Coll, Luoyang 471000, Peoples R China; [Dui, Hongyan] Zhengzhou Univ, Sch Management, Zhengzhou 450001, Peoples R China; [Wei, Xuan] Tianjin Univ, Coll Management &amp; Econ, Tianjin 300072, Peoples R China; [Xing, Liudong] Univ Massachusetts, Dept Elect &amp; Comp Engn, Dartmouth, MA 02747 USA; [Chen, Liwei] Zhengzhou Univ, Sch Elect Engn, Zhengzhou 450001, Peoples R China</t>
  </si>
  <si>
    <t>Zhengzhou University; Tianjin University; University of Massachusetts System; University Massachusetts Dartmouth; Zhengzhou University</t>
  </si>
  <si>
    <t>Chen, LW (corresponding author), Zhengzhou Univ, Sch Elect Engn, Zhengzhou 450001, Peoples R China.</t>
  </si>
  <si>
    <t>Dui, Hongyan/0000-0002-2277-6454; Xing, Liudong/0000-0003-1606-1644; chen, liwei/0000-0001-8284-6904</t>
  </si>
  <si>
    <t>National Natural Science Foundation of China [72071182, U1904211]; ministry of education's humanities and social sciences planning fund [20YJA630012]; Science and Technology Major Program of Henan Province [201111210800]; Key Science and Technology Program of Henan Province [222102520019]; Program for Science &amp; Technology Innovation Talents in Universities of Henan Province [22HASTIT022]; Program for young backbone teachers in Universities of Henan Province [2021GGJS007]</t>
  </si>
  <si>
    <t>National Natural Science Foundation of China(National Natural Science Foundation of China (NSFC)); ministry of education's humanities and social sciences planning fund; Science and Technology Major Program of Henan Province; Key Science and Technology Program of Henan Province; Program for Science &amp; Technology Innovation Talents in Universities of Henan Province; Program for young backbone teachers in Universities of Henan Province</t>
  </si>
  <si>
    <t>The authors gratefully acknowledge the financial support for this research from the National Natural Science Foundation of China (nos. 72071182, U1904211), the ministry of education's humanities and social sciences planning fund (no. 20YJA630012), the Science and Technology Major Program of Henan Province (no. 201111210800), the Key Science and Technology Program of Henan Province (no. 222102520019), the Program for Science &amp; Technology Innovation Talents in Universities of Henan Province (no. 22HASTIT022), the Program for young backbone teachers in Universities of Henan Province (no. 2021GGJS007).</t>
  </si>
  <si>
    <t>10.1016/j.ress.2022.108910</t>
  </si>
  <si>
    <t>NOV 2022</t>
  </si>
  <si>
    <t>6R1IG</t>
  </si>
  <si>
    <t>WOS:000892062100004</t>
  </si>
  <si>
    <t>Liu, QM; Dong, M; Lv, WY; Ye, CM</t>
  </si>
  <si>
    <t>Liu, Qinming; Dong, Ming; Lv, Wenyuan; Ye, Chunming</t>
  </si>
  <si>
    <t>Manufacturing system maintenance based on dynamic programming model with prognostics information</t>
  </si>
  <si>
    <t>Maintenance; Dynamic programming; Prognosis; Deterioration; Aging</t>
  </si>
  <si>
    <t>POLICY; OPTIMIZATION; DEGRADATION; SUBJECT</t>
  </si>
  <si>
    <t>The traditional maintenance strategies may result in maintenance shortage or overage, while deterioration and aging information of manufacturing system combined by single important equipment from prognostics models are often ignored. With the higher demand for operational efficiency and safety in industrial systems, predictive maintenance with prognostics information is developed. Predictive maintenance aims to balance corrective maintenance and preventive maintenance by observing and predicting the health status of the system. It becomes possible to integrate the deterioration and aging information into the predictive maintenance to improve the overall decisions. This paper presents an integrated decision model which considers both predictive maintenance and the resource constraint. First, based on hidden semi-Markov model, the system multi-failure states can be classified, and the transition probabilities among the multi-failure states can be generated. The upper triangular transition probability matrix is used to describe the system deterioration, and the changing of transition probability is used to denote the system aging process. Then, a dynamic programming maintenance model is proposed to obtain the optimal maintenance strategy, and the risks of maintenance actions are analyzed. Finally, a case study is used to demonstrate the implementation and potential applications of the proposed methods.</t>
  </si>
  <si>
    <t>[Dong, Ming] Shanghai Jiao Tong Univ, Antai Coll Econ &amp; Management, Dept Operat Management, Shanghai, Peoples R China; [Liu, Qinming; Lv, Wenyuan; Ye, Chunming] Univ Shanghai Sci &amp; Technol, Sch Business, Dept Ind Engn, Shanghai, Peoples R China</t>
  </si>
  <si>
    <t>Shanghai Jiao Tong University; University of Shanghai for Science &amp; Technology</t>
  </si>
  <si>
    <t>Liu, QM (corresponding author), Univ Shanghai Sci &amp; Technol, Sch Business, Dept Ind Engn, Shanghai, Peoples R China.</t>
  </si>
  <si>
    <t>, liu/0000-0002-6057-8686</t>
  </si>
  <si>
    <t>National Natural Science Foundation of China [71471116, 71131005, 71271138]; Pu Jiang Project of Science and Technology Commission of Shanghai Municipality [14PJC077]; Humanity and Social Science Youth foundation of Ministry of Education of China [15YJCZH096]; Hujiang Foundation-Humanity and Social Science Climbing Program of University of Shanghai for Science and Technology [16HJPD-B04]; Programs of National Training Foundation of University of Shanghai for Science andTechnology [16HJPYQN02]; Doctoral Startup Foundation Project of University of Shanghai for Science and Technology [BSQD201403]</t>
  </si>
  <si>
    <t>National Natural Science Foundation of China(National Natural Science Foundation of China (NSFC)); Pu Jiang Project of Science and Technology Commission of Shanghai Municipality; Humanity and Social Science Youth foundation of Ministry of Education of China; Hujiang Foundation-Humanity and Social Science Climbing Program of University of Shanghai for Science and Technology; Programs of National Training Foundation of University of Shanghai for Science andTechnology; Doctoral Startup Foundation Project of University of Shanghai for Science and Technology</t>
  </si>
  <si>
    <t>The work presented in this paper has been supported by Grants from National Natural Science Foundation of China (Nos. 71471116, 71131005 and 71271138), Pu Jiang Project (No. 14PJC077) of Science and Technology Commission of Shanghai Municipality, Humanity and Social Science Youth foundation of Ministry of Education of China (No. 15YJCZH096), Hujiang Foundation-Humanity and Social Science Climbing Program of University of Shanghai for Science and Technology (No. 16HJPD-B04), Programs of National Training Foundation of University of Shanghai for Science andTechnology (No. 16HJPYQN02), Doctoral Startup Foundation Project of University of Shanghai for Science and Technology (No. BSQD201403). Authors are indebted to the reviewers and the editors for their constructive comments which greatly improved the contents and exposition of this paper.</t>
  </si>
  <si>
    <t>10.1007/s10845-017-1314-6</t>
  </si>
  <si>
    <t>HM4DK</t>
  </si>
  <si>
    <t>WOS:000459423700013</t>
  </si>
  <si>
    <t>Dong, WJ; Liu, SF; Du, YY</t>
  </si>
  <si>
    <t>Dong, Wenjie; Liu, Sifeng; Du, Yangyang</t>
  </si>
  <si>
    <t>Optimal periodic maintenance policies for a parallel redundant system with component dependencies</t>
  </si>
  <si>
    <t>Parallel systems; Cumulative shock damage; Dependency; Preventive maintenance</t>
  </si>
  <si>
    <t>COMPETING FAILURE PROCESSES; PREVENTIVE MAINTENANCE; 2-COMPONENT SYSTEM; RELIABILITY; DEGRADATION; SUBJECT; REPLACEMENT; MODEL; PERFORMANCE; 1ST</t>
  </si>
  <si>
    <t>In this paper, we investigate modified periodic maintenance policies for a parallel redundant system with three types of dependencies including stochastic dependence, structural dependence, and economic dependence, where they are seldom taken into account simultaneously in previous researches. More specifically, the stochastic dependence is modelled when multiple external shocks selectively affect the distinct components according to their sizes, attributes, and functions, leading to the existence of common cause failure. In addition, the structural dependence is considered as the parallel system is packaged and just systematic preventive maintenance is available. Finally, the economic dependence is introduced when developing preventive maintenance models, where the replacement costs among all items are associated. System reliability function is derived analytically in terms of cumulative shock damage theory and Laplace transform, and then four modified periodic maintenance policies are developed, in which the expected maintenance cost rate is minimized to seek the optimal replacement interval. An illustrative example of a silicon micro-electro-mechanical system (MEMS), which is composed of multiple non-identical resonators in parallel, is arranged to validate the theoretical results and to show the significance of considering component dependencies when scheduling preventive maintenance policies.</t>
  </si>
  <si>
    <t>[Dong, Wenjie; Liu, Sifeng; Du, Yangyang] Nanjing Univ Aeronaut &amp; Astronaut, Coll Econ &amp; Management, 29 Gen Ave, Nanjing 211106, Jiangsu, Peoples R China</t>
  </si>
  <si>
    <t>Dong, WJ (corresponding author), Nanjing Univ Aeronaut &amp; Astronaut, Coll Econ &amp; Management, 29 Gen Ave, Nanjing 211106, Jiangsu, Peoples R China.</t>
  </si>
  <si>
    <t>dongwenjie@nuaa.edu.cn</t>
  </si>
  <si>
    <t>Liu, Shichao/W-7258-2018; Dong, Wenjie/AAA-8559-2019</t>
  </si>
  <si>
    <t>Liu, Sifeng/0000-0002-5872-9457; Dong, Wenjie/0000-0002-8591-1756</t>
  </si>
  <si>
    <t>National Natural Science Foundation of China [71671091, 71801127]; China Postdoctoral Science Foundation [2018 M630561]; Postgraduate Research &amp; Practice Innovation Program of Jiangsu Province [KYCX19_0141]; China Scholarship Council [201906830041]</t>
  </si>
  <si>
    <t>National Natural Science Foundation of China(National Natural Science Foundation of China (NSFC)); China Postdoctoral Science Foundation(China Postdoctoral Science Foundation); Postgraduate Research &amp; Practice Innovation Program of Jiangsu Province; China Scholarship Council(China Scholarship Council)</t>
  </si>
  <si>
    <t>This work is partially supported by the National Natural Science Foundation of China under Grant 71671091 and Grant 71801127, China Postdoctoral Science Foundation under Grant 2018 M630561, Postgraduate Research &amp; Practice Innovation Program of Jiangsu Province under Grant KYCX19_0141 and China Scholarship Council (No.: 201906830041).</t>
  </si>
  <si>
    <t>10.1016/j.cie.2019.106133</t>
  </si>
  <si>
    <t>JS5WA</t>
  </si>
  <si>
    <t>WOS:000500375600021</t>
  </si>
  <si>
    <t>Zhu, MX; Zhou, XJ</t>
  </si>
  <si>
    <t>Zhu, Mixin; Zhou, Xiaojun</t>
  </si>
  <si>
    <t>Maintenance modeling of serial-parallel multi-station manufacturing system with failure-induced damage and assembly parts</t>
  </si>
  <si>
    <t>Manufacturing system; Maintenance scheduling; Spare part management; Joint optimization; Assembly part</t>
  </si>
  <si>
    <t>REPLACEMENT POLICY; 2-UNIT SYSTEM; SPARE PARTS; LEAD TIME; OPTIMIZATION</t>
  </si>
  <si>
    <t>This paper studies the joint optimization of maintenance scheduling and spare part management for SerialParallel Multi-station Manufacturing Systems (SPMMS) with failure-induced damage, which implies the failure of one component may induce the damage of other structurally-connected components. In the proposed hybrid spare part usage policy, either the assembly part, which is a pre-assembled spare part module, or the combination of multiple unassembled single parts can be used to retore the failed station. On the basis of the introduced reliability model, the hybrid usage policy is combined into the joint analysis of spare part inventory and corrective maintenance actions. Then, an opportunistic maintenance policy with the greedy algorithm is developed to reduce the computing complexity. The numerical examples show that the cost advantage of assembly parts and the hierarchical inventory sharing of spare parts can jointly affect the cost effectiveness of the SPMMS. The proposed hybrid spare part usage policy is more cost-effective than the ordinary usage policy, the substitution policy and the component-level policy. The policy comparisons among different hierarchical sharing policies also show that both the division criterion of failure states and the usage priority of spare parts have significantly impacts on the cost effectiveness of the SPMMS.</t>
  </si>
  <si>
    <t>[Zhu, Mixin; Zhou, Xiaojun] Shanghai Jiao Tong Univ, Dept Ind Engn, Shanghai 200240, Peoples R China; [Zhou, Xiaojun] 800 Dongchuan Rd, Shanghai, Peoples R China</t>
  </si>
  <si>
    <t>Zhou, XJ (corresponding author), 800 Dongchuan Rd, Shanghai, Peoples R China.</t>
  </si>
  <si>
    <t>zzhou745@sjtu.edu.cn</t>
  </si>
  <si>
    <t>Zhou, Xiaojun/AAS-1942-2021</t>
  </si>
  <si>
    <t>National Natural Science Foundation of China [52075336]</t>
  </si>
  <si>
    <t>This work is supported by the National Natural Science Foundation of China (no. 52075336) .</t>
  </si>
  <si>
    <t>10.1016/j.ress.2024.110204</t>
  </si>
  <si>
    <t>TY9X3</t>
  </si>
  <si>
    <t>WOS:001244947600001</t>
  </si>
  <si>
    <t>Beal, J; Reihani, S; Sakurahara, T; Kee, E; Mohaghegh, Z</t>
  </si>
  <si>
    <t>Beal, John; Reihani, Seyed; Sakurahara, Tatsuya; Kee, Ernie; Mohaghegh, Zahra</t>
  </si>
  <si>
    <t>Modeling nuclear power plant piping reliability by coupling a human reliability analysis-based maintenance model with a physical degradation model</t>
  </si>
  <si>
    <t>Condition-based maintenance; Predictive maintenance; Physics-maintenance coupling; Nuclear Power Plants (NPPs); Piping reliability</t>
  </si>
  <si>
    <t>Reliability and availability analysis for repairable components, considering the underlying physical degradation and maintenance, is crucial in support of risk assessment and management. In nuclear power plants (NPPs), reactor coolant piping is a representative example of safety-critical repairable components that are subjected to long-term physical degradation interacting with maintenance activities. The existing methods for piping reliability analysis suffer from a limitation in their capability to analyze the time-dependent physics-maintenance interactions that could occur during the component lifetime and alter the underlying maintenance processes, for instance, an enhancement of maintenance programs based on condition monitoring data or an observed defect. To address this limitation, this paper develops a new piping reliability analysis methodology that couples a physics-of-failure (PoF) model with a maintenance performance analysis model. The contributions of this paper are two-fold: (i) developing a human reliability analysis (HRA)-based maintenance performance analysis model for NPP piping that can quantify maintenance outcomes under multiple types of maintenance programs, including time-based and condition-based preventive maintenance; and (ii) developing a computational methodology to couple the HRA-based maintenance performance analysis model with PoF models. The proposed physics-maintenance coupling methodology is applied to an NPP piping case study.</t>
  </si>
  <si>
    <t>[Beal, John; Reihani, Seyed; Sakurahara, Tatsuya; Kee, Ernie; Mohaghegh, Zahra] Univ Illinois, Grainger Coll Engn, Dept Nucl Plasma &amp; Radiol Engn NPRE, Socitech Risk Anal SoTeRiA Lab, Urbana, IL 61820 USA</t>
  </si>
  <si>
    <t>University of Illinois System; University of Illinois Urbana-Champaign</t>
  </si>
  <si>
    <t>Beal, J (corresponding author), Univ Illinois, Grainger Coll Engn, Dept Nucl Plasma &amp; Radiol Engn NPRE, Socitech Risk Anal SoTeRiA Lab, Urbana, IL 61820 USA.</t>
  </si>
  <si>
    <t>jabeal2@illinois.edu</t>
  </si>
  <si>
    <t>Mohaghegh, Zahra/N-8191-2019</t>
  </si>
  <si>
    <t>Beal, John/0000-0002-1043-609X; SAKURAHARA, TATSUYA/0000-0002-8656-1970</t>
  </si>
  <si>
    <t>Nuclear Regulatory Commission [31310021M0010]</t>
  </si>
  <si>
    <t>Nuclear Regulatory Commission</t>
  </si>
  <si>
    <t>This research is supported by the Nuclear Regulatory Commission under Award #31310021M0010. Any opinions, findings, conclusions, or recommendations expressed in this report are those of the authors and do not necessarily reflect the views of the Nuclear Regulatory Com-mission. The authors would like to acknowledge the support of two members of the Socio-Technical Risk Analysis (SoTeRiA) Research Laboratory at University of Illinois at Urbana-Champaign. Madeline Morasca contributed to this research through the collection, analysis, and categorization of materials used in the literature review (Section 1 of this paper) . Jake Mitstifer assisted in the preparation of physical input data for use of the xLPR simulation (Section 3 of this paper) .</t>
  </si>
  <si>
    <t>10.1016/j.ress.2024.110655</t>
  </si>
  <si>
    <t>N3R1V</t>
  </si>
  <si>
    <t>WOS:001363542300001</t>
  </si>
  <si>
    <t>Li, XL; Ran, Y; Fafa, C; Zhu, X; Wang, HW; Zhang, GB</t>
  </si>
  <si>
    <t>Li, Xinlong; Ran, Yan; Fafa, Chen; Zhu, Xiao; Wang, Hongwei; Zhang, Genbao</t>
  </si>
  <si>
    <t>A maintenance strategy selection method based on cloud DEMATEL-ANP</t>
  </si>
  <si>
    <t>SOFT COMPUTING</t>
  </si>
  <si>
    <t>Maintenance strategy selection; Cloud model; DEMATEL-ANP; Multi-criteria decision-making</t>
  </si>
  <si>
    <t>ANALYTIC NETWORK PROCESS; POLICY SELECTION; FAILURE MODE; FUZZY; DECISION; AHP</t>
  </si>
  <si>
    <t>Maintenance strategy selection is an important step in maintenance management, which is the basis for implementing maintenance optimization and formulating specific maintenance schemes. This paper takes the meta-action unit (MU) as the research object, considers the randomness and fuzziness of expert evaluation and the interaction between evaluation criteria in the selection process of maintenance strategy, and proposes a maintenance strategy selection method based on cloud DEMATEL-ANP. Firstly, DEMATEL based on cloud model is used to establish the interaction model between the main criteria, determine the weighted cloud weight of the super matrix and the inner dependencies of the sub-criteria under the same main criteria. Then, the cloud-ANP model is used to determine the outer dependencies relationship and construct the cloud super matrix, so as to obtain the cloud weight of each evaluation criteria in maintenance strategy selection. By using the subjective and objective weighting method, the evaluation of different experts on different maintenance strategy criteria is integrated, and the priority of alternative maintenance strategies of MU is obtained. Finally, different methods are used to sort and compare the alternative maintenance strategies of the rotating body rotation MU of the CNC turntable, which verifies the scientificity and effectiveness of the maintenance strategy selection method based on cloud DEMATEL-ANP are verified.</t>
  </si>
  <si>
    <t>[Li, Xinlong; Fafa, Chen] China Three Gorges Univ, Coll Mech &amp; Power Engn, Hubei Key Lab Hydroelect Machinery Design &amp; Mainte, Yichang 443002, Hubei, Peoples R China; [Ran, Yan; Zhu, Xiao; Zhang, Genbao] Chongqing Univ, Coll Mech &amp; Vehicle Engn, Chongqing 400044, Peoples R China; [Wang, Hongwei] Wenzhou Univ, Coll Mech &amp; Elect Engn, Wenzhou 325035, Peoples R China</t>
  </si>
  <si>
    <t>China Three Gorges University; Chongqing University; Wenzhou University</t>
  </si>
  <si>
    <t>Li, XL (corresponding author), China Three Gorges Univ, Coll Mech &amp; Power Engn, Hubei Key Lab Hydroelect Machinery Design &amp; Mainte, Yichang 443002, Hubei, Peoples R China.</t>
  </si>
  <si>
    <t>xinlongl@163.com</t>
  </si>
  <si>
    <t>Zhang, Genbao/LPP-3548-2024; Zhang, Xinhua/A-3225-2011</t>
  </si>
  <si>
    <t>Li, Xinlong/0000-0002-7401-8516</t>
  </si>
  <si>
    <t>National Natural Science Foundation of China [51835001]; Independent Research Project of State Key Laboratory of Mechanical Transmission, China [SKLMT-ZZKT-2021R06]</t>
  </si>
  <si>
    <t>National Natural Science Foundation of China(National Natural Science Foundation of China (NSFC)); Independent Research Project of State Key Laboratory of Mechanical Transmission, China</t>
  </si>
  <si>
    <t>AcknowledgementsThis work is supported by the National Natural Science Foundation of China (No. 51835001), the Independent Research Project of State Key Laboratory of Mechanical Transmission, China (SKLMT-ZZKT-2021R06).</t>
  </si>
  <si>
    <t>NEW YORK</t>
  </si>
  <si>
    <t>ONE NEW YORK PLAZA, SUITE 4600, NEW YORK, NY, UNITED STATES</t>
  </si>
  <si>
    <t>1432-7643</t>
  </si>
  <si>
    <t>1433-7479</t>
  </si>
  <si>
    <t>SOFT COMPUT</t>
  </si>
  <si>
    <t>Soft Comput.</t>
  </si>
  <si>
    <t>10.1007/s00500-023-09035-6</t>
  </si>
  <si>
    <t>X9TG0</t>
  </si>
  <si>
    <t>WOS:001048868100002</t>
  </si>
  <si>
    <t>Wang, JJ; Zheng, R; Lin, TR</t>
  </si>
  <si>
    <t>Wang, Jingjing; Zheng, Rui; Lin, Tianran</t>
  </si>
  <si>
    <t>Maintenance modeling for balanced systems subject to two competing failure modes</t>
  </si>
  <si>
    <t>Maintenance modeling; Balanced systems; Competing failures; Rearrangement policy; Semi-Markov decision process</t>
  </si>
  <si>
    <t>PREVENTIVE MAINTENANCE; RELIABILITY</t>
  </si>
  <si>
    <t>Many 1-out-of n pairs: G balanced systems experience two competing failure processes, but the complex failure mechanisms present challenging issues in maintenance modeling. This paper formulates a maintenance policy optimization model for balanced systems composed of multiple functionally-exchangeable units. A unit may fail due to the hard failure caused by a self-failure mechanism, or shock failures due to abrupt or sudden stress from the external environment, whichever occurs first. Once a unit fails, the symmetric component stops working immediately to be a standby unit to keep the system balanced. When there are at least two standby units in the balanced system, dynamically reallocating the two units on positions is a feasible way to increase the probability of the system running. Moreover, the repair and replacement actions are properly performed to avoid the system being out of balance. More units on operation will increase the system operational cost, but fewer units may induce system failure. Thus, there is a trade-off between the number of working units and the system average maintenance cost. The objective of this work is to find the optimal number of operating units to minimize the maintenance cost per unit time. An illustrative example is used to demonstrate the effectiveness of the proposed policy, where a sensitivity analysis illustrates how the cost parameters affect the system maintenance cost.</t>
  </si>
  <si>
    <t>[Wang, Jingjing] Qingdao Univ Technol, Sch Management Engn, Qingdao 266525, Peoples R China; [Wang, Jingjing; Lin, Tianran] Qingdao Univ Technol, Ctr Struct Acoust &amp; Machine Fault Diag, Qingdao 266525, Peoples R China; [Zheng, Rui] Hefei Univ Technol, Sch Management, Hefei 230009, Peoples R China</t>
  </si>
  <si>
    <t>Qingdao University of Technology; Qingdao University of Technology; Hefei University of Technology</t>
  </si>
  <si>
    <t>Wang, JJ (corresponding author), Qingdao Univ Technol, Sch Management Engn, Qingdao 266525, Peoples R China.;Wang, JJ; Lin, TR (corresponding author), Qingdao Univ Technol, Ctr Struct Acoust &amp; Machine Fault Diag, Qingdao 266525, Peoples R China.</t>
  </si>
  <si>
    <t>wangjingjing2015@163.com; trlin@qut.edu.cn</t>
  </si>
  <si>
    <t>Lin, Tian Ran/J-6610-2019</t>
  </si>
  <si>
    <t>111 project of the Ministry of Science and Technology of China [D21017]</t>
  </si>
  <si>
    <t>111 project of the Ministry of Science and Technology of China</t>
  </si>
  <si>
    <t>Financial support from the 111 project of the Ministry of Science and Technology of China (D21017) for this work is gratefully appreciated.</t>
  </si>
  <si>
    <t>10.1016/j.ress.2022.108637</t>
  </si>
  <si>
    <t>2A2CQ</t>
  </si>
  <si>
    <t>WOS:000809316300007</t>
  </si>
  <si>
    <t>Zhang, CJ; Fang, ZG; Dong, WJ</t>
  </si>
  <si>
    <t>Zhang, Chengjie; Fang, Zhigeng; Dong, Wenjie</t>
  </si>
  <si>
    <t>Preventive maintenance strategy for multi-component systems in dynamic risk assessment</t>
  </si>
  <si>
    <t>Component failure loss; Dynamic risk assessment; Risk level rating model; Imperfect maintenance; Preventive maintenance strategy</t>
  </si>
  <si>
    <t>OPTIMIZATION; METHODOLOGY; TOPSIS</t>
  </si>
  <si>
    <t>As the system operates, the system risk level will also dynamically change. In this paper, a dynamic risk assessment of the system is carried out by considering the system reliability and system risk losses, both of which vary over time. Then, based on the system risk level, different maintenance measures are applied to the components that have reached the preventive maintenance thresholds, including medium repair, major repair, and replacement. If the system risk is relatively light, low-cost medium repair will be adopted to save maintenance resources. Thus, a novel maintenance optimization strategy for multi-component systems considering the system risk level and aiming to minimize maintenance costs is proposed. Finally, the feasibility and effectiveness of the model are verified through a numerical case of the air conditioning temperature regulation subsystem.</t>
  </si>
  <si>
    <t>[Zhang, Chengjie; Fang, Zhigeng; Dong, Wenjie] Nanjing Univ Aeronaut &amp; Astronaut, Coll Econ &amp; Management, Nanjing 211106, Peoples R China</t>
  </si>
  <si>
    <t>Dong, WJ (corresponding author), Nanjing Univ Aeronaut &amp; Astronaut, Coll Econ &amp; Management, Nanjing 211106, Peoples R China.</t>
  </si>
  <si>
    <t>Dong, Wenjie/AAA-8559-2019</t>
  </si>
  <si>
    <t>Dong, Wenjie/0000-0002-8591-1756; Kera, Johanes Robert/0009-0002-7881-2933</t>
  </si>
  <si>
    <t>National Natural Science Foundation of China [72271124, 52232014, 72071111]; Natural Science Foundation of Jiangsu Province [BK20230870]; Social Science Foundation of Jiangsu Province [23GLC001]</t>
  </si>
  <si>
    <t>National Natural Science Foundation of China(National Natural Science Foundation of China (NSFC)); Natural Science Foundation of Jiangsu Province(Natural Science Foundation of Jiangsu Province); Social Science Foundation of Jiangsu Province</t>
  </si>
  <si>
    <t>This study is supported by the National Natural Science Foundation of China (72271124, 52232014, 72071111). It is also par- tially supported by Natural Science Foundation of Jiangsu Province (BK20230870), and Social Science Foundation of Jiangsu Province (23GLC001).</t>
  </si>
  <si>
    <t>10.1016/j.ress.2024.110611</t>
  </si>
  <si>
    <t>L5A3M</t>
  </si>
  <si>
    <t>WOS:001350836600001</t>
  </si>
  <si>
    <t>Erguido, A; Márquez, AC; Castellano, E; Flores, JL; Fernández, JFG</t>
  </si>
  <si>
    <t>Erguido, A.; Crespo Marquez, A.; Castellano, E.; Flores, J. L.; Gomez Fernandez, J. F.</t>
  </si>
  <si>
    <t>Reliability-based advanced maintenance modelling to enhance rolling stock manufacturers' objectives</t>
  </si>
  <si>
    <t>Reliability; Opportunistic maintenance; Life-cycle cost; External variables; Multi-objective optimisation; Rolling stock</t>
  </si>
  <si>
    <t>OPPORTUNISTIC MAINTENANCE; PREVENTIVE MAINTENANCE; PREDICTIVE MAINTENANCE; MULTICOMPONENT SYSTEM; MANAGEMENT LITERATURE; GENETIC ALGORITHMS; ASSET MANAGEMENT; WIND TURBINES; OPTIMIZATION; POLICY</t>
  </si>
  <si>
    <t>The light rail is gaining relevance within cities' transportation networks due to its adequate balance among sustainability, economic and safety factors. Nevertheless, there is still a gap for improvement in those factors through the optimisation of rolling stock maintenance strategies. The development of new and more flexible maintenance strategies at proper indenture levels will aid to improve the reliability and availability of the light rail during the operation phase, as well as to reduce its life cycle cost. Accordingly, the present research develops a multi-objective maintenance model that adopts a novel reliability-based advanced maintenance policy; whose aim is to consistently evaluate short-term information to enhance both traditional maintenance and organisational key performance indicators. The proposed multi-objective mathematical model is solved through a simulation-based optimisation (SBO), which by means of iteration evaluates different maintenance strategies according to the non-dominated sorting genetic algorithm (NSGA II). Empirical results, based on real data obtained from a light rail fleet operating in Spain, demonstrate that the proposed maintenance model for the rolling stock can significantly improve the light rail performance regarding both maintenance and organisational objectives.</t>
  </si>
  <si>
    <t>[Erguido, A.] Ikerlan Technol Res Ctr, Control Monitoring &amp; O&amp;M Technol Area, Gipuzkoa 20500, Spain; [Erguido, A.; Crespo Marquez, A.; Gomez Fernandez, J. F.] Univ 5 Sevilla, Escuela Super Ingn, Dept Org Ind &amp; Gest Empresas 1, Camino Descubrimientos S-N, Seville 41092, Spain; [Castellano, E.] Mondragon Univ, MIK Res Ctr, Gipuzkoa 20560, Spain; [Flores, J. L.] Ikerlan Technol Res Ctr, Ind Cybersecur Area, Gipuzkoa 20500, Spain</t>
  </si>
  <si>
    <t>University of Sevilla; Mondragon Unibertsitatea</t>
  </si>
  <si>
    <t>Erguido, A (corresponding author), Ikerlan Technol Res Ctr, Control Monitoring &amp; O&amp;M Technol Area, Gipuzkoa 20500, Spain.;Erguido, A; Márquez, AC (corresponding author), Univ 5 Sevilla, Escuela Super Ingn, Dept Org Ind &amp; Gest Empresas 1, Camino Descubrimientos S-N, Seville 41092, Spain.</t>
  </si>
  <si>
    <t>aerguido@ikerlan.es</t>
  </si>
  <si>
    <t>Márquez, Adolfo/O-4907-2019; Gómez Fernández, Juan Francisco/L-5972-2014; Barroso, Jose/AAX-3965-2020</t>
  </si>
  <si>
    <t>Flores Barroso, Jose Luis/0000-0002-5555-9712; Erguido, Asier/0000-0002-4958-3089</t>
  </si>
  <si>
    <t>10.1016/j.cie.2020.106436</t>
  </si>
  <si>
    <t>LR8UN</t>
  </si>
  <si>
    <t>WOS:000535972200010</t>
  </si>
  <si>
    <t>Petchrompo, S; Li, H; Erguido, A; Riches, C; Parlikad, AK</t>
  </si>
  <si>
    <t>Petchrompo, Sanyapong; Li, Hao; Erguido, Asier; Riches, Chris; Parlikad, Ajith Kumar</t>
  </si>
  <si>
    <t>A value-based approach to optimizing long-term maintenance plans for a multi-asset k-out-of-N system</t>
  </si>
  <si>
    <t>Maintenance; Asset management; k-out-of-N systems; Multi-asset systems; Genetic algorithms</t>
  </si>
  <si>
    <t>PREDICTIVE MAINTENANCE; RELIABILITY; OPTIMIZATION; DESIGN; MODELS; AVAILABILITY; COMPONENTS; REDUNDANCY; INSPECTION; DECISION</t>
  </si>
  <si>
    <t>Devising a long-term maintenance plan for a system of large infrastructure assets is an exacting task. Any maintenance activity that induces system downtime can incur a massive production or service loss. This problem becomes increasingly challenging for a system of which the performance is based on the collective output of assets. Current approaches that optimize each asset in isolation or consider a binary performance relationship insufficiently address this issue because the negligence of performance interactions among assets results in an inaccurate cost estimation. To overcome these hurdles, we formulate a mathematical model that explicitly demonstrates dynamic risk of production loss according to the system aggregate output. Further, we propose an integrated solution method that couples a finite loop search with a Genetic Algorithm. Application of our model to a real-world case study has proved to simultaneously strike the balance between cost and risk. Validated by Monte Carlo simulation, the proposed model has shown to outperform existing approaches. By systematically scheduling maintenance actions over the planning horizon, the resultant strategy has demonstrated to offer considerable maintenance cost savings and significantly prolong the average asset life. Sensitivity analyses also evince the robustness of the proposed model under the volatility in key parameters.</t>
  </si>
  <si>
    <t>[Petchrompo, Sanyapong; Li, Hao; Parlikad, Ajith Kumar] Univ Cambridge, Inst Mfg, Dept Engn, 17 Charles Babbage Rd, Cambridge CB3 0FS, England; [Erguido, Asier] IK4 Ikerlan Technol Res Ctr, Operat &amp; Maintenance Technol Area, Gipuzkoa 20500, Spain; [Erguido, Asier] Univ Seville, Dept Org Ind &amp; Gest Empresas 1, Escuela Super Ingn, Camino Descubrimientos S-N, Seville 41092, Spain; [Riches, Chris] ExxonMobil Reliabil Support Org, Cadland Rd, Southampton SO45 3NP, Hants, England</t>
  </si>
  <si>
    <t>University of Cambridge; University of Sevilla</t>
  </si>
  <si>
    <t>Petchrompo, S (corresponding author), Univ Cambridge, Inst Mfg, Dept Engn, 17 Charles Babbage Rd, Cambridge CB3 0FS, England.</t>
  </si>
  <si>
    <t>sp869@cam.ac.uk; hl433@cam.ac.uk; aerguido@ikerlan.es; chris.j.riches@exxonmobil.com; aknp2@cam.ac.uk</t>
  </si>
  <si>
    <t>Parlikad, Ajith Kumar/A-5269-2010; Petchrompo, Sanyapong/AAU-7307-2021</t>
  </si>
  <si>
    <t>Erguido, Asier/0000-0002-4958-3089; Petchrompo, Sanyapong/0000-0001-5530-3656</t>
  </si>
  <si>
    <t>Department of Mathematics, Mahidol University; Engineering and Physical Sciences Research Council (EPSRC); BT through the Prosperity Partnership Award -Next Generation Converged Digital Infrastructure (NGCDI) [EP/R004935/1]; ExxonMobil UK; EPSRC [EP/I019308/1, EP/N021614/1, EP/L010917/1, EP/K000314/1] Funding Source: UKRI</t>
  </si>
  <si>
    <t>Department of Mathematics, Mahidol University; Engineering and Physical Sciences Research Council (EPSRC)(UK Research &amp; Innovation (UKRI)Engineering &amp; Physical Sciences Research Council (EPSRC)); BT through the Prosperity Partnership Award -Next Generation Converged Digital Infrastructure (NGCDI); ExxonMobil UK(Exxon Mobil Corporation); EPSRC(UK Research &amp; Innovation (UKRI)Engineering &amp; Physical Sciences Research Council (EPSRC))</t>
  </si>
  <si>
    <t>We would like to thank three anonymous reviewers for their constructive comments that significantly improve the quality of this paper. We wish to acknowledge the financial support provided by the Department of Mathematics, Mahidol University to the first author. This research was also supported by the Engineering and Physical Sciences Research Council (EPSRC) and BT through the Prosperity Partnership Award (EP/R004935/1) -Next Generation Converged Digital Infrastructure (NGCDI). We also thank ExxonMobil UK for their support in carrying out this work.</t>
  </si>
  <si>
    <t>10.1016/j.ress.2020.106924</t>
  </si>
  <si>
    <t>LL5OC</t>
  </si>
  <si>
    <t>WOS:000531606400009</t>
  </si>
  <si>
    <t>Li, WS; Zhang, C</t>
  </si>
  <si>
    <t>Li, Wanshan; Zhang, Chi</t>
  </si>
  <si>
    <t>A bi-objective optimization approach for the maintenance planning of networked systems</t>
  </si>
  <si>
    <t>bi-objective optimization; continuous demand; maintenance optimization; networked system; unavailability</t>
  </si>
  <si>
    <t>MAXIMIZE TOTAL FLOW; SELECTIVE MAINTENANCE; ALGORITHM; RESILIENCE; JOBS</t>
  </si>
  <si>
    <t>Networked systems, such as telecommunications, transportation, and power transmission, are critical for the economic development and social well-being of a society and are required to keep the prescribed demand continuously satisfied. Therefore, when planning maintenance actions for such a system, the adverse influence on its reliability caused by the unavailability of the components in the process of being maintained needs to be taken into account. To deal with this problem, we propose a new bi-objective optimization approach to determine the Pareto optimal maintenance plans for a networked system, simultaneously maximizing its reliability within the concerned planning horizon and minimizing the total maintenance cost. Both perfect and imperfect maintenance actions are considered. The proposed approach can well balance the influence of maintenance actions on a networked system's reliability during their implementation and after being completed and, thus, can help ensure its reliability of continuously satisfying the prescribed demand.</t>
  </si>
  <si>
    <t>[Li, Wanshan] Tsinghua Univ, Dept Ind Engn, Beijing, Peoples R China; [Zhang, Chi] Beijing Univ Technol, Sch Econ &amp; Management, Beijing 100124, Peoples R China</t>
  </si>
  <si>
    <t>Tsinghua University; Beijing University of Technology</t>
  </si>
  <si>
    <t>Zhang, C (corresponding author), Beijing Univ Technol, Sch Econ &amp; Management, Beijing 100124, Peoples R China.</t>
  </si>
  <si>
    <t>czhang@bjut.edu.cn</t>
  </si>
  <si>
    <t>Zhang, Chi/E-1251-2016</t>
  </si>
  <si>
    <t>Li, Wanshan/0000-0001-8361-8495; Zhang, Chi/0000-0003-3738-1479</t>
  </si>
  <si>
    <t>National Natural Science Foundation of China [71731008, 71871125]</t>
  </si>
  <si>
    <t>National Natural Science Foundation of China, Grant/Award Numbers: 71731008, 71871125</t>
  </si>
  <si>
    <t>10.1002/qre.2633</t>
  </si>
  <si>
    <t>FEB 2020</t>
  </si>
  <si>
    <t>LC7PK</t>
  </si>
  <si>
    <t>WOS:000510577300001</t>
  </si>
  <si>
    <t>de Barros, TL; Lopes, RS</t>
  </si>
  <si>
    <t>de Barros, Thiago Lima; Lopes, Rodrigo Sampaio</t>
  </si>
  <si>
    <t>Continuous improvement of imperfect maintenance actions in PAS and PAR models</t>
  </si>
  <si>
    <t>Test policy; maintenance policy; continuous improvement; safety effect; hidden failure</t>
  </si>
  <si>
    <t>PREVENTIVE MAINTENANCE; COST OPTIMIZATION; SYSTEMS; POLICY; IMPLEMENTATION; SURVEILLANCE; DEGRADATION; INFORMATION; EQUIPMENT; FRAMEWORK</t>
  </si>
  <si>
    <t>In this paper, an unavailability model is proposed to define the test and maintenance policies of systems that are subject to hidden failure and degradation, assuming practices of continuous improvement (CI) under imperfect maintenance actions with Proportional Age Setback (PAS) and Proportional Age Reduction (PAR). For this, two CI equations are analyzed to estimate the progress of maintenance effectiveness over time, and a maximum unavailability constraint is incorporated into the model for evaluation of safety point of view. A numerical application was performed, and the results showed that by adopting CI practices over maintenance actions, the unavailability of the system is reduced in greater proportion over time, besides contributing positively to safety.</t>
  </si>
  <si>
    <t>[de Barros, Thiago Lima; Lopes, Rodrigo Sampaio] Univ Fed Pernambuco, Management Engn Dept, Rodovia BR-104,Km 59,S-N Nova Caruaru, BR-55002970 Caruaru, PE, Brazil</t>
  </si>
  <si>
    <t>Universidade Federal de Pernambuco</t>
  </si>
  <si>
    <t>Lopes, RS (corresponding author), Univ Fed Pernambuco, Management Engn Dept, Rodovia BR-104,Km 59,S-N Nova Caruaru, BR-55002970 Caruaru, PE, Brazil.</t>
  </si>
  <si>
    <t>rodrigoengep@gmail.com</t>
  </si>
  <si>
    <t>Lima de Barros, Thiago/0000-0001-9853-5860; Lopes, Rodrigo/0000-0001-5339-3301</t>
  </si>
  <si>
    <t>FACEPE [IBPG-1171-3.08/16]; CNPq (Brazilian Research Council)</t>
  </si>
  <si>
    <t>FACEPE(Fundacao de Amparo a Ciencia e Tecnologia do Estado de Pernambuco (FACEPE)); CNPq (Brazilian Research Council)(Conselho Nacional de Desenvolvimento Cientifico e Tecnologico (CNPQ))</t>
  </si>
  <si>
    <t>Thanks to FACEPE for the funding of this research IBPG-1171-3.08/16. The work of Rodrigo Lopes was supported by the CNPq (Brazilian Research Council).</t>
  </si>
  <si>
    <t>1748006X211001671</t>
  </si>
  <si>
    <t>10.1177/1748006X211001671</t>
  </si>
  <si>
    <t>TZ6SL</t>
  </si>
  <si>
    <t>WOS:000637150100001</t>
  </si>
  <si>
    <t>Ghaleb, M; Taghipour, S; Sharifi, M; Zolfagharinia, H</t>
  </si>
  <si>
    <t>Ghaleb, Mageed; Taghipour, Sharareh; Sharifi, Mani; Zolfagharinia, Hossein</t>
  </si>
  <si>
    <t>Integrated production and maintenance scheduling for a single degrading machine with deterioration-based failures</t>
  </si>
  <si>
    <t>Single machine scheduling; Maintenance planning; Predictive maintenance; Machine deterioration; Multi-state systems; Integrated optimization</t>
  </si>
  <si>
    <t>PREVENTIVE MAINTENANCE; PREDICTIVE-MAINTENANCE; JOINT OPTIMIZATION; SYSTEM; JOBS; MINIMIZE; SHOP</t>
  </si>
  <si>
    <t>In production lines, several factors contribute to the manufacturing of final products. Among these factors, the production time, machine status, and energy consumption, before and during production, need to be investigated further. In this paper, we present a mathematical model which jointly optimizes production scheduling and maintenance planning in a single-machine production environment. The performance of the machine deteriorates with time, and the machine is subject to stochastic deterioration-based failures. We assume that the transitions between the machine's deterioration states follow an exponential distribution. We consider that processing times and energy consumption are affected by machine deterioration and failures. The main contribution of the paper is that maintenance and scheduling decisions are made based on the machine's degradation level (i.e., the machine's condition). We address the machine's deterioration as a discrete multi-state degradation process; and model the effects of the machine's deterioration and failures on the duration of job processing and the machine's energy consumption. Then, we develop a stochastic mixed-integer programming model that integrates decisions about maintenance and production scheduling. The model generates the optimal maintenance action for each degradation state, as well as the optimal inspection policy and job sequence, with the overall aim being to minimize the total cost, including: inspection costs, repair costs, machine energy consumption costs, and the makespan penalty for exceeding a predetermined threshold. Due to the complexity of the developed model, an effective genetic algorithm (GA) based on the properties of the considered problem is proposed. Finally, through a comparative numerical study, we show that making decisions according to the deterioration level of the machine results in more integrated and cost-effective plans compared to the current method of repairing the machine only once it has reached its failure state.</t>
  </si>
  <si>
    <t>[Ghaleb, Mageed; Taghipour, Sharareh; Sharifi, Mani] Ryerson Univ, Mech &amp; Ind Engn Dept, Toronto, ON, Canada; [Zolfagharinia, Hossein] Ryerson Univ, Ted Rogers Sch Management, Toronto, ON, Canada</t>
  </si>
  <si>
    <t>Toronto Metropolitan University; Toronto Metropolitan University</t>
  </si>
  <si>
    <t>Taghipour, S (corresponding author), 350 Victoria St, Toronto, ON M5B 2K3, Canada.</t>
  </si>
  <si>
    <t>Sharifi, Mani/ABG-8321-2020</t>
  </si>
  <si>
    <t>Zolfagharinia, Hossein/0000-0001-6403-0645; Taghipour, Sharareh/0000-0003-3816-2462; Sharifi, Mani/0000-0002-7682-7077</t>
  </si>
  <si>
    <t>Canada Research Chair (CRC) program; Natural Sciences and Engineering Research Council (NSERC) of Canada [RGPIN-2017-04434]</t>
  </si>
  <si>
    <t>Canada Research Chair (CRC) program(Canada Research ChairsAustralian GovernmentDepartment of Industry, Innovation and ScienceCooperative Research Centres (CRC) Programme); Natural Sciences and Engineering Research Council (NSERC) of Canada(Natural Sciences and Engineering Research Council of Canada (NSERC))</t>
  </si>
  <si>
    <t>The funding for this research was provided by the Canada Research Chair (CRC) program. This work is also supported by the Natural Sciences and Engineering Research Council (NSERC) of Canada through the Discovery Grant (#RGPIN-2017-04434).</t>
  </si>
  <si>
    <t>10.1016/j.cie.2020.106432</t>
  </si>
  <si>
    <t>LD2OB</t>
  </si>
  <si>
    <t>WOS:000525872600036</t>
  </si>
  <si>
    <t>Zhang, N; Zhang, J; Shen, JY</t>
  </si>
  <si>
    <t>Zhang, Nan; Zhang, Jun; Shen, Jingyuan</t>
  </si>
  <si>
    <t>Reliability and maintenance analysis of a system with dependent main and auxiliary components</t>
  </si>
  <si>
    <t>Maintenance; Condition-based maintenance; Auxiliary component; Failure dependence; Markov decision process</t>
  </si>
  <si>
    <t>OPPORTUNISTIC INSPECTIONS; MULTICOMPONENT SYSTEMS; POLICY; SUBJECT; FAILURE; MODEL</t>
  </si>
  <si>
    <t>In this paper, the reliability and maintenance modelling of a system with dependent main and auxiliary components is studied. The system consists of one main degrading component that takes charge of the system functionality and several protective auxiliary components. Two types of failure interactions are considered: within the auxiliary components, whenever one component fails, failure rates of the survival auxiliary components increase. To the main degrading component, the failure of an auxiliary component may act as an shock and induce random damages to it. The auxiliary components are heterogeneous that follow general lifetime distributions. A periodical inspection and condition-based maintenance policy is developed to ensure the system functionality and control the maintenance budget. The maintenance problem is casted into a Markov decision process framework where the total expected discounted cost in the long-run horizon is taken as the assessment function. The value iteration algorithm is implemented to evaluate the maintenance policies and costs. Through a numerical example, the applicability of the proposed model and some sensitivity analysis are discussed.</t>
  </si>
  <si>
    <t>[Zhang, Nan] Beijing Inst Technol, Sch Management &amp; Econ, Beijing, Peoples R China; [Zhang, Jun] Beijing Inst Technol, Adv Res Inst Multidisciplinary Sci, Beijing, Peoples R China; [Shen, Jingyuan] Nanjing Univ Sci &amp; Technol, Sch Econ &amp; Management, Nanjing, Peoples R China</t>
  </si>
  <si>
    <t>Beijing Institute of Technology; Beijing Institute of Technology; Nanjing University of Science &amp; Technology</t>
  </si>
  <si>
    <t>Shen, JY (corresponding author), Nanjing Univ Sci &amp; Technol, Sch Econ &amp; Management, Nanjing, Peoples R China.</t>
  </si>
  <si>
    <t>jingyuanshen@njust.edu.cn</t>
  </si>
  <si>
    <t>National Natural Science Foundation of China [71901026]</t>
  </si>
  <si>
    <t>This work is supported by the National Natural Science Foundation of China (71901026).</t>
  </si>
  <si>
    <t>10.1016/j.cie.2023.109188</t>
  </si>
  <si>
    <t>D6NI4</t>
  </si>
  <si>
    <t>WOS:000969873900001</t>
  </si>
  <si>
    <t>Gao, KY; Peng, R; Qu, L; Wu, SM</t>
  </si>
  <si>
    <t>Gao, Kaiye; Peng, Rui; Qu, Li; Wu, Shaomin</t>
  </si>
  <si>
    <t>Jointly optimizing lot sizing and maintenance policy for a production system with two failure modes</t>
  </si>
  <si>
    <t>Maintenance; Production; Failure modes; Lot sizing; Reliability</t>
  </si>
  <si>
    <t>PREVENTIVE MAINTENANCE; INTEGRATED PRODUCTION; INSPECTION MODEL; RELIABILITY; OPTIMIZATION; SUBJECT; REPAIR</t>
  </si>
  <si>
    <t>In the reliability literature, studies that jointly investigate maintenance and production are typically restricted to one failure mode and fail to address the case where multiple failure modes may exist. This study investigates the problem of joint optimization of lot sizing and maintenance policy for a multi-product production system subject to two failure modes. The failure of the first mode is a soft failure that occurs after defects arrive. The failure of the second mode is a hard failure that occurs without any early warning signals. Products are sequentially produced by the system and a complete run of all products forms a production cycle. The system needs to be reset up before producing a different product. Both the production cycle and the time of set-up depend on the lot sizes of products. Models are proposed for two maintenance policies: 1) arranging the maintenance during the set-up at the end of each production cycle; 2) arranging the maintenance during each of set-ups. The expected profit per unit time is formulated to obtain the optimal lot sizing and maintenance policy. Some properties of the proposed models are provided and they show that the optimal lot sizing and maintenance policy can be obtained under certain conditions. Case studies and sensitivity analyses are presented to illustrate the proposed models of two maintenance policies. The results show that the manufacturer will gain the most profit if the optimal lot sizing and maintenance policy are adopted. The results of comparing both maintenance policies reveal that the excessive maintenance is not cost-effective. The sensitivity analyses illustrate that reducing the cost due to failures and improving system reliability are effective ways to increase the expected profit per time unit.</t>
  </si>
  <si>
    <t>[Gao, Kaiye; Qu, Li] Beijing Informat Sci &amp; Technol Univ, Sch Econ &amp; Management, 100 Pingleyuan, Beijing 100124, Peoples R China; [Gao, Kaiye] Chinese Acad Sci, Acad Math &amp; Syst Sci, 12 Xiaoyingdong Rd, Beijing 100192, Peoples R China; [Peng, Rui] Beijing Univ Technol, Sch Econ &amp; Management, Beijing 100124, Peoples R China; [Wu, Shaomin] Univ Kent, Kent Business Sch, Canterbury CT2 7FS, Kent, England</t>
  </si>
  <si>
    <t>Beijing Information Science &amp; Technology University; Chinese Academy of Sciences; Beijing University of Technology; University of Kent</t>
  </si>
  <si>
    <t>Gao, KY (corresponding author), Beijing Informat Sci &amp; Technol Univ, Sch Econ &amp; Management, 100 Pingleyuan, Beijing 100124, Peoples R China.;Gao, KY (corresponding author), Chinese Acad Sci, Acad Math &amp; Syst Sci, 12 Xiaoyingdong Rd, Beijing 100192, Peoples R China.</t>
  </si>
  <si>
    <t>kygao@foxmail.com</t>
  </si>
  <si>
    <t>Wu, Shaomin/ABG-3429-2020; Peng, Rui/AAL-7506-2020; Wu, Shaomin/A-1940-2010</t>
  </si>
  <si>
    <t>National Natural Science Foundation of China [71671016]; Beijing Nova Program of Science Technology [Z191100001119100]; Research Base Project of the Social Science Foundation of Beijing [19JDGLB2019]; Special Project for Improving Public Service Capacity in the Field of Industry and Information technology [2019-00909-2-1]; Formas [2019-00909] Funding Source: Formas</t>
  </si>
  <si>
    <t>National Natural Science Foundation of China(National Natural Science Foundation of China (NSFC)); Beijing Nova Program of Science Technology; Research Base Project of the Social Science Foundation of Beijing; Special Project for Improving Public Service Capacity in the Field of Industry and Information technology; Formas(Swedish Research Council Formas)</t>
  </si>
  <si>
    <t>This work was supported in part by the National Natural Science Foundation of China under Grant No. 71671016, the Beijing Nova Program of Science &amp; Technology under Grant No. Z191100001119100, the Research Base Project of the Social Science Foundation of Beijing under Grant number 19JDGLB2019, and Special Project for Improving Public Service Capacity in the Field of Industry and Information technology under Grant No. 2019-00909-2-1.</t>
  </si>
  <si>
    <t>10.1016/j.ress.2020.106996</t>
  </si>
  <si>
    <t>WOS:000564277900011</t>
  </si>
  <si>
    <t>Fu, YQ; Zhu, XY</t>
  </si>
  <si>
    <t>Fu, Yuqiang; Zhu, Xiaoyan</t>
  </si>
  <si>
    <t>Preventive Maintenance Optimization of Aperiodic Multiple Component-Reassignments</t>
  </si>
  <si>
    <t>Maintenance engineering; Reliability; Costs; Optimization; Tires; Preventive maintenance; Numerical models; Binary mixed integer nonlinear programming; matheuristic approach; multiple component reassignments (CRs); preventive maintenance; reliability</t>
  </si>
  <si>
    <t>GENETIC ALGORITHM; SYSTEM</t>
  </si>
  <si>
    <t>This article proposes a new aperiodic preventive maintenance policy, which involves multiple reassignments of components in a system. Considering a multicomponent system, the components deteriorate according to heterogeneous stochastic processes because the components undertake different workloads and environmental stresses. Component reassignment (CR) is an action that reassigns the components to positions during system operation in order to improve overall system performance. The assignments of multiple CRs are mutually dependent decisions, and the execution times to conduct these CRs are also decision variables. All these decisions synthetically impact the system maintenance cost. The reliability functions and failure rates of components under the multiple CRs as well as the side effect of CR action on reducing the component reliability are formulated, using statistical virtual ages that establish links between decisions of consecutive CRs. To optimize the multi-CR based maintenance policy, a binary mixed integer nonlinear programming model is established with the objective of minimizing expected annual system maintenance cost that arises from the CRs, system replacement, and minimal repairs for emergency component failures. The optimal number of CRs is analytically shown to be finite and can be obtained by solving a series of optimization models. This article proposes two matheuristic approaches, an integrative construction approach and a sequential construction approach, to solve the models. Numerical experiments show the application of the proposed model and solution approaches in maintenance policy scheduling.</t>
  </si>
  <si>
    <t>[Fu, Yuqiang] Univ Sci &amp; Technol Beijing, Sch Math &amp; Phys, Beijing, Peoples R China; [Zhu, Xiaoyan] Univ Chinese Acad Sci, Sch Econ &amp; Management, Beijing, Peoples R China</t>
  </si>
  <si>
    <t>University of Science &amp; Technology Beijing; Chinese Academy of Sciences; University of Chinese Academy of Sciences, CAS</t>
  </si>
  <si>
    <t>Zhu, XY (corresponding author), Univ Chinese Acad Sci, Sch Econ &amp; Management, Beijing, Peoples R China.</t>
  </si>
  <si>
    <t>fuyuqiang@ustb.edu.cn; xzhu5@ucas.ac.cn</t>
  </si>
  <si>
    <t>Fu, Yuqiang/0000-0003-0864-1243</t>
  </si>
  <si>
    <t>National Natural Science Foundation of China (NSFC) [71971206, 72271226, 72101025, 71731008]; China Postdoctoral Science Foundation [2021M690349]; Fundamental Research Funds for the Central Universities [FRF-TP-20-073A1]</t>
  </si>
  <si>
    <t>National Natural Science Foundation of China (NSFC)(National Natural Science Foundation of China (NSFC)); China Postdoctoral Science Foundation(China Postdoctoral Science Foundation); Fundamental Research Funds for the Central Universities(Fundamental Research Funds for the Central Universities)</t>
  </si>
  <si>
    <t>This work was supported in part by the National Natural Science Foundation of China (NSFC) under Grant #71971206, Grant #72271226, Grant #72101025, and a key project Grant #71731008, in part by the China Postdoctoral Science Foundation under Grant #2021M690349, and in part by the Fundamental Research Funds for the Central Universities under Grant #FRF-TP-20-073A1. Paper no. TII-22-2074.</t>
  </si>
  <si>
    <t>10.1109/TII.2022.3206311</t>
  </si>
  <si>
    <t>F5RI8</t>
  </si>
  <si>
    <t>WOS:000982913400043</t>
  </si>
  <si>
    <t>Zhao, QQ; Yoo, JY; Dohi, T; Yun, WY</t>
  </si>
  <si>
    <t>Zhao, Qian Qian; Yoo, Jae Yoon; Dohi, Tadashi; Yun, Won Young</t>
  </si>
  <si>
    <t>Optimum maintenance units in multi-indenture systems</t>
  </si>
  <si>
    <t>age-based inspection; heuristic algorithm; maintenance unit; multi-indenture systems; system availability</t>
  </si>
  <si>
    <t>OPTIMAL TIME-INTERVAL; ROOTED ORDERED TREES; REDUNDANCY ALLOCATION; PERIODIC INSPECTIONS; GENETIC ALGORITHMS; RELIABILITY; OPTIMIZATION; SERIES; POLICY</t>
  </si>
  <si>
    <t>This paper deals with an optimization problem of determining the maintenance units and age-based inspection schemes to minimize the expected maintenance cost rate and satisfy a target system availability for multi-indenture systems that have a modular structure with redundant units. Failures of primary components directly lead to system failures and can therefore be identified and maintained immediately, while failures of redundant components need to be identified by inspections. And the designated maintenance units need to be replaced during maintenance. By constructing the dual structure of the fault tree, we present a failure path enumeration method, based on which the system availability and expected maintenance cost rate models considering maintenance time are derived. For redundant units, two types of inspection policies are considered in our models: one is the corrective maintenance (CM)-based inspection policy, and the other one is the age-based inspection (PM) policy, inspections are performed at failures or age h, depending on which occurred earlier. A heuristic algorithm is proposed to find the reasonable maintenance units and inspection intervals simultaneously, and its performance is also compared and analyzed. Several numerical examples are studied to investigate the effect of parameters on optimal solutions.</t>
  </si>
  <si>
    <t>[Zhao, Qian Qian] Zhengzhou Univ, Sch Management, Zhengzhou, Henan, Peoples R China; [Yoo, Jae Yoon; Yun, Won Young] Pusan Natl Univ, Dept Ind Engn, Busan, South Korea; [Dohi, Tadashi] Hiroshima Univ, Higashihiroshima, Japan</t>
  </si>
  <si>
    <t>Zhengzhou University; Pusan National University; Hiroshima University</t>
  </si>
  <si>
    <t>Yun, WY (corresponding author), Pusan Natl Univ, Dept Ind Engn, Busan, South Korea.</t>
  </si>
  <si>
    <t>wonyun@pusan.ac.kr</t>
  </si>
  <si>
    <t>National Natural Science Foundation of China; China Postdoctoral Science Foundation [2022M712860]; Basic Science Research Program through the National Research Foundation of Korea (NRF) - Ministry of Education, Science, and Technology [2022R1F1A10710571162182065300101]; [72101240]</t>
  </si>
  <si>
    <t>National Natural Science Foundation of China(National Natural Science Foundation of China (NSFC)); China Postdoctoral Science Foundation(China Postdoctoral Science Foundation); Basic Science Research Program through the National Research Foundation of Korea (NRF) - Ministry of Education, Science, and Technology(National Research Foundation of Korea);</t>
  </si>
  <si>
    <t>This research was supported by the National Natural Science Foundation of China (grant number 72101240), the China Postdoctoral Science Foundation (grant number 2022M712860), and the Basic Science Research Program through the National Research Foundation of Korea (NRF) and funded by the Ministry of Education, Science, and Technology (2022R1F1A10710571162182065300101)</t>
  </si>
  <si>
    <t>10.1002/qre.3549</t>
  </si>
  <si>
    <t>YB0R1</t>
  </si>
  <si>
    <t>WOS:001198823300001</t>
  </si>
  <si>
    <t>Zhang, YZ; Zhang, XH; Zeng, JC; Wang, JH; Xue, SD</t>
  </si>
  <si>
    <t>Zhang, Yunzheng; Zhang, Xiaohong; Zeng, Jianchao; Wang, Jinhe; Xue, Songdong</t>
  </si>
  <si>
    <t>Lessees' satisfaction and optimal condition-based maintenance policy for leased system</t>
  </si>
  <si>
    <t>Leased system; Condition-based maintenance; Satisfaction; Market share</t>
  </si>
  <si>
    <t>OPTIMAL PREVENTIVE MAINTENANCE; FAILURE-RATE; EQUIPMENT; PRODUCTS; STRATEGY; PERIOD</t>
  </si>
  <si>
    <t>To avoid the high cost of purchasing equipment, an increasing number of companies are willing to lease rather than own equipment. A lessor aims to improve lessees' satisfaction, expand market share, increase total profits, and reduce maintenance costs. Owing to the Internet of Things and sensing technology, state detection data on leased equipment can technologically support the implementation of condition-based maintenance (CBM) policies. In this study, we examine optimal maintenance by considering lessees' satisfaction with leased systems that are periodically inspected. We propose a CBM policy developed to have control limits for a leased system that undergoes periodic inspections, wherein the availability and operational performance are two objective indicators, and the lessees' expectations concerning availability and operational performance are two subjective indicators. The indicators are used to forecast lessees' satisfaction and the lessor's market share. Considering the overtime corrective maintenance penalty for each failure, we propose an analytical model to determine the optimal inspection cycle and the preventive maintenance threshold to maximize the lessor's profit. Finally, we use a leased system for cranes as an example in a numerical experiment. The result shows that the policy increases the lessor's market share and total profits.</t>
  </si>
  <si>
    <t>[Zhang, Yunzheng; Zhang, Xiaohong; Zeng, Jianchao; Wang, Jinhe; Xue, Songdong] Taiyuan Univ Sci &amp; Technol, Div Ind &amp; Syst Engn, Waliu Rd 66, Taiyuan 030024, Shanxi, Peoples R China; [Zhang, Xiaohong; Xue, Songdong] Taiyuan Univ Sci &amp; Technol, Sch Econ &amp; Management, Taiyuan 030024, Shanxi, Peoples R China; [Zeng, Jianchao] North Univ China, Inst Big Data &amp; Visual Comp, Taiyuan 030051, Shanxi, Peoples R China</t>
  </si>
  <si>
    <t>Taiyuan University of Science &amp; Technology; Taiyuan University of Science &amp; Technology; North University of China</t>
  </si>
  <si>
    <t>Zhang, XH (corresponding author), Taiyuan Univ Sci &amp; Technol, Div Ind &amp; Syst Engn, Waliu Rd 66, Taiyuan 030024, Shanxi, Peoples R China.;Zeng, JC (corresponding author), North Univ China, Sch Comp Sci &amp; Control Engn, Xueyuan Rd 3, Taiyuan 030051, Shanxi, Peoples R China.</t>
  </si>
  <si>
    <t>6077936.student@sina.com.cn; zhangxiaohong1111@126.com; zengjianchao@263.net</t>
  </si>
  <si>
    <t>Wang, Jinhe/0000-0002-1293-085X; Zhang, Yunzheng/0000-0001-6397-3991</t>
  </si>
  <si>
    <t>National Natural Science Foundation of China [71701140, 61703297]; Scientific and Technological Innovation Programs of Higher Education Institutions in Shanxi (STIP) [201802091]; Natural Science Foundation of Shanxi Province [201801D121166]; Shanxi Provincial scholarship Council [2016-091]; PhD Research Startup Foundation of Taiyuan University of Science Technology [20162021]; Program for the Philosophy and Social Sciences Research of Higher Learning Institutions of Shanxi [201801032]; Key Research and Development Program Projects in Shanxi Province [201703D111011]</t>
  </si>
  <si>
    <t>National Natural Science Foundation of China(National Natural Science Foundation of China (NSFC)); Scientific and Technological Innovation Programs of Higher Education Institutions in Shanxi (STIP); Natural Science Foundation of Shanxi Province(Natural Science Foundation of Shanxi Province); Shanxi Provincial scholarship Council; PhD Research Startup Foundation of Taiyuan University of Science Technology; Program for the Philosophy and Social Sciences Research of Higher Learning Institutions of Shanxi; Key Research and Development Program Projects in Shanxi Province</t>
  </si>
  <si>
    <t>The authors would like to thank the National Natural Science Foundation of China (Grant no. 71701140; 61703297), the Scientific and Technological Innovation Programs of Higher Education Institutions in Shanxi (STIP, Grant no. 201802091), The Natural Science Foundation of Shanxi Province ((Grant no. 201801D121166), the Research Project from Shanxi Provincial scholarship Council (Grant no. 2016-091), the PhD Research Startup Foundation of Taiyuan University of Science &amp; Technology (Grant no. 20162021), Program for the Philosophy and Social Sciences Research of Higher Learning Institutions of Shanxi (Grant no. 201801032) and Key Research and Development Program Projects in Shanxi Province (Grant no. 201703D111011) for their support. The authors also gratefully acknowledge the helpful comments and suggestions from the anonymous reviewers, which significantly helped to improve this paper.</t>
  </si>
  <si>
    <t>10.1016/j.ress.2019.106532</t>
  </si>
  <si>
    <t>JF9EG</t>
  </si>
  <si>
    <t>WOS:000491685000007</t>
  </si>
  <si>
    <t>Shi, GN; Zhang, XH; Zeng, JC; Liao, HT; Shi, H; Niu, HF; Wang, JH</t>
  </si>
  <si>
    <t>Shi, Guannan; Zhang, Xiaohong; Zeng, Jianchao; Liao, Haitao; Shi, Hui; Niu, Huifang; Wang, Jinhe</t>
  </si>
  <si>
    <t>A chance-constrained net revenue model for online dynamic predictive maintenance decision-making</t>
  </si>
  <si>
    <t>Predictive maintenance; Dynamic decision -making; Chance -constrained programming; Net revenue; State -dependent preventive maintenance cost</t>
  </si>
  <si>
    <t>USEFUL LIFE ESTIMATION; PREVENTIVE MAINTENANCE; SYSTEM; PERFORMANCE; FRAMEWORK; POLICY; COST</t>
  </si>
  <si>
    <t>Most models for predictive maintenance (PdM) decision-making focus on the expected value of a system performance metric (e.g., the expected cost rate). However, focusing solely on such expected values may overlook the significant risks of resulting PdM decisions. Indeed, it would be practically valuable to make the optimal PdM decision by considering the least probability of achieving a target system performance. Furthermore, emphasizing only maintenance costs without accounting for operational revenues can render the maintenance strategies unappealing, particularly when the revenues across system lifecycles are significant. This study introduces a method that employs a stochastic net revenue model and chance-constrained programming to address these issues in PdM decision-making, wherein the preventive maintenance cost is proportional to the system's current degradation state. By exemplifying system degradation with the Gamma process, we derive the probability density function of stochastic net revenue and present a Bayesian method to simultaneously update the drift and diffusion parameters of the Gamma process model. The effectiveness and practical applicability of our proposed chance-constrained net revenue model and parameter updating method are demonstrated through a numerical example and a case study.</t>
  </si>
  <si>
    <t>[Shi, Guannan; Shi, Hui] Taiyuan Univ Sci &amp; Technol, Sch Elect Informat Engn, Taiyuan 030024, Peoples R China; [Zhang, Xiaohong; Wang, Jinhe] Taiyuan Univ Sci &amp; Technol, Sch Econ &amp; Management, Taiyuan 030024, Peoples R China; [Shi, Guannan; Zhang, Xiaohong; Zeng, Jianchao; Shi, Hui; Wang, Jinhe] Taiyuan Univ Sci &amp; Technol, Div Ind, Syst Engn, Taiyuan 030024, Peoples R China; [Zeng, Jianchao] North Univ, Inst Big Data &amp; Visual Comp, Taiyuan 030051, Peoples R China; [Liao, Haitao] Univ Arkansas, Ind Engn Dept, Fayetteville, AR 72701 USA; [Niu, Huifang] North Univ China, Sch Elect &amp; Control Engn, Taiyuan 030051, Peoples R China</t>
  </si>
  <si>
    <t>Taiyuan University of Science &amp; Technology; Taiyuan University of Science &amp; Technology; Taiyuan University of Science &amp; Technology; University of Arkansas System; University of Arkansas Fayetteville; North University of China</t>
  </si>
  <si>
    <t>Zhang, XH (corresponding author), Taiyuan Univ Sci &amp; Technol, Sch Econ &amp; Management, Taiyuan 030024, Peoples R China.</t>
  </si>
  <si>
    <t>zhangxh@tyust.edu.cn</t>
  </si>
  <si>
    <t>SHI, HUI/KXQ-4873-2024; Shi, Guannan/GQI-3898-2022</t>
  </si>
  <si>
    <t>Liao, Haitao/0000-0003-1050-7086; Shi, Guannan/0000-0002-9735-6366</t>
  </si>
  <si>
    <t>10.1016/j.ress.2024.110233</t>
  </si>
  <si>
    <t>UL5Z7</t>
  </si>
  <si>
    <t>WOS:001248240600001</t>
  </si>
  <si>
    <t>Ruschell, E; Santos, EAP; Loures, EDR</t>
  </si>
  <si>
    <t>Ruschell, Edson; Portela Santos, Eduardo Alves; Rocha Loures, Eduardo de Freitas</t>
  </si>
  <si>
    <t>Establishment of maintenance inspection intervals: an application of process mining techniques in manufacturing</t>
  </si>
  <si>
    <t>Maintenance management; Preventive maintenance; Inspection intervals; Shop-floor data; Process mining; Predictive and probabilistic models; Bayesian Networks</t>
  </si>
  <si>
    <t>DECISION-MAKING; KNOWLEDGE FORMALIZATION; SELECTION; SYSTEMS; MODEL; STRATEGY</t>
  </si>
  <si>
    <t>Reducing costs and increasing equipment availability (uptime) are among the main goals of industrial ventures. Well defined interval durations between maintenance inspections provide major support in achieving these targets. However, in order to establish the best interval length, process behavior, cycle times and related costs must be clearly known, and future estimates for these parameters must be established. This paper applies process mining techniques in developing a probabilistic model in Bayesian Networks integrated to predictive models. The probability of a given activity occurring in the probabilistic model output establishes the forecast boundaries for predictive models, responsible for estimating process cycle times. Availability (uptime) and cost functions are mathematically defined and an iterative process is performed in the length of intervals between maintenance inspections until the time and costs wasted are minimized and the best interval duration is found. The probabilistic model enables simulating changes in the event occurrence probability, allowing a number of different scenarios to be visualized and providing better support to managers in scheduling maintenance activities. The results show that production losses can be further reduced through optimally defined intervals between maintenance inspections.</t>
  </si>
  <si>
    <t>[Ruschell, Edson; Portela Santos, Eduardo Alves; Rocha Loures, Eduardo de Freitas] Pontificia Univ Catolica Parana, Curitiba, Parana, Brazil</t>
  </si>
  <si>
    <t>Pontificia Universidade Catolica do Parana</t>
  </si>
  <si>
    <t>Ruschell, E (corresponding author), Pontificia Univ Catolica Parana, Curitiba, Parana, Brazil.</t>
  </si>
  <si>
    <t>edson.ruschel@pucpr.br</t>
  </si>
  <si>
    <t>Santos, Eduardo/KIE-5299-2024; Portela Santos, Eduardo/C-9021-2016</t>
  </si>
  <si>
    <t>Portela Santos, Eduardo/0000-0003-3075-9184</t>
  </si>
  <si>
    <t>10.1007/s10845-018-1434-7</t>
  </si>
  <si>
    <t>KJ4CA</t>
  </si>
  <si>
    <t>WOS:000512004500005</t>
  </si>
  <si>
    <t>Qiu, QG; Cui, LR; Shen, JY</t>
  </si>
  <si>
    <t>Qiu, Qingan; Cui, Lirong; Shen, Jingyuan</t>
  </si>
  <si>
    <t>Availability analysis and maintenance modelling for inspected Markov systems with down time threshold</t>
  </si>
  <si>
    <t>Availability analysis; maintenance modelling; down time threshold</t>
  </si>
  <si>
    <t>REPAIRABLE SYSTEM; PREVENTIVE MAINTENANCE; RELIABILITY EVALUATION; CONSECUTIVE-K; POLICIES; SUBJECT; MULTICOMPONENT; PERFORMANCE; COMPONENTS; INTERVAL</t>
  </si>
  <si>
    <t>Practically, many repairable systems are subject to neglected failures, i.e. if some failures can be repaired promptly they will not affect system availability. This paper investigates the availability and optimal maintenance policy for inspected Markov systems with down time threshold. Based on practical applications, a down time threshold is introduced. If a down time of the system is less than a given threshold, then the system may be considered as operating during the down time, i.e. the down time could be neglected. Otherwise, if a down time is longer than the given threshold, then the system is considered as operating from the beginning of the system failure until the down time exceeding the threshold, i.e. the down time could be delayed. Incorporating the down time threshold, the instantaneous and steady-state availabilities of the system are derived. Furthermore, a maintenance model is formulated to find the optimal inspection interval, T*, which minimizes the long-run average cost rate. A numerical example for ventilator system is presented to demonstrate the application of the developed approach.</t>
  </si>
  <si>
    <t>[Qiu, Qingan; Cui, Lirong; Shen, Jingyuan] Beijing Inst Technol, Sch Management &amp; Econ, Beijing, Peoples R China</t>
  </si>
  <si>
    <t>Beijing Institute of Technology</t>
  </si>
  <si>
    <t>Qiu, QG (corresponding author), Beijing Inst Technol, Sch Management &amp; Econ, Beijing, Peoples R China.</t>
  </si>
  <si>
    <t>qiu_qingan@163.com</t>
  </si>
  <si>
    <t>Cui, Lirong/A-6687-2011; , Qingan/AEV-3558-2022</t>
  </si>
  <si>
    <t>National Natural Science Foundation of China [71631001]</t>
  </si>
  <si>
    <t>This research is supported by National Natural Science Foundation of China [grant number 71631001].</t>
  </si>
  <si>
    <t>JUL 4</t>
  </si>
  <si>
    <t>10.1080/16843703.2018.1465228</t>
  </si>
  <si>
    <t>IB0TX</t>
  </si>
  <si>
    <t>WOS:000469975400007</t>
  </si>
  <si>
    <t>Golpîra, H; Tirkolaee, EB</t>
  </si>
  <si>
    <t>Golpira, Heris; Tirkolaee, Erfan Babaee</t>
  </si>
  <si>
    <t>Stable maintenance tasks scheduling: A bi-objective robust optimization model</t>
  </si>
  <si>
    <t>Maintenance tasks scheduling; Preventive maintenance; Reliability; Robust optimization; Multi-objective decision-making; Displaced ideal solution</t>
  </si>
  <si>
    <t>ECONOMIC DESIGN; SINGLE-MACHINE; UNCERTAINTY; SYSTEMS; AVAILABILITY; RELIABILITY; MANAGEMENT</t>
  </si>
  <si>
    <t>This study aims to introduce an original concept entitled stable maintenance tasks scheduling. It is a useful contribution to the literature as it incorporates Robust Optimization (RO) concept into the maintenance and repair tasks scheduling problem. Developing a novel robust Bi-Objective Mixed-Integer Linear Programming (BOMILP) model to support the framework, where the maintenance tasks duration is uncertain, makes the contribution of the paper novel and unique. The main objective is to optimally schedule the maintenance and repair tasks in a minimum cost, while guaranteeing the stability of the scheduling. To provide more realistic scheduling, planning horizon is divided into some pre-purchased time buckets. The goal is to schedule the tasks in the available time buckets corresponding to a set of planned maintenance stop periods and preventive maintenance actions. To solve the problem, different Multi-Objective Decision-Making (MODM) techniques are applied to the proposed model. The best solution technique is then selected corresponding to such criteria as total cost, total float, and run time, by employing Displaced Ideal Solution (DIS) method considering three different-sized examples. It is revealed that Weighted Goal Programming (WGP) can generate high-quality solutions. Results further show the superiority of the proposed framework in maintenance tasks scheduling taking into account their nominal frequency. Besides, a negligible amount of objective functions variations, despite the uncertainty of the tasks duration, is indicative of achieving the main goal of the research in achieving the stability of the scheduling. However, task duration is revealed as the most sensitive parameter to the objective functions.</t>
  </si>
  <si>
    <t>[Golpira, Heris] Islamic Azad Univ, Sanandaj Branch, Dept Ind Engn, Sanandaj, Iran; [Tirkolaee, Erfan Babaee] Mazandaran Univ Sci Technol, Dept Ind Engn, Babol Sar, Iran</t>
  </si>
  <si>
    <t>Golpîra, H (corresponding author), Islamic Azad Univ, Sanandaj Branch, Dept Ind Engn, Sanandaj, Iran.</t>
  </si>
  <si>
    <t>Herishgolpira@gmail.com</t>
  </si>
  <si>
    <t>Golpira, Heris/X-7870-2018; Babaee Tirkolaee, Erfan/U-3676-2017</t>
  </si>
  <si>
    <t>Golpira, Heris/0000-0003-1346-9572; Babaee Tirkolaee, Erfan/0000-0003-1664-9210</t>
  </si>
  <si>
    <t>10.1016/j.cie.2019.106007</t>
  </si>
  <si>
    <t>JS5WL</t>
  </si>
  <si>
    <t>WOS:000500376700003</t>
  </si>
  <si>
    <t>Dui, HY; Chen, SS; Wang, J</t>
  </si>
  <si>
    <t>Dui, Hongyan; Chen, Shuanshuan; Wang, Jia</t>
  </si>
  <si>
    <t>Failure-oriented maintenance analysis of nodes and edges in network systems</t>
  </si>
  <si>
    <t>Reliability; Failure; Maintenance; Network systems</t>
  </si>
  <si>
    <t>CASCADING FAILURES; TRANSPORTATION</t>
  </si>
  <si>
    <t>After a major disaster, network systems often face multiple difficulties such as limited time, capital, and resources. Traditional research on recovery after failure often lacks a targeted combination of node maintenance and edge maintenance, which may lead to a situation in which the maintenance cannot be conducted in a timely manner. This paper provides the key factors that affect the stability of the network by the intrinsic associations between nodes and edges in the network, and presents a failure recovery process for network systems. A collaborative approach to the maintenance of nodes and edges in networks is also analyzed. The proposed methods are demonstrated through four different urban transportation networks. Results show that edge failure does not always cause node failure, and node maintenance has a greater impact on network stability than edge maintenance.</t>
  </si>
  <si>
    <t>[Dui, Hongyan; Chen, Shuanshuan] Zhengzhou Univ, Sch Management Engn, Zhengzhou 450001, Peoples R China; [Wang, Jia] Hebei Univ Technol, State Key Lab Reliabil &amp; Intelligence Elect Equip, Tianjin, Peoples R China; [Wang, Jia] Hebei Univ Technol, Sch Mech Engn, Tianjin, Peoples R China</t>
  </si>
  <si>
    <t>Wang, J (corresponding author), Hebei Univ Technol, State Key Lab Reliabil &amp; Intelligence Elect Equip, Tianjin, Peoples R China.;Wang, J (corresponding author), Hebei Univ Technol, Sch Mech Engn, Tianjin, Peoples R China.</t>
  </si>
  <si>
    <t>jwangno1@163.com</t>
  </si>
  <si>
    <t>wang, jia/ACJ-3668-2022</t>
  </si>
  <si>
    <t>wang, jia/0000-0002-5909-4895; Dui, Hongyan/0000-0002-2277-6454</t>
  </si>
  <si>
    <t>National Natural Science Foundation of China [72071182, U1904211, 72001069]; Humanities and Social Science Fund of Ministry of Education of the People's Republic of China [20YJA630012]; Hebei Provincial Natural Science Foundation [E2021202094]; program for young backbone teachers in Universities of Henan Province</t>
  </si>
  <si>
    <t>National Natural Science Foundation of China(National Natural Science Foundation of China (NSFC)); Humanities and Social Science Fund of Ministry of Education of the People's Republic of China; Hebei Provincial Natural Science Foundation; program for young backbone teachers in Universities of Henan Province</t>
  </si>
  <si>
    <t>The authors gratefully acknowledge financial support for this research from the National Natural Science Foundation of China (72071182, U1904211, 72001069), the Humanities and Social Science Fund of Ministry of Education of the People's Republic of China (20YJA630012), the Hebei Provincial Natural Science Foundation (E2021202094), and program for young backbone teachers in Universities of Henan Province</t>
  </si>
  <si>
    <t>10.1016/j.ress.2021.107894</t>
  </si>
  <si>
    <t>WOS:000690283800079</t>
  </si>
  <si>
    <t>Luo, Y; Zhao, XJ; Liu, B; He, SG</t>
  </si>
  <si>
    <t>Luo, Yi; Zhao, Xiujie; Liu, Bin; He, Shuguang</t>
  </si>
  <si>
    <t>Condition-based maintenance policy for systems under dynamic environment</t>
  </si>
  <si>
    <t>Condition-based maintenance; Dynamic environment; Stochastic degradation; Markov decision process</t>
  </si>
  <si>
    <t>RELIABILITY-ANALYSIS; DEGRADATION; MODEL</t>
  </si>
  <si>
    <t>This paper addresses the challenge of optimizing maintenance for systems with varying degradation characteristics in dynamic environment. The focus is on repairable systems, where degradation is characterized by a Wiener process that incorporates the dynamic influence of the environment. We investigate a condition -based maintenance model aiming at minimizing the expected cost over a finite and infinite horizon. Firstly, the model considers the evolution of environment as a Markov process, which influences the drift parameter in the Wiener process. The choice between a corrective and preventive replacement rests on the periodic inspections on the system and environment. Subsequently, the maintenance model is formulated in the framework of Markov decision process. Meanwhile, the backward dynamic programming algorithm and value iteration algorithm are employed to gain the optimal maintenance policies over the finite and the infinite planning horizons, respectively. Finally, the proposed model is further explained with concrete examples and a comprehensive sensitivity analysis. Numerical results clearly demonstrate notable variations in the optimal maintenance strategies in different periods and underscore the importance of taking proactive maintenance measures in harsh environmental conditions, even if the degradation level of the system is relatively low.</t>
  </si>
  <si>
    <t>[Luo, Yi; Zhao, Xiujie; He, Shuguang] Tianjin Univ, Coll Management &amp; Econ, Tianjin, Peoples R China; [Liu, Bin] Univ Strathclyde, Dept Management Sci, Glasgow City, Scotland</t>
  </si>
  <si>
    <t>Tianjin University; University of Strathclyde</t>
  </si>
  <si>
    <t>Liu, Bin/0000-0002-3946-8124; Zhao, Xiujie/0000-0003-3450-5480</t>
  </si>
  <si>
    <t>National Natural Science Foundation of China [72371182, 72002149, 72032005, 72231005]; National Social Science Fund of China [23CGL018]</t>
  </si>
  <si>
    <t>National Natural Science Foundation of China(National Natural Science Foundation of China (NSFC)); National Social Science Fund of China</t>
  </si>
  <si>
    <t>This work is supported in part by the National Natural Science Foundation of China under grant 72371182, 72002149, 72032005 and 72231005, and The National Social Science Fund of China under grant 23CGL018. We would like to express our appreciation to the editor and the anonymous reviewers for their valuable contributions to this manuscript. Their guidance, feedback, and dedication significantly improved the quality of our work, and we are truly grateful for their expertise.</t>
  </si>
  <si>
    <t>10.1016/j.ress.2024.110072</t>
  </si>
  <si>
    <t>OL9R6</t>
  </si>
  <si>
    <t>WOS:001207551500001</t>
  </si>
  <si>
    <t>Zhao, X; Huang, XQ; Sun, JL</t>
  </si>
  <si>
    <t>Zhao, Xian; Huang, Xinqian; Sun, Jinglei</t>
  </si>
  <si>
    <t>Reliability modeling and maintenance optimization for the two-unit system with preset self-repairing mechanism</t>
  </si>
  <si>
    <t>Self-repairing mechanism; reliability; opportunistic maintenance; shock model; series system</t>
  </si>
  <si>
    <t>OPPORTUNISTIC MAINTENANCE; SHOCK MODEL; POLICIES</t>
  </si>
  <si>
    <t>In this article, the reliability model and the opportunistic maintenance optimization model are formulated for the preset self-repairing mechanism which is artificially designed and applied to many engineering systems. The preset self-repairing mechanism is first introduced into the reliability model, and a series system consisting of two units is built to describe the proposed model. One unit in the system is subject to external shocks and has the preset self-repairing mechanism, the other does not have the recovery mechanism and its lifetime distribution follows exponential distribution. For the system, the analytical expression of reliability is derived, and a maintenance optimization model taking the long-run average cost per unit time as objective function is established. The decision parameters of the maintenance policy are preventive and opportunistic degradation levels. Besides, a preventive maintenance policy is proposed for comparison with the opportunistic maintenance policy. Finally, the numerical examples are provided to obtain the optimal decision parameters and demonstrate the effectiveness of opportunistic maintenance policies.</t>
  </si>
  <si>
    <t>[Zhao, Xian; Huang, Xinqian; Sun, Jinglei] Beijing Inst Technol, Sch Management &amp; Econ, Beijing 100081, Peoples R China</t>
  </si>
  <si>
    <t>Zhao, X (corresponding author), Beijing Inst Technol, Sch Management &amp; Econ, Beijing 100081, Peoples R China.</t>
  </si>
  <si>
    <t>zhaoxian@bit.edu.cn</t>
  </si>
  <si>
    <t>National Natural Science Foundation of China [71572014, 71971026]</t>
  </si>
  <si>
    <t>The author(s) disclosed receipt of the following financial support for the research, authorship, and/or publication of this article: This work is supported by the National Natural Science Foundation of China (71572014, 71971026).</t>
  </si>
  <si>
    <t>1748006X19890739</t>
  </si>
  <si>
    <t>10.1177/1748006X19890739</t>
  </si>
  <si>
    <t>LA3BW</t>
  </si>
  <si>
    <t>WOS:000502289300001</t>
  </si>
  <si>
    <t>Qiu, QG; Liu, BL; Lin, C; Wang, JJ</t>
  </si>
  <si>
    <t>Qiu, Qingan; Liu, Baoliang; Lin, Cong; Wang, Jingjing</t>
  </si>
  <si>
    <t>Availability analysis and maintenance optimization for multiple failure mode systems considering imperfect repair</t>
  </si>
  <si>
    <t>Multiple failure modes; availability analysis; imperfect maintenance; inspection</t>
  </si>
  <si>
    <t>PREVENTIVE MAINTENANCE; REPLACEMENT POLICY; OPTIMAL INSPECTION; COMPETING FAILURES; SUBJECT; RELIABILITY; PERFORMANCE; COMPONENTS; INTENSITY; INTERVALS</t>
  </si>
  <si>
    <t>This paper studies the availability and optimal maintenance policies for systems subject to competing failure modes under continuous and periodic inspections. The repair time distribution and maintenance cost are both dependent on the failure modes. We investigate the instantaneous availability and the steady state availability of the system maintained through several imperfect repairs before a replacement is allowed. Analytical expressions for system availability under continuous and periodic inspections are derived respectively. The availability models are then utilized to obtain the optimal inspection and imperfect maintenance policy that minimizes the average long-run cost rate. A numerical example for Remote Power Feeding System is presented to demonstrate the application of the developed approach.</t>
  </si>
  <si>
    <t>[Qiu, Qingan] Northwestern Polytech Univ, Sch Management, Xian, Peoples R China; [Liu, Baoliang] Shanxi Datong Univ, Coll Math &amp; Stat, Datong, Shanxi, Peoples R China; [Lin, Cong] AVIC China Aeropolytechnol Estab, Beijing, Peoples R China; [Wang, Jingjing] Qingdao Univ Technol, Sch Management Engn, Qingdao, Peoples R China; [Qiu, Qingan] Beijing Inst Technol, Sch Management &amp; Econ, Beijing, Peoples R China</t>
  </si>
  <si>
    <t>Northwestern Polytechnical University; Shanxi Datong University; Aviation Industry Corporation of China (AVIC); Qingdao University of Technology; Beijing Institute of Technology</t>
  </si>
  <si>
    <t>Wang, JJ (corresponding author), Qingdao Univ Technol, Sch Management Engn, Qingdao, Peoples R China.</t>
  </si>
  <si>
    <t>wangjingjing@qut.edu.cn</t>
  </si>
  <si>
    <t>; , Qingan/AEV-3558-2022</t>
  </si>
  <si>
    <t>Liu, Baoliang/0000-0001-6414-2292; , Qingan/0000-0001-8741-0536</t>
  </si>
  <si>
    <t>National Natural Science Foundation of China [72001026]; China Postdoctoral Science Foundation [2020M680399]</t>
  </si>
  <si>
    <t>National Natural Science Foundation of China(National Natural Science Foundation of China (NSFC)); China Postdoctoral Science Foundation(China Postdoctoral Science Foundation)</t>
  </si>
  <si>
    <t>The author(s) disclosed receipt of the following financial support for the research, authorship, and/or publication of this article: This research is supported by National Natural Science Foundation of China under grant 72001026 and China Postdoctoral Science Foundation under grant 2020M680399.</t>
  </si>
  <si>
    <t>1748006X211012792</t>
  </si>
  <si>
    <t>10.1177/1748006X211012792</t>
  </si>
  <si>
    <t>WF5QJ</t>
  </si>
  <si>
    <t>WOS:000651166400001</t>
  </si>
  <si>
    <t>Falkenberg, SF; Spinler, S</t>
  </si>
  <si>
    <t>Falkenberg, Sven F.; Spinler, Stefan</t>
  </si>
  <si>
    <t>The role of novel data in maintenance planning: Breakdown predictions for material handling equipment</t>
  </si>
  <si>
    <t>Maintenance; Machine learning; Reliability; Data science</t>
  </si>
  <si>
    <t>OPTIMAL REPLACEMENT POLICIES; MINIMAL REPAIR; OPPORTUNISTIC REPLACEMENT; PREVENTIVE MAINTENANCE; INSPECTION; SYSTEMS; MACHINE; MODELS; TIME</t>
  </si>
  <si>
    <t>We build a predictive maintenance model for material handling equipment that incorporates novel data sources to forecast breakdowns. To this end, we develop a framework to structure and extract relevant predictor variables. Subsequently, we conduct a comprehensive study of statistical learning methods for failure detection. We show that the standard sensors in material handling equipment provide sufficient data to predict the majority of breakdowns (&gt; 85%). The findings are confirmed in two independent datasets and are thus transferable. Further, we provide a cost-based evaluation of those statistical learning methods and find that K-Nearest-Neighbors and Random Forest Classifier are cost-optimal. While most extant literature focuses on either time or condition-based maintenance, we suggest a more robust approach. We demonstrate that both time and condition are almost equally important. As a result, we present a prediction model that incorporates both variable types. From a managerial perspective we provide recommendations on data collection and highlight the importance to understand the cost ratio between breakdowns and preventive maintenance services.</t>
  </si>
  <si>
    <t>[Falkenberg, Sven F.; Spinler, Stefan] WHU, Kuehne Fdn Endowed Chair Logist Management, Otto Beisheim Sch Management, Burgplatz 2, D-56179 Vallendar, Germany</t>
  </si>
  <si>
    <t>WHU - Otto Beisheim School of Management</t>
  </si>
  <si>
    <t>Falkenberg, SF (corresponding author), WHU, Kuehne Fdn Endowed Chair Logist Management, Otto Beisheim Sch Management, Burgplatz 2, D-56179 Vallendar, Germany.</t>
  </si>
  <si>
    <t>sven.falkenberg@whu.edu</t>
  </si>
  <si>
    <t>10.1016/j.cie.2022.108230</t>
  </si>
  <si>
    <t>1W5NZ</t>
  </si>
  <si>
    <t>WOS:000806821500005</t>
  </si>
  <si>
    <t>Tien, KW; Prabhu, V</t>
  </si>
  <si>
    <t>Tien, Kai-Wen; Prabhu, Vittaldas</t>
  </si>
  <si>
    <t>Phase-type distribution models for performance evaluation of condition-based maintenance</t>
  </si>
  <si>
    <t>PRODUCTION AND MANUFACTURING RESEARCH-AN OPEN ACCESS JOURNAL</t>
  </si>
  <si>
    <t>Phase-type distribution; condition-based maintenance; effective process time; smart manufacturing; Industry 4.0</t>
  </si>
  <si>
    <t>PREVENTIVE MAINTENANCE; HEALTH INDEX; BUFFER; LINE; MACHINERY</t>
  </si>
  <si>
    <t>Condition-based maintenance (CBM) is gaining attention due to sensor and cloud-based analytics advancements, but research on its impact on system-level performance is limited. Insufficient understanding during CBM implementation can lead to confidence issues and failures. This study introduces a class of models using phase-type distribution to assess three maintenance strategises: run-to-failure (RTF), time-based preventive maintenance (TBM), and CBM. Employing machine health-index, the framework characterizes production performance by estimating effective process times. The model demonstrates how adjusting CBM thresholds influences process time variations and assesses the impact of changing maintenance frequency for TBM. Applied to a smart cellular manufacturing system, the model shows CBM's early-stage implementation. Findings indicate CBM with optimized thresholds boosts maximum throughput by 6.77%. Further, CBM achieves an additional 6.84% increase assuming corrective maintenance time can be reduced by 20%. This approach can help manufacturing become smarter through smarter maintenance in the Industry 4.0 era and beyond.</t>
  </si>
  <si>
    <t>[Tien, Kai-Wen] Natl Tsing Hua Univ, Dept Ind Engn &amp; Engn Management, Engn Bldg I,101,Sect 2,Kuang Fu Rd, Hsinchu 30013, Taiwan; [Prabhu, Vittaldas] Penn State Univ, Dept Ind &amp; Mfg Engn, State Coll, PA USA</t>
  </si>
  <si>
    <t>National Tsing Hua University; Pennsylvania Commonwealth System of Higher Education (PCSHE); Pennsylvania State University</t>
  </si>
  <si>
    <t>Tien, KW (corresponding author), Natl Tsing Hua Univ, Dept Ind Engn &amp; Engn Management, Engn Bldg I,101,Sect 2,Kuang Fu Rd, Hsinchu 30013, Taiwan.</t>
  </si>
  <si>
    <t>kai-wen.tien@outlook.com</t>
  </si>
  <si>
    <t>Tien, Kai-Wen/0000-0002-0326-9852</t>
  </si>
  <si>
    <t>NIST [70NANB14H255]; Penn State University</t>
  </si>
  <si>
    <t>NIST(National Institute of Standards &amp; Technology (NIST) - USA); Penn State University</t>
  </si>
  <si>
    <t>The work described in this paper was funded in part by NIST cooperative agreement 70NANB14H255 with Penn State University.</t>
  </si>
  <si>
    <t>2169-3277</t>
  </si>
  <si>
    <t>PROD MANUF RES</t>
  </si>
  <si>
    <t>Prod. Manuf. Res.</t>
  </si>
  <si>
    <t>10.1080/21693277.2024.2380723</t>
  </si>
  <si>
    <t>ZX7Q8</t>
  </si>
  <si>
    <t>WOS:001278654500001</t>
  </si>
  <si>
    <t>Behnia, F; Ahmadabadi, HZ; Schuelke-Leech, BA; Mirhassani, M</t>
  </si>
  <si>
    <t>Behnia, Foroogh; Ahmadabadi, Habib Zare; Schuelke-Leech, Beth-Anne; Mirhassani, Mitra</t>
  </si>
  <si>
    <t>Developing a fuzzy optimized model for selecting a maintenance strategy in the paper industry: An integrated FGP-ANP-FMEA approach</t>
  </si>
  <si>
    <t>Maintenance strategy selection problem (MSSP); Goal programming (GP); Fuzzy logic; Analytic network process (ANP); Hybrid approach; Failure mode and effects analysis (FMEA)</t>
  </si>
  <si>
    <t>OPTIMUM MAINTENANCE; POLICY SELECTION; AHP</t>
  </si>
  <si>
    <t>Proper equipment maintenance can significantly reduce overall operating costs by boosting productivity. Management personnel often consider maintenance an expense; however, a more positive approach is to view maintenance as a profit center. Considering this new perspective, the requirements for maintenance management have changed drastically from the traditional concept of fix-it-when-broken to a more complex approach that entails adopting a maintenance strategy for a more integrated approach and alignment. This paper presents a Goal Programming (GP) approach to define the most cost-effective method for maintaining some critical pumps in the paper industry. The failure mode and effects analysis (FMEA) criteria consider each machine failure's occurrence, severity, and detection. After determining the weights, the optimal strategy for each failure is calculated by solving the goal programming. Thus, FMEA can be used to design a network structure for each pump failure mode. For this purpose, the limitations and goals affecting the model are obtained from research literature and interviews with experts. Regarding resource utilization and failure reduction, the results demonstrate that predictive and preventive maintenance strategies are superior to corrective strategies. Therefore, these strategies can predict failures, provide helpful information to maintenance managers, and limit the negative aspects of a failure regarding safety and cost.</t>
  </si>
  <si>
    <t>[Behnia, Foroogh; Schuelke-Leech, Beth-Anne] Univ Windsor, Dept Mech Automot &amp; Mat Engn, Windsor, ON, Canada; [Ahmadabadi, Habib Zare] Yazd Univ, Dept Econ Management &amp; Accounting, Yazd, Iran; [Mirhassani, Mitra] Univ Windsor, Dept Elect &amp; Comp Engn, Windsor, ON, Canada</t>
  </si>
  <si>
    <t>University of Windsor; University of Yazd; University of Windsor</t>
  </si>
  <si>
    <t>Ahmadabadi, HZ (corresponding author), Yazd Univ, Dept Econ Management &amp; Accounting, Yazd, Iran.</t>
  </si>
  <si>
    <t>Behnia@uwindsor.ca; Zarehabib@yazd.ac.ir; Beth-Anne.Schuelke-Leech@uwindsor.ca; mitramir@uwindsor.ca</t>
  </si>
  <si>
    <t>Behnia, Foroogh/0000-0001-7252-7969; Schuelke-Leech, Beth-Anne/0000-0003-0503-830X</t>
  </si>
  <si>
    <t>10.1016/j.eswa.2023.120899</t>
  </si>
  <si>
    <t>N4XP9</t>
  </si>
  <si>
    <t>WOS:001037063300001</t>
  </si>
  <si>
    <t>Tee, KF; Ekpiwhre, E</t>
  </si>
  <si>
    <t>Tee, Kong Fah; Ekpiwhre, Ejiroghene</t>
  </si>
  <si>
    <t>Strategic cost modelling and optimisation for highway asset maintenance</t>
  </si>
  <si>
    <t>Asset maintenance; Carriageway; Condition bands; Performance condition; Treatment renewals; Treatment transition</t>
  </si>
  <si>
    <t>OUT-N SYSTEM; PERFORMANCE-MEASUREMENT; MANAGEMENT</t>
  </si>
  <si>
    <t>Purpose The purpose of this paper is to propose and confer a strategic cost model as a concept for good decision making for highway asset treatment in the transport industry. Design/methodology/approach The paper is based on asset performance condition and treatment renewals using a five-point performance for developing prospective treatment strategies. The strategic cost model is presented in the similitude of picturesque and its outcomes via an exploratory data analysis. Findings The results articulate the best maintenance plan for the forthcoming and future years. The strategic cost model uses the combination of the current condition band, the sample area and likely treatment cost for proposing the optimal treatment solution based on consideration of desired treatment level. Originality/value Embracing eminent performance condition from the research area of lifecycle planning and deterioration models of a physical asset, a prospective cost strategy for asset maintenance is proposed in the study. The resultant treatment strategies using the analytical approach portray the ability that enables the adaptation of expected outcomes.</t>
  </si>
  <si>
    <t>[Tee, Kong Fah; Ekpiwhre, Ejiroghene] Univ Greenwich, Fac Sci &amp; Engn, London, England</t>
  </si>
  <si>
    <t>University of Greenwich</t>
  </si>
  <si>
    <t>Tee, KF (corresponding author), Univ Greenwich, Fac Sci &amp; Engn, London, England.</t>
  </si>
  <si>
    <t>K.F.Tee@gre.ac.uk; e.ekpiwhre@gre.ac.uk</t>
  </si>
  <si>
    <t>Tee, Kong Fah/B-7888-2014</t>
  </si>
  <si>
    <t>Tee, Kong Fah/0000-0003-3202-873X</t>
  </si>
  <si>
    <t>10.1108/JQME-12-2016-0084</t>
  </si>
  <si>
    <t>WOS:000524879900002</t>
  </si>
  <si>
    <t>Dui, H; Wang, JF; Zhu, TM; Xing, LD</t>
  </si>
  <si>
    <t>Dui, Hongyan; Wang, Jiafeng; Zhu, Tianmeng; Xing, Liudong</t>
  </si>
  <si>
    <t>Maintenance optimization methodology of edge cloud collaborative systems based on a gateway cost index in IIoT</t>
  </si>
  <si>
    <t>Maintenance; Cost; Importance; Reliability; IIoT</t>
  </si>
  <si>
    <t>MANAGEMENT; NETWORKS; INTERNET; THINGS</t>
  </si>
  <si>
    <t>In the Industrial Internet of Things (IIoT), cloud computing faces enormous data processing pressure and security challenges due to the surge in industrial devices and sensors, especially in real-time data processing and analysis applications. However, fewer researchers study the reliability of data transmission and the maintenance of data interruption processing of edge cloud collaborative systems (ECCS) in IIoT. This paper proposes a maintenance optimization methodology of ECCS based on a gateway cost index. Firstly, a reliability model of different network topologies of ECCS is proposed considering key communication indicators of task runtime, packet loss rate, and bandwidth. Then, considering the impact of external environments on ECCS, an importance-based Gateway Cost Index is proposed. A maintenance optimization is studied by conducting a multi-objective programming. The specific maintenance steps are analyzed when the intelligent gateways of ECCS are subjected to large-scale failures caused by external interference. At last, two numerical examples with star topology and bus topology are provided to demonstrate the proposed methods.</t>
  </si>
  <si>
    <t>[Dui, Hongyan; Wang, Jiafeng] Zhengzhou Univ, Sch Management, Zhengzhou 450001, Peoples R China; [Zhu, Tianmeng] Columbia Univ, Grad Sch Arts &amp; Sci, Dept Stat, New York, NY 10025 USA; [Xing, Liudong] Univ Massachusetts Dartmouth, Dept Elect &amp; Comp Engn, Dartmouth, MA 02747 USA</t>
  </si>
  <si>
    <t>Zhengzhou University; Columbia University; University of Massachusetts System; University Massachusetts Dartmouth</t>
  </si>
  <si>
    <t>Dui, HY (corresponding author), Zhengzhou Univ, Sch Management, Zhengzhou 450001, Peoples R China.</t>
  </si>
  <si>
    <t>National Natural Science Foundation of China [72071182]</t>
  </si>
  <si>
    <t>The authors gratefully acknowledge the financial support for this research from the National Natural Science Foundation of China (No. 72071182) .</t>
  </si>
  <si>
    <t>10.1016/j.ress.2024.110370</t>
  </si>
  <si>
    <t>ZN8G9</t>
  </si>
  <si>
    <t>WOS:001276064000001</t>
  </si>
  <si>
    <t>Ho, JW; Yang, JY; Huang, YS</t>
  </si>
  <si>
    <t>Ho, Jyh-Wen; Yang, Jian-Yi; Huang, Yeu-Shiang</t>
  </si>
  <si>
    <t>DETERMINATION OF BUFFER STOCK BETWEEN PREVENTIVE MAINTENANCE ACTIVITIES FOR REPAIRABLE PRODUCTION SYSTEMS</t>
  </si>
  <si>
    <t>INTERNATIONAL JOURNAL OF INDUSTRIAL ENGINEERING-THEORY APPLICATIONS AND PRACTICE</t>
  </si>
  <si>
    <t>preventive maintenance; buffer size; economic manufacturing quantity</t>
  </si>
  <si>
    <t>MODEL; LINE; OPTIMIZATION; SCHEDULE; POLICIES</t>
  </si>
  <si>
    <t>This study considers the economic manufacturing quantity model of a repairable system with two production processes in which the manufacturer can evaluate the setup problems between the two during the planning period due to the effects of preventive maintenance. We estimate the expected maintenance cost of component failures with consideration of preventive maintenance intervals for the upstream production process and demand conditions for the downstream assembly system to determine the optimal buffer stock with the minimum expected total cost of the production system. An illustrative example verifies that the inventory holding cost greatly affects the optimal buffer size, followed by the downstream production rate and the reset time. Furthermore, the optimal quantity of the buffer stock and preventive maintenance intervals determined by the proposed approach can assist managers in devising adequate strategies when planning preventive maintenance during a steady production process.</t>
  </si>
  <si>
    <t>[Ho, Jyh-Wen] Aletheia Univ, Dept Ind Management &amp; Enterprise Informat, Taipei, Taiwan; [Yang, Jian-Yi; Huang, Yeu-Shiang] Natl Cheng Kung Univ, Dept Ind &amp; Informat Management, Tainan, Taiwan</t>
  </si>
  <si>
    <t>Aletheia University; National Cheng Kung University</t>
  </si>
  <si>
    <t>Huang, YS (corresponding author), Natl Cheng Kung Univ, Dept Ind &amp; Informat Management, Tainan, Taiwan.</t>
  </si>
  <si>
    <t>yshuang@mail.ncku.edu.tw</t>
  </si>
  <si>
    <t>Huang, Yeu-Shiang/ABB-1360-2021</t>
  </si>
  <si>
    <t>UNIV CINCINNATI INDUSTRIAL ENGINEERING</t>
  </si>
  <si>
    <t>CINCINNATI</t>
  </si>
  <si>
    <t>UNIV CINCINNATI, CINCINNATI, OH 45221-0116 USA</t>
  </si>
  <si>
    <t>1943-670X</t>
  </si>
  <si>
    <t>INT J IND ENG-THEORY</t>
  </si>
  <si>
    <t>Int. J. Ind. Eng.-Theory Appl. Pract.</t>
  </si>
  <si>
    <t>Engineering, Industrial; Engineering, Manufacturing</t>
  </si>
  <si>
    <t>YV7YK</t>
  </si>
  <si>
    <t>WOS:000752942000001</t>
  </si>
  <si>
    <t>Dai, AS; Luo, Z; Zhao, XJ; Qin, JJ; Ruan, YP</t>
  </si>
  <si>
    <t>Dai, Anshu; Luo, Zhi; Zhao, Xiujie; Qin, Juanjuan; Ruan, Yuanpeng</t>
  </si>
  <si>
    <t>Optimal maintenance policy design considering learning effects under successive performance-based contracts ☆</t>
  </si>
  <si>
    <t>Successive short-term performance-based; contracts; Learning effects; Condition-based maintenance; Wiener process</t>
  </si>
  <si>
    <t>PREVENTIVE MAINTENANCE; PRODUCTS; OPTIMIZATION; RELIABILITY; DEGRADATION</t>
  </si>
  <si>
    <t>Successive short-term performance-based contracts (PBCs) would not only drive the original equipment manufacturer (OEM) to improve maintenance service quality, but also decrease the financial burdens of the equipment owner. This paper presents the optimal maintenance policy incorporating both preventive maintenance (PM) and upgrade actions for continuously monitored degrading equipment under successive short-term PBCs. The improvement factor model is adopted to characterize the impact of the PM and upgrade actions. We also consider that the OEM's learning effects will affect the cost and duration of the PM, as well as the upgrade cost. The learning effect increases as the period of the contract accumulates. To characterize the varied equipment production and degradation rates across different PBC periods, a Wiener process with covariates is developed. Meanwhile, we assume that the reward and penalty parameters of the performancebased revenue function varied each contract period, thus motivating the OEM to enhance the equipment availability. Based on that, the optimal maintenance plan for each contract period is determined to maximize the OEM's expected net profit. Numerical examples show the superiority and examine the sensitivity of the proposed successive short-term PBCs. Managerial insights are also given to guide the implementation of the proposed maintenance policy.</t>
  </si>
  <si>
    <t>[Dai, Anshu] Tianjin Univ Finance &amp; Econ, Sch Management Sci &amp; Engn, Tianjin 300222, Peoples R China; [Zhao, Xiujie] Tianjin Univ, Coll Management &amp; Econ, Tianjin 300072, Peoples R China; [Luo, Zhi; Qin, Juanjuan] Tianjin Univ Finance &amp; Econ, Sch Business, Tianjin 300222, Peoples R China; [Ruan, Yuanpeng] Hangzhou Dianzi Univ, Sch Management, Hangzhou 310018, Peoples R China</t>
  </si>
  <si>
    <t>Tianjin University of Finance &amp; Economics; Tianjin University; Tianjin University of Finance &amp; Economics; Hangzhou Dianzi University</t>
  </si>
  <si>
    <t>Zhao, XJ (corresponding author), Tianjin Univ, Coll Management &amp; Econ, Tianjin 300072, Peoples R China.</t>
  </si>
  <si>
    <t>National Natural Science Foundation of China [72371182, 72002149, 71801064, 72032005, 72371086, 71972141]; National Social Science Fund of China [23CGL018]; Tianjin University of Finance and Economics Excellent Young Teachers Support Program; Natural Science Foundation of Zhejiang Province, China [LY22G010009]; Major Humanities and Social Sciences Research Projects in Zhejiang higher education institutions [2023QN003]; Humanities and Social Sciences Project of the Ministry of Education of China [23YJC630146]</t>
  </si>
  <si>
    <t>National Natural Science Foundation of China(National Natural Science Foundation of China (NSFC)); National Social Science Fund of China; Tianjin University of Finance and Economics Excellent Young Teachers Support Program; Natural Science Foundation of Zhejiang Province, China(Natural Science Foundation of Zhejiang Province); Major Humanities and Social Sciences Research Projects in Zhejiang higher education institutions; Humanities and Social Sciences Project of the Ministry of Education of China</t>
  </si>
  <si>
    <t>This work is supported by the National Natural Science Foundation of China [grant numbers 72371182, 72002149, 71801064, 72032005, 72371086, 71972141] and the National Social Science Fund of China [grant number 23CGL018] . Anshu Dai is also sponsored by Tianjin University of Finance and Economics Excellent Young Teachers Support Program. Yuanpeng Ruan is sponsored by the Natural Science Foundation of Zhejiang Province, China under Grant LY22G010009, Major Humanities and Social Sciences Research Projects in Zhejiang higher education institutions under Grant 2023QN003, and Humanities and Social Sciences Project of the Ministry of Education of China under Grant 23YJC630146.</t>
  </si>
  <si>
    <t>10.1016/j.cie.2024.110287</t>
  </si>
  <si>
    <t>XD4D1</t>
  </si>
  <si>
    <t>WOS:001259724100001</t>
  </si>
  <si>
    <t>Demirci, EZ; Arts, J; van Houtum, GJ</t>
  </si>
  <si>
    <t>Demirci, Ece Zeliha; Arts, Joachim; van Houtum, Geert-Jan</t>
  </si>
  <si>
    <t>A restless bandit approach for capacitated condition based maintenance scheduling</t>
  </si>
  <si>
    <t>FLEXIBLE SERVICES AND MANUFACTURING JOURNAL</t>
  </si>
  <si>
    <t>Maintenance; Restless bandit; Whittle's index heuristic</t>
  </si>
  <si>
    <t>MACHINE REPAIR; POLICIES; SYSTEM; OPTIMIZATION; MODELS; STATE</t>
  </si>
  <si>
    <t>This paper considers the maintenance scheduling problem of multiple non-identical machines deteriorating over time. The deterioration gradually decreases a machine's performance, which results in revenue losses due to lower output quality. The maintenance cost is dependent on the degradation state, and the number of maintenance activities that can be carried out simultaneously is restricted by the number of maintenance workers. Our main goal is to propose a heuristic with low complexity that consistently produces solutions close to the optimal strategy for problems of real size. We cast the problem as a restless bandit problem and propose an index based heuristic (Whittle's index policy) which can be computed efficiently. We also provide a lower bound that can be computed by linear programming. We numerically compare the performance of the index heuristic with alternative policies. In addition to achieving superior performance over failure-based and threshold policies, Whittle's policy numerically converges to our lower bound when the number of machines is moderately high and/or maintenance workload is high.</t>
  </si>
  <si>
    <t>[Demirci, Ece Zeliha] TED Univ, Dept Ind Engn, Ankara, Turkiye; [Arts, Joachim] Univ Luxembourg, Luxembourg Ctr Logist &amp; Supply Chain Management, Luxembourg, Luxembourg; [van Houtum, Geert-Jan] Eindhoven Univ Technol, Dept Ind Engn &amp; Innovat Sci, Eindhoven, Netherlands</t>
  </si>
  <si>
    <t>Ted University; University of Luxembourg; Eindhoven University of Technology</t>
  </si>
  <si>
    <t>Demirci, EZ (corresponding author), TED Univ, Dept Ind Engn, Ankara, Turkiye.</t>
  </si>
  <si>
    <t>ece.demirci@tedu.edu.tr; joachim.arts@uni.lu; g.j.v.houtum@tue.nl</t>
  </si>
  <si>
    <t>Arts, Joachim/B-5113-2017; van Houtum, Geert-Jan/AAK-8668-2021</t>
  </si>
  <si>
    <t>van Houtum, Geert-Jan/0000-0003-4225-5434</t>
  </si>
  <si>
    <t>NWO (Netherlands Organisation for Scientific Research) [407-12-001]; Netherlands Organisation for Scientific Research</t>
  </si>
  <si>
    <t>NWO (Netherlands Organisation for Scientific Research)(Netherlands Organization for Scientific Research (NWO)); Netherlands Organisation for Scientific Research(Netherlands Organization for Scientific Research (NWO))</t>
  </si>
  <si>
    <t>The authors gratefully acknowledge the support of the Netherlands Organisation for Scientific Research under grant number 407-12-001.</t>
  </si>
  <si>
    <t>1936-6582</t>
  </si>
  <si>
    <t>1936-6590</t>
  </si>
  <si>
    <t>FLEX SERV MANUF J</t>
  </si>
  <si>
    <t>Flex. Serv. Manuf. J.</t>
  </si>
  <si>
    <t>2024 JUN 13</t>
  </si>
  <si>
    <t>10.1007/s10696-024-09544-y</t>
  </si>
  <si>
    <t>UC9Z0</t>
  </si>
  <si>
    <t>WOS:001245992600003</t>
  </si>
  <si>
    <t>Tambe, PP; Kulkarni, MS</t>
  </si>
  <si>
    <t>Tambe, Pravin P.; Kulkarni, Makarand S.</t>
  </si>
  <si>
    <t>A reliability based integrated model of maintenance planning with quality control and production decision for improving operational performance</t>
  </si>
  <si>
    <t>Operational performance; Conditional Reliability; Maintenance; Quality; Production; Integrated planning</t>
  </si>
  <si>
    <t>STATISTICAL PROCESS-CONTROL; MACHINE SCHEDULING PROBLEM; PREVENTIVE MAINTENANCE; SELECTIVE MAINTENANCE; JOINT PRODUCTION; SINGLE-MACHINE; ECONOMIC DESIGN; CONTROL CHARTS; OPTIMIZATION; POLICY</t>
  </si>
  <si>
    <t>This paper presents an integrated planning between the three core functions of shop floor management; main-tenance, production scheduling, and quality. The methodology is based on the conditional reliability of com-ponents and its effect on system operation. The objective is to minimize the system operation cost of the combined decision and investigate the cost-effectiveness of the integrated policy over the non-integrated plan-ning. The integrated approach helps the decision-maker to find maintenance actions for individual components, production schedule and sampling parameters for process quality inspection. Mathematical models for inte-gration and a flow chart for the combined methodology of the three functions are presented. Metaheuristic approaches, simulated annealing, and genetic algorithm are used for optimization. A simulation study at different levels of component degradation (service age) and schedule tightness factor is presented. Besides, we present an experimental analysis of varying model parameter values for the integrated planning and compare the results with the independent (non-integrated) planning approach. The results show the improved operational performance of the integrated planning and a lesser operating cost than the non-integrated planning. The pro-posed approach is dynamic as quality control parameters and production decisions will change as per the maintenance decision.</t>
  </si>
  <si>
    <t>[Tambe, Pravin P.] Indian Inst Management Tiruchirappalli, Operat Management &amp; Decis Sci, Tiruchirappalli, India; [Kulkarni, Makarand S.] Indian Inst Technol, Dept Mech Engn, Mumbai, Maharashtra, India</t>
  </si>
  <si>
    <t>Indian Institute of Management (IIM System); Indian Institute of Management Tiruchirappalli; Indian Institute of Technology System (IIT System); Indian Institute of Technology (IIT) - Bombay</t>
  </si>
  <si>
    <t>Tambe, PP (corresponding author), Indian Inst Management Tiruchirappalli, Operat Management &amp; Decis Sci, Tiruchirappalli, India.</t>
  </si>
  <si>
    <t>pravin@iimtrichy.ac.in</t>
  </si>
  <si>
    <t>10.1016/j.ress.2022.108681</t>
  </si>
  <si>
    <t>JUL 2022</t>
  </si>
  <si>
    <t>3D0XA</t>
  </si>
  <si>
    <t>WOS:000829034400001</t>
  </si>
  <si>
    <t>Dinis, D; Barbosa-Póvoa, A; Teixeira, AP</t>
  </si>
  <si>
    <t>Dinis, Duarte; Barbosa-Povoa, Ana; Teixeira, Angelo Palos</t>
  </si>
  <si>
    <t>A supporting framework for maintenance capacity planning and scheduling: Development and application in the aircraft MRO industry</t>
  </si>
  <si>
    <t>Maintenance data; Data treatment and analysis; Capacity planning; Scheduling; Risk</t>
  </si>
  <si>
    <t>NETWORK PROCESS ANP; SPARE PARTS; LINE MAINTENANCE; OPTIMIZATION MODELS; DECISION-MAKING; DEMAND; OPERATIONS; REGENERATION; SIMULATION; MANAGEMENT</t>
  </si>
  <si>
    <t>This paper proposes a framework for the qualitative and quantitative characterization of maintenance work to support Maintenance, Repair, and Overhaul (MRO) organizations in performing capacity planning and scheduling. A quantitative assessment based on 372 maintenance projects collected at a Portuguese aircraft MRO confirms that a significant part of the maintenance work is stochastic in nature, given the amount of unscheduled maintenance. The proposed framework, entitled FRamework for Aircraft Maintenance Estimation (FRAME), is intended to allow MROs in managing this uncertainty throughout the maintenance planning process and comprises for that end a set of requirements for data treatment and a method for data analysis. The established requirements address important shortcomings found in the collected data that prevented the use of maintenance data for capacity planning and scheduling as is. The developed method for data analysis, entitled 3-Dimensional Maintenance Data Analysis (3D-MDA), is based on a space-time-skill coordinate system in which indicators are calculated from historical data to comprehensively characterize the expected maintenance work. Space refers to the aircraft work zone where maintenance is performed, time refers to the project work phase when maintenance is performed, and skill refers to the type of technicians required for maintenance to be performed. The established coordinates address the limitations of reviewed techniques by allowing accurate estimations of required resources for capacity planning and an extended range of constraints for maintenance scheduling. Being generic in nature, FRAME is applicable to maintenance in other industries, or even to other activities with due adaptations.</t>
  </si>
  <si>
    <t>[Dinis, Duarte; Barbosa-Povoa, Ana] Univ Lisbon, Inst Super Tecn, Ctr Management Studies, P-1049001 Lisbon, Portugal; [Teixeira, Angelo Palos] Univ Lisbon, Inst Super Tecn, Ctr Marine Technol &amp; Ocean Engn, P-1049001 Lisbon, Portugal</t>
  </si>
  <si>
    <t>Universidade de Lisboa; Universidade de Lisboa</t>
  </si>
  <si>
    <t>Dinis, D (corresponding author), Univ Lisbon, Inst Super Tecn, Ctr Management Studies, P-1049001 Lisbon, Portugal.</t>
  </si>
  <si>
    <t>duarte.dinis@tecnico.ulisboa.pt; apovoa@tecnico.ulisboa.pt; teixeira@centec.tecnico.ulisboa.pt</t>
  </si>
  <si>
    <t>Barbosa-Povoa, Ana/AFM-0470-2022; Dinis, Duarte/AAL-9395-2020; Teixeira, Angelo Palos/K-8198-2015</t>
  </si>
  <si>
    <t>Dinis, Duarte/0000-0002-0515-2316; Teixeira, Angelo Palos/0000-0002-0012-2652; Barbosa-Povoa, Ana/0000-0001-6594-9653</t>
  </si>
  <si>
    <t>Portuguese National Science Foundation (Fundacao para a Ciencia e a Tecnologia - FCT) [PD/BD/52345/2013]; Fundação para a Ciência e a Tecnologia [PD/BD/52345/2013] Funding Source: FCT</t>
  </si>
  <si>
    <t>Portuguese National Science Foundation (Fundacao para a Ciencia e a Tecnologia - FCT); Fundação para a Ciência e a Tecnologia(Fundacao para a Ciencia e a Tecnologia (FCT))</t>
  </si>
  <si>
    <t>This work was supported by the Portuguese National Science Foundation (Fundacao para a Ciencia e a Tecnologia - FCT) under Grant PD/BD/52345/2013.</t>
  </si>
  <si>
    <t>10.1016/j.ijpe.2019.04.029</t>
  </si>
  <si>
    <t>JS5WO</t>
  </si>
  <si>
    <t>WOS:000500377000001</t>
  </si>
  <si>
    <t>Gedikli, T; Ervural, BC</t>
  </si>
  <si>
    <t>Gedikli, Tolga; Ervural, Beyzanur Cayir</t>
  </si>
  <si>
    <t>Evaluation of Maintenance Policies Using a Two-Stage Pythagorean-Based Group Decision-Making Approach</t>
  </si>
  <si>
    <t>INTERNATIONAL JOURNAL OF FUZZY SYSTEMS</t>
  </si>
  <si>
    <t>Pythagorean fuzzy TOPSIS; Pythagorean fuzzy AHP; Pythagorean fuzzy VIKOR; Maintenance policy selection</t>
  </si>
  <si>
    <t>FUZZY AHP; STRATEGY SELECTION; TOPSIS METHOD; EXTENSION; HEALTH; ANP</t>
  </si>
  <si>
    <t>The key to achieving the safety and reliability of the production system is to implement an efficient maintenance management system to reduce or eliminate equipment failures. Maintenance planning costs constitute a large part of operating costs. Determining the optimal maintenance policy plays a significant role in improving system reliability and availability as well as providing cost-savings. For this reason, it is necessary to determine and implement the most appropriate maintenance planning for the production system to ensure the reliable, smooth, and healthy operation of the system. The decision-making process is multidimensional and complicated due to the nature of the maintenace policy selection problem, so it involves various conflicting evaluation criteria in identifying the optimal maintenance policies. Multi-criteria decision-making (MCDM) instruments are appropriate for such complex issues. In this study, a hybrid-two-stage-MCDM-approach consisting of Pythagorean fuzzy Analytical Hierarchical Process (PF-AHP) and Pythagorean fuzzy TOPSIS (PF-TOPSIS) are carried out to determine the best maintenance policy, which is one of the most serious issues, both tactically and operationally, handled by one of the largest food companies in Turkey. Five main evaluation criteria (reliability, safety, cost, added-value, and feasibility), and six alternative possible maintenance policies (reliability-centered, predictive, time-based preventive, condition-based, opportunistic, and corrective maintenance) are considered to specify the optimal maintenance strategies. As a result of the application, the most appropriate maintenance strategy was emerged as reliability-centered maintenance (RCM). Other alternatives were appeared as predictive (PdM), time-based preventive (TBPM), condition-based (CBM), opportunistic (OM), and corrective maintenance (CM). The validation of the method was performed using the PF-VIKOR technique as a comparative study. In the final stage of the study, a sensitivity analysis based on criteria weights was conducted to test the robustness of the proposed integrated methodology.</t>
  </si>
  <si>
    <t>[Gedikli, Tolga] Konya Food &amp; Agr Univ, Fac Engn &amp; Architecture, Dept Ind Engn, TR-42080 Konya, Turkiye; [Ervural, Beyzanur Cayir] Necmettin Erbakan Univ, Fac Aviat &amp; Space Sci, Dept Aviat Management, TR-42090 Konya, Turkiye</t>
  </si>
  <si>
    <t>Konya Food &amp; Agriculture University; Necmettin Erbakan University</t>
  </si>
  <si>
    <t>Ervural, BC (corresponding author), Necmettin Erbakan Univ, Fac Aviat &amp; Space Sci, Dept Aviat Management, TR-42090 Konya, Turkiye.</t>
  </si>
  <si>
    <t>tolga.gedikli@gidatarim.edu.tr; bc.ervural@erbakan.edu.tr</t>
  </si>
  <si>
    <t>Ervural, Beyzanur/AGU-6271-2022</t>
  </si>
  <si>
    <t>Cayir Ervural, Beyzanur/0000-0002-0861-052X; Gedikli, Tolga/0000-0002-0558-2439</t>
  </si>
  <si>
    <t>SPRINGER HEIDELBERG</t>
  </si>
  <si>
    <t>HEIDELBERG</t>
  </si>
  <si>
    <t>TIERGARTENSTRASSE 17, D-69121 HEIDELBERG, GERMANY</t>
  </si>
  <si>
    <t>1562-2479</t>
  </si>
  <si>
    <t>2199-3211</t>
  </si>
  <si>
    <t>INT J FUZZY SYST</t>
  </si>
  <si>
    <t>Int. J. Fuzzy Syst.</t>
  </si>
  <si>
    <t>10.1007/s40815-023-01476-3</t>
  </si>
  <si>
    <t>Automation &amp; Control Systems; Computer Science, Artificial Intelligence; Computer Science, Information Systems</t>
  </si>
  <si>
    <t>Automation &amp; Control Systems; Computer Science</t>
  </si>
  <si>
    <t>J7HV7</t>
  </si>
  <si>
    <t>WOS:000953709200004</t>
  </si>
  <si>
    <t>Ruiz-Hernández, D; Pinar-Pérez, JM; Delgado-Gómez, D</t>
  </si>
  <si>
    <t>Ruiz-Hernandez, Diego; Pinar-Perez, Jesus M.; Delgado-Gomez, David</t>
  </si>
  <si>
    <t>Multi-machine preventive maintenance scheduling with imperfect interventions: A restless bandit approach</t>
  </si>
  <si>
    <t>Dynamic programming; Machine maintenance; Imperfect interventions; Index policies; Restless bandits</t>
  </si>
  <si>
    <t>SELECTIVE MAINTENANCE; INDEX POLICIES; MULTIPLE-MACHINE; SYSTEM; OPTIMIZATION; MODELS; STRATEGY; REPAIRS</t>
  </si>
  <si>
    <t>In this paper we address the problem of allocating the efforts of a collection of repairmen to a number of deteriorating machines in order to reduce operation costs and to mitigate the cost (and likelihood) of unexpected failures. Notwithstanding these preventive maintenance interventions are aimed at returning the machine to a so-called as good as new state, unforeseeable factors may imply that maintenance interventions are not perfect and the machine is only returned to an earlier (uncertain) state of wear. The problem is modelled as a restless bandit problem and an index policy for the sequential allocation of maintenance tasks is proposed. A series of numerical experiments shows the strong performance of the proposed policy. Moreover, the methodology is of interest in the general context of dynamic resource allocation and restless bandit problems, as well as being useful in the particular imperfect maintenance model described. (C) 2020 Elsevier Ltd. All rights reserved.</t>
  </si>
  <si>
    <t>[Ruiz-Hernandez, Diego] Univ Sheffield, Management Sch, Conduit Rd, Sheffield S10 1FL, S Yorkshire, England; [Pinar-Perez, Jesus M.] Univ Coll Financial Studies CUNEF, Leonardo Prieto Castro 2, Madrid 28040, Spain; [Delgado-Gomez, David] Univ Carlos III Madrid, Av Univ 30, Madrid 28911, Spain</t>
  </si>
  <si>
    <t>University of Sheffield; CUNEF Universidad; Universidad Carlos III de Madrid</t>
  </si>
  <si>
    <t>Ruiz-Hernández, D (corresponding author), Univ Sheffield, Management Sch, Conduit Rd, Sheffield S10 1FL, S Yorkshire, England.</t>
  </si>
  <si>
    <t>d.ruiz-hernandez@sheffield.ac.uk; jesusmaria.pinar@cunef.edu; ddelgado@est-econ.uc3m.es</t>
  </si>
  <si>
    <t>Pinar Pérez, Jesús/H-5893-2019; Delgado-Gómez, David/M-2045-2014; Ruiz-Hernandez, Diego/B-3579-2010</t>
  </si>
  <si>
    <t>PINAR PEREZ, JESUS MARIA/0000-0002-7367-2997; Ruiz-Hernandez, Diego/0000-0001-5538-6930</t>
  </si>
  <si>
    <t>10.1016/j.cor.2020.104927</t>
  </si>
  <si>
    <t>LD6CC</t>
  </si>
  <si>
    <t>WOS:000526116900012</t>
  </si>
  <si>
    <t>Gencosman, BC; Inkaya, T</t>
  </si>
  <si>
    <t>Gencosman, Burcu Caglar; Inkaya, Tulin</t>
  </si>
  <si>
    <t>Characterization of Syrian refugees with work permit applications in Turkey: A data mining based methodology</t>
  </si>
  <si>
    <t>Data mining; Self-organizing maps; Decision tree; Association rule mining; Syrian refugees</t>
  </si>
  <si>
    <t>CLUSTER VALIDITY; PERFORMANCE; MIGRATION; IMPACT</t>
  </si>
  <si>
    <t>With the technological advancements in data collection systems, data-driven approaches become a necessity for understanding and managing the socioeconomic systems. Motivated by this, we focus on the formal employment of Syrian refugees in Turkey, and propose a data mining based methodology in order to understand their profiles. In this context, Syrian refugees with work permit applications are examined between years 2010 and 2018. The dataset includes demographic properties of the applicants and characteristics of their workplaces. The proposed methodology aims to extract the hidden, interesting and useful characteristics of the Syrian refugees having formal employment potential. The proposed approach integrates several data mining tasks, i.e. clustering, classification, and association rule mining, and it has four phases. In the first phase, data pre-processing and visualization operations are performed. In the second phase, the profiles of the Syrian refugee workers are determined using clustering. Self-organizing map and hierarchical clustering are implemented for this purpose. In the third phase, decision tree is used to specify the distinguishing characteristics of the clusters. In the fourth phase, the association rules are generated to reveal the interesting and frequent properties of each cluster. The results reveal the profiles of Syrian refugees with work permit applications. The findings obtained from this study can be a basis for developing policies and strategies that facilitate the labor market integration of the immigrants. The proposed methodology can be used to analyze time-dependent patterns and other immigration data for different countries as well.</t>
  </si>
  <si>
    <t>[Gencosman, Burcu Caglar; Inkaya, Tulin] Bursa Uludag Univ, Ind Engn Dept, TR-16059 Bursa, Turkey</t>
  </si>
  <si>
    <t>Uludag University</t>
  </si>
  <si>
    <t>Gencosman, BC (corresponding author), Bursa Uludag Univ, Ind Engn Dept, TR-16059 Bursa, Turkey.</t>
  </si>
  <si>
    <t>burcucaglar@uludag.edu.tr; tinkaya@uludag.edu.tr</t>
  </si>
  <si>
    <t>İnkaya, Tülin/AAH-2155-2021; caglar gencosman, burcu/AAG-8600-2021</t>
  </si>
  <si>
    <t>Inkaya, Tulin/0000-0002-6260-0162; caglar gencosman, burcu/0000-0003-0159-8529</t>
  </si>
  <si>
    <t>OCT 15</t>
  </si>
  <si>
    <t>10.1016/j.eswa.2021.114846</t>
  </si>
  <si>
    <t>XS1XV</t>
  </si>
  <si>
    <t>WOS:000732710500010</t>
  </si>
  <si>
    <t>Zhang, XH; Zhang, YF; Shi, GN; Shi, H; Wu, B; Hu, SJ</t>
  </si>
  <si>
    <t>Zhang, Xiaohong; Zhang, Yongfei; Shi, Guannan; Shi, Hui; Wu, Bin; Hu, Shangju</t>
  </si>
  <si>
    <t>Multiple-failure mode division and condition-based maintenance decision making for systems with multi-indicator performance degradation</t>
  </si>
  <si>
    <t>Multi -indicator performance degradation; Multiple failure modes; Multiple maintenance types and effects; Condition -based maintenance</t>
  </si>
  <si>
    <t>RELIABILITY</t>
  </si>
  <si>
    <t>In prognostics and health management research, it is typically assumed that the health status of a system can be reflected by a single performance indicator. However, modern industrial systems are complex and often require multiple indicators to represent different aspects of system health. Furthermore, these indicators may be associated with multiple fault types, leading to multiple failure modes. This study focuses on systems with multiindicator performance degradation. We construct a division model of multiple failure modes, and investigate the optimal condition -based maintenance decision under multiple failure modes. By constructing division models for systems with two -indicator performance degradation and systems with three -indicator performance degradation, a common multiple -failure mode division model for systems with multi -indicator performance degradation is to distinguish different fault types that may occur in such systems. Taking the systems with twoindicator performance degradation as an example, a condition -based maintenance strategy is developed that considers the differences in maintenance types and effectiveness corresponding to different faults types. A joint probability recursive model under the influence of strategies is derived, and a cost -rate model in a finite time horizon is established to determine the optimal inspection cycle and maintenance threshold for each indicator. Taking the steel rolling system as an application case, the correctness and effectiveness of the proposed strategy and model are verified. The results indicate that the division model can represent the complex relationships among multiple indicators and fault types and that the strategy considering multiple maintenance types and effects can reduce the cost rate of the system.</t>
  </si>
  <si>
    <t>[Zhang, Xiaohong; Zhang, Yongfei] Taiyuan Univ Sci &amp; Technol, Sch Econ &amp; Management, Taiyuan 030024, Peoples R China; [Zhang, Xiaohong; Zhang, Yongfei; Shi, Guannan; Shi, Hui; Wu, Bin; Hu, Shangju] Taiyuan Univ Sci &amp; Technol, Div Ind &amp; Syst Engn, Taiyuan 030024, Peoples R China; [Shi, Guannan; Shi, Hui; Wu, Bin] Taiyuan Univ Sci &amp; Technol, Sch Elect Informat Engn, Taiyuan 030024, Peoples R China; [Hu, Shangju] MCC Baosteel Tech Serv Co Ltd, Shanghai 200941, Peoples R China</t>
  </si>
  <si>
    <t>Taiyuan University of Science &amp; Technology; Taiyuan University of Science &amp; Technology; Taiyuan University of Science &amp; Technology</t>
  </si>
  <si>
    <t>zhangxh@tyust.edu.cn; S202116210924@stu.tyust.edu.cn; B20190032@stu.tyust.edu.cn; huishi@tyust.edu.cn; B20201591004@stu.tyust.edu.cn; B202115310023@stu.tyust.edu.cn</t>
  </si>
  <si>
    <t>Zhang, Yongfei/KWV-0394-2024; WU, Bin/JAD-1404-2023; Shi, Guannan/GQI-3898-2022</t>
  </si>
  <si>
    <t>Shi, Guannan/0000-0002-9735-6366; Wu, Bin/0000-0001-6340-3665</t>
  </si>
  <si>
    <t>National Natural Science Foundation of China [72071183]; Special fund for Science and Technology Innovation Teams of Shanxi Province [202304051001032, 202304051001004]; Natural Science Foundation of Shanxi Province [202103021223291, 202203021211194]; Shanxi Scholarship Council of China [2022-161]; Major Science and Technology Project of Shanxi Province [202201090301013]; Key Research Base Project of Humanities and Social Sciences of Colleges and Universities in Shanxi Province [20220123]; Taiyuan University of Science and Technology Graduate Joint Training Demonstration Base Project [JD2022010, JD2022008]; Taiyuan University of Science and Technology Graduate Education Innovation Project [SY2023049]</t>
  </si>
  <si>
    <t>National Natural Science Foundation of China(National Natural Science Foundation of China (NSFC)); Special fund for Science and Technology Innovation Teams of Shanxi Province; Natural Science Foundation of Shanxi Province(Natural Science Foundation of Shanxi Province); Shanxi Scholarship Council of China; Major Science and Technology Project of Shanxi Province; Key Research Base Project of Humanities and Social Sciences of Colleges and Universities in Shanxi Province; Taiyuan University of Science and Technology Graduate Joint Training Demonstration Base Project; Taiyuan University of Science and Technology Graduate Education Innovation Project</t>
  </si>
  <si>
    <t>The authors would like to thank the National Natural Science Foundation of China (Grant No. 72071183), the special fund for Science and Technology Innovation Teams of Shanxi Province (202304051001032, 202304051001004), Natural Science Foundation of Shanxi Province (202203021211194,202103021223291), Research Project Supported by Shanxi Scholarship Council of China (Grant No. 2022-161), Major Science and Technology Project of Shanxi Province (202201090301013), Key Research Base Project of Humanities and Social Sciences of Colleges and Universities in Shanxi Province (20220123) and Taiyuan University of Science and Technology Graduate Joint Training Demonstration Base Project (JD2022008, JD2022010), Taiyuan University of Science and Technology Graduate Education Innovation Project (SY2023049) for their support. The authors also gratefully acknowledge the helpful comments and suggestions from the anonymous reviewers, which significantly helped to improve this paper.</t>
  </si>
  <si>
    <t>10.1016/j.cie.2024.110118</t>
  </si>
  <si>
    <t>RJ6U5</t>
  </si>
  <si>
    <t>WOS:001227344000001</t>
  </si>
  <si>
    <t>Rivera-Gómez, H; Gharbi, A; Kenné, JP; Ortiz-Zarco, R; Corona-Armenta, JR</t>
  </si>
  <si>
    <t>Rivera-Gomez, Hector; Gharbi, Ali; Kenne, Jean-Pierre; Ortiz-Zarco, Ruth; Corona-Armenta, Jose Ramon</t>
  </si>
  <si>
    <t>Joint production, inspection and maintenance control policies for deteriorating system under quality constraint</t>
  </si>
  <si>
    <t>Quality sampling plan; Deterioration; Dynamic sampling; Production policy; Simulation; Preventive maintenance; Optimal control</t>
  </si>
  <si>
    <t>PREVENTIVE MAINTENANCE; IMPERFECT PRODUCTION; INTEGRATED PRODUCTION; OPTIMIZATION; INVENTORY; STRATEGY; SUBJECT; MODELS</t>
  </si>
  <si>
    <t>This paper studies the integration of production, sampling inspection and age-based maintenance planning for an unreliable production system subject to gradual deterioration. The deterioration process of the production unit has a twofold effect on its reliability and product quality. To mitigate the effects of such deterioration, an age based major maintenance can be conducted, which denotes a perfect repair that restores the production unit to initial conditions. The quality control is performed through a sampling plan that inspects a fraction of the parts produced. The problem further considers that the optimal decision must be determined under a constraint on the outgoing quality required by the final customer. In this domain, standard sampling procedures are applicable only to production process that are statistically stable and under control. Nevertheless, such sampling plans disregard the interaction with production management and maintenance issues and they do not consider the effects of deterioration. In this paper a new joint control policy considering the interactions between production quality and maintenance is proposed. A stochastic mathematical model is developed through specialized optimization techniques to solve such quality constrained problem. Numerical examples are provided to illustrate the usefulness of the proposed approach and to study the interactions between production-quality and maintenance strategies. An extensive sensitivity analysis and a comparative study are conducted to illustrate the effectiveness of the obtained joint control policy.</t>
  </si>
  <si>
    <t>[Rivera-Gomez, Hector; Corona-Armenta, Jose Ramon] Autonomous Univ Hidalgo, Acad Area Engn, Pachuca Tulancingo Rd Km 4-5, Mineral De La Reforma 42184, Hgo, Mexico; [Gharbi, Ali] Univ Quebec, Syst Engn Dept, Ecole Technol Super, Prod Syst Design &amp; Control Lab, 1100 Notre Dame St West, Montreal, PQ H3C 1K3, Canada; [Kenne, Jean-Pierre] Univ Quebec, Mech Engn Dept, Ecole Technol Super, Lab Integrated Prod Technol, 1100 Notre Dame St West, Montreal, PQ H3C 1K3, Canada; [Ortiz-Zarco, Ruth] Autonomous Univ Hidalgo, Acad Area Foreign Trade, La Conception Rd, San Agustin Tlaxiaca 42160, Hgo, Mexico</t>
  </si>
  <si>
    <t>University of Quebec; University of Quebec Montreal; Ecole de Technologie Superieure - Canada; University of Quebec; University of Quebec Montreal; Ecole de Technologie Superieure - Canada</t>
  </si>
  <si>
    <t>Gharbi, A (corresponding author), Univ Quebec, Syst Engn Dept, Ecole Technol Super, Prod Syst Design &amp; Control Lab, 1100 Notre Dame St West, Montreal, PQ H3C 1K3, Canada.</t>
  </si>
  <si>
    <t>hriver06@hotmail.com; ali.gharbi@etsmtl.ca; jean-pierre.kenne@etsmtl.ca; ruth_ortiz@uaeh.edu.mx; jrcorona@uaeh.edu.mx</t>
  </si>
  <si>
    <t>Kenné, Jean-Pierre/P-3303-2017; Rivera, Hector/AGB-5099-2022; CORONA ARMENTA, JOSE RAMON/AFU-2419-2022</t>
  </si>
  <si>
    <t>Corona Armenta, Jose Ramon/0000-0001-7157-1634; Rivera-Gomez, Hector/0000-0002-2903-2909; Gharbi, Ali/0000-0002-1919-9481</t>
  </si>
  <si>
    <t>Natural Sciences and Engineering Research Council of Canada (NSERC) [RGPIN-2020-05826]</t>
  </si>
  <si>
    <t>Natural Sciences and Engineering Research Council of Canada (NSERC)(Natural Sciences and Engineering Research Council of Canada (NSERC))</t>
  </si>
  <si>
    <t>This research has been supported by the Natural Sciences and Engineering Research Council of Canada (NSERC) under grant number: RGPIN-2020-05826.</t>
  </si>
  <si>
    <t>10.1016/j.jmsy.2021.07.018</t>
  </si>
  <si>
    <t>UI8SI</t>
  </si>
  <si>
    <t>WOS:000690869100003</t>
  </si>
  <si>
    <t>Dui, H; Wang, XY; Dong, XH; Zhu, TM; Zhai, YK</t>
  </si>
  <si>
    <t>Dui, Hongyan; Wang, Xinyue; Dong, Xinghui; Zhu, Tianmeng; Zhai, Yunkai</t>
  </si>
  <si>
    <t>Reliability model and emergency maintenance strategies for smart home systems</t>
  </si>
  <si>
    <t>Maintenance strategies; Reliability; Smart home systems; Recovery prioritization</t>
  </si>
  <si>
    <t>After the smart home system is impacted by malicious attacks or other factors, the system reliability drops drastically, so the user's living environment is greatly disturbed. To determine the emergency maintenance strategy, firstly, we study the failure mechanism of the smart home system by the fault tree theory, and distinguish the components into two types: critical components and non-critical components. Secondly, a recovery prioritization is proposed to measure the extent to which changes in the reliability of each component affect the reliability of the system. Then, three scenarios of smart home system failure are proposed. Under the constraints of time and cost, the maintenance strategies for the three scenarios are determined to achieve emergency recovery. Finally, through the multi-objective particle swarm optimization algorithm, the system reliability is maximized, the maintenance cost is minimized, and the optimal reliability recovery level of each component is obtained, so that the reliability of the smart home system is further improved. The effectiveness and practicality of the emergency maintenance strategies proposed in this paper are demonstrated by a smart home system example.</t>
  </si>
  <si>
    <t>[Dui, Hongyan; Wang, Xinyue; Dong, Xinghui; Zhai, Yunkai] Zhengzhou Univ, Sch Management, Zhengzhou 450001, Peoples R China; [Zhu, Tianmeng] Columbia Univ, Grad Sch Arts &amp; Sci, Dept Stat, New York, NY 10025 USA</t>
  </si>
  <si>
    <t>Zhengzhou University; Columbia University</t>
  </si>
  <si>
    <t>Zhai, YK (corresponding author), Zhengzhou Univ, Sch Management, Zhengzhou 450001, Peoples R China.</t>
  </si>
  <si>
    <t>zhaiyunkai1980@126.com</t>
  </si>
  <si>
    <t>Dong, Xinghui/0009-0007-8105-4850</t>
  </si>
  <si>
    <t>National Natural Science Foundation of China [72071182]; Major Project of Basic Research on Philosophy and Social Sciences in Henan Provincial Higher Education Institutions [2022-JCZD-21]; Zhongyuan Science and Technology Innovation Lead-ing Talent Project [244200510047]</t>
  </si>
  <si>
    <t>National Natural Science Foundation of China(National Natural Science Foundation of China (NSFC)); Major Project of Basic Research on Philosophy and Social Sciences in Henan Provincial Higher Education Institutions; Zhongyuan Science and Technology Innovation Lead-ing Talent Project</t>
  </si>
  <si>
    <t>The authors gratefully acknowledge the financial support for this research from the National Natural Science Foundation of China (No. 72071182) , Major Project of Basic Research on Philosophy and Social Sciences in Henan Provincial Higher Education Institutions (No. 2022-JCZD-21) , and Zhongyuan Science and Technology Innovation Lead-ing Talent Project (No. 244200510047) .</t>
  </si>
  <si>
    <t>10.1016/j.ress.2024.110402</t>
  </si>
  <si>
    <t>C2W5F</t>
  </si>
  <si>
    <t>WOS:001288009100001</t>
  </si>
  <si>
    <t>Zhang, N; Cai, KQ; Deng, YJ; Zhang, J</t>
  </si>
  <si>
    <t>Zhang, Nan; Cai, Kaiquan; Deng, Yingjun; Zhang, Jun</t>
  </si>
  <si>
    <t>Joint optimization of condition-based maintenance and condition-based production of a single equipment considering random yield and maintenance delay</t>
  </si>
  <si>
    <t>Lot sizing; Random yield; Maintenance delay; Markov decision process; Joint optimization</t>
  </si>
  <si>
    <t>SYSTEMS; POLICY; MODEL; AVAILABILITY; DEGRADATION; FRAMEWORK; REPAIRS</t>
  </si>
  <si>
    <t>In this paper, we study the integrated production-maintenance optimization problem of a deteriorating machine where random yield and maintenance delay are considered. The system deterioration is described by a discrete-time Markov chain. The production system faces a constant demand and a random yield which is proportional to the input quantity. A corrective maintenance needs to be scheduled if the machine enters into its failure state. Otherwise, the decision-maker can choose to schedule a preventive maintenance or decide how much to produce. The maintenance delay is considered in this work, where the maintenance crew arrival time is assumed to be non-negligible. We formulate the problem into a Markov decision process framework where the total discounted production-maintenance costs in the infinite horizon is minimized. Some structural properties of the optimal policy with respect to the machine condition, the inventory level are presented under mild conditions. A numerical example is given to present the model applicability. We also compare the model with the sequential approach to illustrate the characteristics and advantages of the proposed model. It may provide some managerial insight to the decision-maker when developing production schedules.</t>
  </si>
  <si>
    <t>[Zhang, Nan] Beijing Inst Technol, Sch Management &amp; Econ, Beijing, Peoples R China; [Cai, Kaiquan] Beihang Univ, Sch Elect &amp; Informat Engn, Beijing, Peoples R China; [Deng, Yingjun] Tianjin Univ, Ctr Appl Math, Tianjin, Peoples R China; [Zhang, Jun] Beijing Inst Technol, Adv Res Inst Multidisciplinary Sci, Beijing 100081, Peoples R China</t>
  </si>
  <si>
    <t>Beijing Institute of Technology; Beihang University; Tianjin University; Beijing Institute of Technology</t>
  </si>
  <si>
    <t>Cai, Kaiquan/ADM-6168-2022; Deng, Yingjun/AAK-1297-2020</t>
  </si>
  <si>
    <t>zhang, nan/0000-0003-0969-2456; cai, kai-quan/0000-0002-2108-291X</t>
  </si>
  <si>
    <t>10.1016/j.ress.2023.109694</t>
  </si>
  <si>
    <t>HJ3E8</t>
  </si>
  <si>
    <t>WOS:001159085600001</t>
  </si>
  <si>
    <t>Xia, TB; Shi, G; Si, GJ; Du, SC; Xi, LF</t>
  </si>
  <si>
    <t>Xia, Tangbin; Shi, Guo; Si, Guojin; Du, Shichang; Xi, Lifeng</t>
  </si>
  <si>
    <t>Energy-oriented joint optimization of machine maintenance and tool replacement in sustainable manufacturing</t>
  </si>
  <si>
    <t>Sustainable manufacturing; Energy consumption mechanism; Joint maintenance opportunity; Tool wear; Preventive replacement</t>
  </si>
  <si>
    <t>POWER-CONSUMPTION; HEALTH MANAGEMENT; CARBON TAX; WEAR; MODEL; PREDICTION</t>
  </si>
  <si>
    <t>With the increasing attention on sustainable manufacturing, operation and maintenance (O&amp;M) management focuses on not only budget limit, but also energy saving. For modern CNC systems, besides the energy consumption to operate and maintain the machine, a majority of energy consumption generated from tool wear should be considered. It means both machine degradation and tool wear are required to be modelled for the global saving energy. Thus, this paper proposes an energy-oriented joint optimization of machine maintenance and tool replacement (EJMR) policy by integrating energy consumption mechanisms and joint maintenance opportunities in a machine-tool system. The key issue is to combine the preventive maintenance (PM) scheduling of the machine and the polish/preventive replacement (PR) optimization of sequential tools to form energyeffective schemes. Therefore, joint maintenance opportunities of PM actions are utilized to perform tool polish/PR based on energy consumption mechanisms. Four successive procedures (energy consumption analysis, energy-oriented PM scheduling, machine-tool PR model and integrated decision-making process) are developed. Thereby optimal intervals of machine PM and tool polish/PR are obtained to save energy. The case study illustrates that compared with conventional maintenance policies, this proposed EJMR policy can significantly reduce the total non-value-added energy consumption (TNVE) in sustainable manufacturing.</t>
  </si>
  <si>
    <t>[Xia, Tangbin; Shi, Guo; Si, Guojin; Du, Shichang; Xi, Lifeng] Shanghai Jiao Tong Univ, SJTU Fraunhofer Ctr, Sch Mech Engn, State Key Lab Mech Syst &amp; Vibrat, Shanghai 200240, Peoples R China</t>
  </si>
  <si>
    <t>National Natural Science Foundation of China [51875359]; Natural Science Foundation of Shanghai [20ZR1428600]; Ministry of Education China Mobile Research Foundation [CMHQ-JS-201900003]; Intelligent Manufacturing Industrial Projects of Lingang Area [ZN2017020101]</t>
  </si>
  <si>
    <t>National Natural Science Foundation of China(National Natural Science Foundation of China (NSFC)); Natural Science Foundation of Shanghai(Natural Science Foundation of Shanghai); Ministry of Education China Mobile Research Foundation; Intelligent Manufacturing Industrial Projects of Lingang Area</t>
  </si>
  <si>
    <t>This research is supported by National Natural Science Foundation of China (51875359) , Natural Science Foundation of Shanghai (20ZR1428600) , Ministry of Education China Mobile Research Foundation (CMHQ-JS-201900003) and Intelligent Manufacturing Industrial Projects of Lingang Area (ZN2017020101) .</t>
  </si>
  <si>
    <t>10.1016/j.jmsy.2021.01.015</t>
  </si>
  <si>
    <t>SI3CZ</t>
  </si>
  <si>
    <t>WOS:000654704500002</t>
  </si>
  <si>
    <t>Shang, LJ; Cai, ZQ; Chen, HD; Zhang, S</t>
  </si>
  <si>
    <t>Shang, Lijun; Cai, Zhiqiang; Chen, Hudong; Zhang, Shuai</t>
  </si>
  <si>
    <t>Post-warranty maintenance optimization for products with deterioration depending on aging and shock</t>
  </si>
  <si>
    <t>Internal aging; external shock; renewable warranty; repair-limit; preventive maintenance</t>
  </si>
  <si>
    <t>2-DIMENSIONAL WARRANTY; REPLACEMENT POLICY; SERVICING STRATEGY; SYSTEM; MODEL; DEGRADATION; SUBJECT; DESIGN; PRICE; RELIABILITY</t>
  </si>
  <si>
    <t>Due to the non-substitutability of the product, the monopoly manufacturer designs warranty to reduce maximally warranty cost. Although the monopoly manufacturer maintains responsibly product reliability in warranty, the consumer still confronts a problem about how to sustain product reliability after the designed warranty expires. Goal of this paper is, from the consumer?s perspective, to propose a reliability maintenance policy after expiry of the monopoly manufacturer?s warranty. First, a renewable repair-limit pro-rata replacement warranty (RRLPRRW) policy is considered from viewpoint of the monopoly manufacturer and used as a quality guarantee of the product with the deterioration affected by internal aging and external shock. Second, depreciation cost is earlier considered in the process of modeling life cycle cost, which differs from the traditional works on the consumer?s post-warranty reliability maintenance problem. Third, the consumer?s discounted cost rate model considering depreciation cost is derived to achieve optimal maintenance policy. Finally, a numerical example is provided to illustrate our approach. It was found that the proposed maintenance policy is more effective and the depreciation cost considered in life cycle cost has significant effect on extension of the post-warranty period.</t>
  </si>
  <si>
    <t>[Shang, Lijun; Cai, Zhiqiang; Zhang, Shuai] Northwestern Polytech Univ, Sch Mech Engn, Xian, Shaanxi, Peoples R China; [Chen, Hudong] Shenhua Zhunneng Co, Equipment Maintenance Ctr, Hohhot, Peoples R China</t>
  </si>
  <si>
    <t>Cai, ZQ (corresponding author), Northwestern Polytech Univ, Sch Mech Engn, Xian, Shaanxi, Peoples R China.</t>
  </si>
  <si>
    <t>caizhiqiang@nwpu.edu.cn</t>
  </si>
  <si>
    <t>Shang, Lijun/AAT-8172-2020; Cai, Zhiqiang/GLS-3354-2022</t>
  </si>
  <si>
    <t>Cai, Zhiqiang/0000-0002-7380-8110</t>
  </si>
  <si>
    <t>National Natural Science Foundation of China [71471147, 71631001]; Basic Research Project of Natural Science in Shaanxi Province [2018JM7009]; 111 Project [B13044]</t>
  </si>
  <si>
    <t>National Natural Science Foundation of China(National Natural Science Foundation of China (NSFC)); Basic Research Project of Natural Science in Shaanxi Province; 111 Project(Ministry of Education, China - 111 Project)</t>
  </si>
  <si>
    <t>This work was supported by the National Natural Science Foundation of China [grant number 71471147], [grant number 71631001]; Basic Research Project of Natural Science in Shaanxi Province [grant number 2018JM7009]; and 111 Project [grant number B13044].</t>
  </si>
  <si>
    <t>NOV 2</t>
  </si>
  <si>
    <t>10.1080/16843703.2018.1509431</t>
  </si>
  <si>
    <t>JE3QW</t>
  </si>
  <si>
    <t>WOS:000490610900002</t>
  </si>
  <si>
    <t>Shi, HH; Zhang, J; Zio, E; Zhao, XF</t>
  </si>
  <si>
    <t>Shi, Haohao; Zhang, Ji; Zio, Enrico; Zhao, Xufeng</t>
  </si>
  <si>
    <t>Opportunistic maintenance policies for multi-machine production systems with quality and availability improvement</t>
  </si>
  <si>
    <t>Multi-machine production system; Condition indicator; Opportunistic maintenance; Quality improvement; Availability improvement</t>
  </si>
  <si>
    <t>MANUFACTURING SYSTEMS; ORIENTED-MAINTENANCE; RELIABILITY; STRATEGY</t>
  </si>
  <si>
    <t>Effective maintenance policies can improve the production system performance by alleviating product quality degradation and increasing system reliability and availability. However, reliability, product quality degrada-tion, and availability are conflicting optimization objectives and are rarely considered together in maintenance policy optimization. Aiming at optimizing these three objectives simultaneously, this paper proposes a joint model for opportunistic maintenance (OM), and product quality and availability improvement of a series multi -machine production system (MMPS). First, a condition index (CI) is developed to characterize the condition of individual machines based on monitoring data, and the corresponding threshold functions are developed to realize maintenance decision-making for individual machines. Then, considering maintenance dependence in the MMPS, based on the CI, the dual dynamic threshold functions are introduced: the preventive maintenance (PM) and the OM threshold functions, and a novel dual-dynamic-thresholds-based OM policy is developed. Whenever the CI of a machine reaches its PM threshold, all the other machines whose CI reaches the OM zone will be maintained together with this machine. Finally, a case study and comparisons are performed to show that the proposed model can simultaneously provide good production economic performance, high quality, and availability.</t>
  </si>
  <si>
    <t>[Shi, Haohao; Zhang, Ji] Chongqing Univ, Coll Mech &amp; Vehicle Engn, Chongqing 400044, Peoples R China; [Zio, Enrico] Politecn Milan, Energy Dept, I-20156 Milan, Italy; [Zhao, Xufeng] MINES Paris PSL, CRC, F-75006 Sophia Antipolis, France; [Zhao, Xufeng] Nanjing Univ Aeronaut &amp; Astronaut, Coll Econ &amp; Management, Nanjing 211106, Peoples R China; [Zhao, Xufeng] Wenzhou Univ, Coll Mech &amp; Elect Engn, Wenzhou 325035, Peoples R China</t>
  </si>
  <si>
    <t>Chongqing University; Polytechnic University of Milan; Universite PSL; MINES ParisTech; Nanjing University of Aeronautics &amp; Astronautics; Wenzhou University</t>
  </si>
  <si>
    <t>Zhao, XF (corresponding author), Nanjing Univ Aeronaut &amp; Astronaut, Coll Econ &amp; Management, Nanjing 211106, Peoples R China.</t>
  </si>
  <si>
    <t>zx.peak@outlook.com</t>
  </si>
  <si>
    <t>Zhang, Ji/0000-0002-7776-9630; Zhao, Xufeng/0000-0002-9423-5366</t>
  </si>
  <si>
    <t>Graduate Scientific Research and Innovation Foundation of Chongqing, China [CYB190 08]; National Natural Science Foundation of China [71801126]</t>
  </si>
  <si>
    <t>Graduate Scientific Research and Innovation Foundation of Chongqing, China; National Natural Science Foundation of China(National Natural Science Foundation of China (NSFC))</t>
  </si>
  <si>
    <t>Funding This work was supported by the Graduate Scientific Research and Innovation Foundation of Chongqing, China under Grant [No. CYB190 08] ; National Natural Science Foundation of China under Grant [No. 71801126] .</t>
  </si>
  <si>
    <t>10.1016/j.ress.2023.109183</t>
  </si>
  <si>
    <t>A6NQ2</t>
  </si>
  <si>
    <t>WOS:000956272900001</t>
  </si>
  <si>
    <t>Zhang, FX; Shen, JY; Liao, HT; Ma, YZ</t>
  </si>
  <si>
    <t>Zhang, Fengxia; Shen, Jingyuan; Liao, Haitao; Ma, Yizhong</t>
  </si>
  <si>
    <t>Optimal preventive maintenance policy for a system subject to two-phase imperfect inspections</t>
  </si>
  <si>
    <t>Delay time model; Imperfect inspection; Two-phase inspection; Optimal maintenance policy</t>
  </si>
  <si>
    <t>DELAY-TIME; PERIODIC INSPECTION; 2-COMPONENT SYSTEM; OPTIMIZATION; FAILURE; MODEL; AVAILABILITY; QUALITY</t>
  </si>
  <si>
    <t>Inspections are essential to finding the health status of a system. However, inspections are usually imperfect, which may not always reveal the true state of the system. Most of research on imperfect inspections of degrading systems focuses on one-phase inspections, but a multi-phase inspection strategy may be more flexible and efficient. In this paper, a two-phase imperfect inspection strategy is considered along with a hybrid preventive maintenance policy for a three-state system. To minimize the maintenance cost, the optimal inspection interval and number of inspections in each phase are obtained based on the renewal reward theorem. Numerical examples are provided to illustrate the proposed method and to explore some managerial insights. To show the advantages of the proposed method, several special models, such as perfect inspection model, one-phase inspection model, and pure inspection model, are presented for comparison. One can see that taking account of imperfect inspections in maintenance management is important, the two-phase inspection policy is generally better than the one-phase inspection, and the pure inspection model might be cost-optimal for the system with a constant defect rate.</t>
  </si>
  <si>
    <t>[Zhang, Fengxia; Shen, Jingyuan; Ma, Yizhong] Nanjing Univ Sci &amp; Technol, Sch Econ &amp; Management, Nanjing 210094, Jiangsu, Peoples R China; [Liao, Haitao] Univ Arkansas, Dept Ind Engn, Fayetteville, AR 72701 USA</t>
  </si>
  <si>
    <t>Nanjing University of Science &amp; Technology; University of Arkansas System; University of Arkansas Fayetteville</t>
  </si>
  <si>
    <t>Ma, YZ (corresponding author), Nanjing Univ Sci &amp; Technol, Sch Econ &amp; Management, Nanjing 210094, Jiangsu, Peoples R China.</t>
  </si>
  <si>
    <t>Liao, Haitao/0000-0003-1050-7086</t>
  </si>
  <si>
    <t>National Natural Science Foundation of China [71931006, 71871119, 71801128]</t>
  </si>
  <si>
    <t>The research was supported by the National Natural Science Foundation of China (Nos. 71931006, 71871119 and 71801128).</t>
  </si>
  <si>
    <t>10.1016/j.ress.2020.107254</t>
  </si>
  <si>
    <t>WOS:000589091300037</t>
  </si>
  <si>
    <t>Asadzadeh, SM; Taghizadeh-Yazdi, MR; Mozaffari, MM</t>
  </si>
  <si>
    <t>Asadzadeh, Seyed Mohammad; Taghizadeh-Yazdi, Mohammad Reza; Mozaffari, Mohammad Mahdi</t>
  </si>
  <si>
    <t>A SIMULATION STUDY OF PREDICTIVE CONDITION-BASED MAINTENANCE STRATEGY FOR ITEMS PURCHASED WITH EXTENDED WARRANTY</t>
  </si>
  <si>
    <t>Warranty; Condition-Based Maintenance; Prognosis Error; Maintenance Human Error; Life Cycle Cost; Simulation</t>
  </si>
  <si>
    <t>PREVENTIVE MAINTENANCE; 2-DIMENSIONAL WARRANTY; REPAIRABLE PRODUCT; RENEWING WARRANTY; OPTIMIZATION; POLICY; MODEL; COST; SYSTEMS; EXPIRATION</t>
  </si>
  <si>
    <t>This paper studies predictive condition-based maintenance (CBM) and failure-based replacement for a degrading machine protected by an extended warranty policy. After the warranty expires, replacement is made based on the number of major failures, and preventive actions are scheduled based on condition monitoring. The aim is to develop a simulation model for system life cycle cost (LCC) analysis with respect to decision variables, including the length of the warranty period, the maximum number of failures allowed after the warranty period, and the degradation threshold for triggering PM action in CBM. Moreover, the CBM system may be affected by two types of error: prognosis error and maintenance human error. The proposed model incorporates human and prognosis errors into the global system optimization model. Optimal warranty and replacement policies, along with optimal CBM implementation policy, are derived to ensure minimum long-run LCC. This study also discusses the effects of the error parameters on customers' decisions and costs.</t>
  </si>
  <si>
    <t>[Asadzadeh, Seyed Mohammad] Univ Denmark, Dept Elect &amp; Photon Engn Tech, Automation &amp; Control Grp, DK-2800 Lyngby, Denmark; [Taghizadeh-Yazdi, Mohammad Reza] Univ Tehran Tehran, Dept Ind Management, Fac Management, Tehran, Iran; [Mozaffari, Mohammad Mahdi] Imam Khomeini Int Univ, Fac Social Sci, Qazvin, Iran</t>
  </si>
  <si>
    <t>Technical University of Denmark; Imam Khomeini International University</t>
  </si>
  <si>
    <t>Taghizadeh-Yazdi, MR (corresponding author), Univ Tehran Tehran, Dept Ind Management, Fac Management, Tehran, Iran.</t>
  </si>
  <si>
    <t>mrtaghizadeh@ut.ac.ir</t>
  </si>
  <si>
    <t>Asadzadeh, Seyed/I-6764-2019</t>
  </si>
  <si>
    <t>Asadzadeh, Seyed Mohammad/0000-0002-3127-8211</t>
  </si>
  <si>
    <t>1072-4761</t>
  </si>
  <si>
    <t>10.23055/ijietap.2022.29.4.3453</t>
  </si>
  <si>
    <t>6E0CH</t>
  </si>
  <si>
    <t>WOS:000883051500001</t>
  </si>
  <si>
    <t>Ruan, YP; Yu, JL; Luo, XG; Huang, WP; Ding, XH</t>
  </si>
  <si>
    <t>Ruan, Yuanpeng; Yu, Jinlong; Luo, Xinggang; Huang, Wenpo; Ding, Xianghai</t>
  </si>
  <si>
    <t>Condition-based maintenance policy for shared service-oriented leased equipment</t>
  </si>
  <si>
    <t>Shared service; Leased equipment; Condition-based maintenance; Performance deterioration; Optimization</t>
  </si>
  <si>
    <t>DEGRADING SYSTEM; STRATEGY; OPTIMIZATION; WARRANTY</t>
  </si>
  <si>
    <t>Due to growing consumer demands for immediacy, personalization, and high availability, equipment manufacturers are venturing into the sharing market with expanded shared leasing services. While selling usage rights of equipment, they provide additional services to the consumer in the role of equipment operators, such as free maintenance and swap. However, uncertain usage rates and return times in the shared model pose significant maintenance challenges. This paper proposes a personalized condition-based maintenance (CBM) policy accounting for these uncertainties and heterogeneous consumer usage patterns. By considering inspection, maintenance, and penalty costs, we minimize the long-run expected maintenance cost per unit of time for operators. In the numerical example, we compare our policy against fixed inspection interval CBM policy and non-fixed inspection interval CBM under average usage rate, demonstrating that personalized CBM reduces maintenance costs. Sensitivity analysis provides some managerial insights. Firstly, operators should adjust the number of free swaps strategically to manage the intensity of equipment swaps, and strike a balance between the increased maintenance costs due to the swap intensity enhancement and the improved user satisfaction and equipment availability resulting from the increased number of free swaps. Secondly, when the acceleration effect of imperfect maintenance on the degradation rate is strengthened, operators should prioritize reducing the frequency of imperfect maintenance and increasing the frequency of perfect preventive maintenance. Moreover, operators must make strategic investments in their maintenance actions, balancing maintenance costs and penalty costs to develop cost-effective imperfect maintenance improvement factors.</t>
  </si>
  <si>
    <t>[Ruan, Yuanpeng; Luo, Xinggang; Huang, Wenpo; Ding, Xianghai] Hangzhou Dianzi Univ, Expt Ctr Data Sci &amp; Intelligent Decis, Hangzhou 310018, Peoples R China; [Yu, Jinlong] Hangzhou Dianzi Univ, Sch Management, Hangzhou 310018, Peoples R China</t>
  </si>
  <si>
    <t>Hangzhou Dianzi University; Hangzhou Dianzi University</t>
  </si>
  <si>
    <t>Luo, XG (corresponding author), Hangzhou Dianzi Univ, Expt Ctr Data Sci &amp; Intelligent Decis, Hangzhou 310018, Peoples R China.</t>
  </si>
  <si>
    <t>xgluo@mail.neu.edu.cn</t>
  </si>
  <si>
    <t>Luo, X.G./0000-0002-7689-8449</t>
  </si>
  <si>
    <t>Natural Science Foundation of Zhe-jiang Province [LY22G010009]; Fundamental Research Funds for the Provincial Universities of Zhejiang [GK209907299001-213]; Humanities and Social Sciences Project of the Ministry of Education of China [23YJC630146, 20YJC910006]; Major Humanities and Social Sciences Research Projects in Zhejiang higher education institutions [2023QN003]; National Natural Science Foundation of China [72371086, 72171064]</t>
  </si>
  <si>
    <t>Natural Science Foundation of Zhe-jiang Province(Natural Science Foundation of Zhejiang Province); Fundamental Research Funds for the Provincial Universities of Zhejiang; Humanities and Social Sciences Project of the Ministry of Education of China; Major Humanities and Social Sciences Research Projects in Zhejiang higher education institutions; National Natural Science Foundation of China(National Natural Science Foundation of China (NSFC))</t>
  </si>
  <si>
    <t>This work is supported by the Natural Science Foundation of Zhe-jiang Province [grant number LY22G010009] ; Fundamental Research Funds for the Provincial Universities of Zhejiang [grant number GK209907299001-213] ; Humanities and Social Sciences Project of the Ministry of Education of China [grant numbers 23YJC630146, 20YJC910006] ; Major Humanities and Social Sciences Research Projects in Zhejiang higher education institutions [grant number 2023QN003] ; National Natural Science Foundation of China [grant numbers 72371086, 72171064] .</t>
  </si>
  <si>
    <t>10.1016/j.cie.2024.110643</t>
  </si>
  <si>
    <t>J7Q2U</t>
  </si>
  <si>
    <t>WOS:001338965500001</t>
  </si>
  <si>
    <t>Munguba, CFD; Leite, GDP; Ochoa, AAV; Droguett, EL</t>
  </si>
  <si>
    <t>Munguba, Caio Filipe de Lima; Leite, Gustavo de Novaes Pires; Ochoa, Alvaro Antonio Villa; Droguett, Enrique Lopez</t>
  </si>
  <si>
    <t>Condition-based maintenance with reinforcement learning for refrigeration systems with selected monitored features</t>
  </si>
  <si>
    <t>Refrigeration; Degradation; Energy; Condition-based maintenance; Reinforcement learning</t>
  </si>
  <si>
    <t>Worldwide, buildings are responsible for almost 30% of energy consumption, and those buildings that intensively use refrigeration systems, such as supermarkets and grocery stores, are also among the most energy -intensive consumers. Refrigeration devices, either commercial or residential, are responsible for a significant part of net emissions. Based on careful measurements, it is possible to reduce energy consumption in these devices by up to 15% only by improving the fault detection and diagnosis techniques. Thus, improving maintenance programs has become a crucial area in energy management in recent years. Nowadays, the market has experienced a hike after smart systems and new network interfaces applied to smart buildings that have allowed previously isolated devices to become smart devices, interacting with control algorithms smartly and, to some extent, autonomously. Here, we propose a reinforcement learning framework to develop a maintenance policy for mechanical compression refrigeration devices. Firstly, a test bench is built in which each component is assigned to be individually repairable and individually degradable in parallel and interconnected processes. Then, the degradation of the components is combined to formulate the system degradation, and the optimal maintenance policy is modeled via Markov decision processes and solved by a reinforcement learning algorithm. The agent-proposed maintenance program if compared to corrective maintenance, managed to reduce energy use and emissions by around 6% while avoiding shortfalls, as well as about the preventive program, where the agent managed to accomplish the same level of energy efficiency while reducing the maintenance costs by 31% and the time under maintenance in 10%. It was found that the reinforcement learning frameworks applied to maintenance have a series of challenges but are innovative and can show promising results compared to traditional maintenance techniques, such as preventive and corrective ones.</t>
  </si>
  <si>
    <t>[Munguba, Caio Filipe de Lima; Leite, Gustavo de Novaes Pires; Ochoa, Alvaro Antonio Villa] Univ Fed Pernambuco, Mech Engn Dept PPGEM, UFPE, Recife, Brazil; [Leite, Gustavo de Novaes Pires; Ochoa, Alvaro Antonio Villa] Fed Inst Educ Sci &amp; Technol Pernambuco, IFPE, DACI, CACTR, Campus Recife, Recife, Brazil; [Droguett, Enrique Lopez] Univ Calif Los Angeles, Garrick Inst Risk Sci, Los Angeles, CA 90095 USA; [Droguett, Enrique Lopez] Univ Calif Los Angeles, Dept Civil &amp; Environm Engn, Los Angeles, CA 90095 USA; [Ochoa, Alvaro Antonio Villa] IFPE Recife, Recife, Brazil</t>
  </si>
  <si>
    <t>Universidade Federal de Pernambuco; Instituto Federal de Pernambuco (IFPE); University of California System; University of California Los Angeles; University of California System; University of California Los Angeles</t>
  </si>
  <si>
    <t>Ochoa, AAV (corresponding author), IFPE Recife, Recife, Brazil.</t>
  </si>
  <si>
    <t>caio.munguba@ufpe.br; gustavonovaes@recife.ifpe.edu.br; ochoaalvaro@recife.ifpe.edu.br; eald@ucla.edu</t>
  </si>
  <si>
    <t>Droguett, Enrique/AAC-9758-2019; de Novaes Pires Leite, Gustavo/T-8851-2018; ochoa, alvaro/E-8497-2015</t>
  </si>
  <si>
    <t>de Novaes Pires Leite, Gustavo/0000-0001-5147-3498; Munguba, Caio/0000-0003-3524-2432; ochoa, alvaro/0000-0001-7597-3358</t>
  </si>
  <si>
    <t>CAPEs; IFPE [10/2019/Propesq]; CNPq [309151-2019-7, 303417/2022-6]</t>
  </si>
  <si>
    <t>CAPEs(Coordenacao de Aperfeicoamento de Pessoal de Nivel Superior (CAPES)); IFPE; CNPq(Conselho Nacional de Desenvolvimento Cientifico e Tecnologico (CNPQ))</t>
  </si>
  <si>
    <t>The first author thanks the CAPEs for the scholarship of the masters degree and the PPGEM/UFPE. The second and the third authors thank IFPE for its financial support throughout the Call 10/2019/Propesq. The third author thanks the CNPq for the scholarships of Productivity no309151-2019-7 and 303417/2022-6.</t>
  </si>
  <si>
    <t>10.1016/j.engappai.2023.106067</t>
  </si>
  <si>
    <t>A4SH1</t>
  </si>
  <si>
    <t>WOS:000955035300001</t>
  </si>
  <si>
    <t>Wang, SQ; Zhao, X; Wu, CS; Wang, XY</t>
  </si>
  <si>
    <t>Wang, Siqi; Zhao, Xian; Wu, Congshan; Wang, Xiaoyue</t>
  </si>
  <si>
    <t>Joint optimization of multi-stage component reassignment and preventive maintenance for balanced systems considering imperfect maintenance</t>
  </si>
  <si>
    <t>Component reassignment; Imperfect maintenance; Multi-stage balanced systems; Markov decision process</t>
  </si>
  <si>
    <t>In this paper, a balanced system consisting of several multi-state components is considered to work during multiple sequential stages. The system is balanced when the largest state difference among all components is no greater than a predetermined value. The system fails when it loses balance or when at least one component is completely failed. Components on different positions are functionally exchangeable, while their degradation characteristics vary with distinct loads and external environments. To keep system balance in the long term and improve its reliability, a joint policy of component reassignment and preventive maintenance is proposed considering imperfect maintenance. The positions of components can be exchanged, and they can be maintained to any better states or be left in the present states. At the beginning of each stage, operators need to decide whether and how to reassign and maintain the components to minimize the total expected cost. A Markov decision process is constructed to model the system operation process and to obtain the optimal joint strategies. Two heuristic policies are presented to compare with the proposed policy. A numerical example based on a three-wheel mobile robot is investigated to illustrate the proposed model and validate the effectiveness of the algorithm.</t>
  </si>
  <si>
    <t>[Wang, Siqi; Wang, Xiaoyue] Beijing Technol &amp; Business Univ, Sch Ebusiness &amp; Logist, Beijing 100048, Peoples R China; [Zhao, Xian] Beijing Inst Technol, Sch Management &amp; Econ, Beijing 100081, Peoples R China; [Wu, Congshan] Beijing Informat Sci &amp; Technol Univ, Sch Econ &amp; Management, Beijing 100192, Peoples R China</t>
  </si>
  <si>
    <t>Beijing Technology &amp; Business University; Beijing Institute of Technology; Beijing Information Science &amp; Technology University</t>
  </si>
  <si>
    <t>Wang, Siqi/ABE-3341-2020</t>
  </si>
  <si>
    <t>Wang, Xiaoyue/0000-0001-8978-9236</t>
  </si>
  <si>
    <t>National Natural Science Foundation of China [71971026, 72131002, 72001006]; Science and Tech-nology Innovation Project of Beijing Institute of Technology, China [2021CX01022, LY2022-23]; Beijing Social Science Foundation, China [20GLC 052]; Research Foundation for Youth Scholars of Beijing Technol-ogy and Business University, China</t>
  </si>
  <si>
    <t>National Natural Science Foundation of China(National Natural Science Foundation of China (NSFC)); Science and Tech-nology Innovation Project of Beijing Institute of Technology, China; Beijing Social Science Foundation, China; Research Foundation for Youth Scholars of Beijing Technol-ogy and Business University, China</t>
  </si>
  <si>
    <t>Acknowledgments This work is supported by National Natural Science Foundation of China (71971026, 72131002 and 72001006) , Science and Tech-nology Innovation Project of Beijing Institute of Technology, China (2021CX01022 and LY2022-23) , Beijing Social Science Foundation, China (Grant No. 20GLC 052) , and Research Foundation for Youth Scholars of Beijing Technol-ogy and Business University, China.</t>
  </si>
  <si>
    <t>10.1016/j.ress.2023.109367</t>
  </si>
  <si>
    <t>I4AH2</t>
  </si>
  <si>
    <t>WOS:001002215900001</t>
  </si>
  <si>
    <t>Ma, XY; Liu, B; Yang, L; Peng, R; Zhang, XD</t>
  </si>
  <si>
    <t>Ma, Xiaoyang; Liu, Bin; Yang, Li; Peng, Rui; Zhang, Xiaodong</t>
  </si>
  <si>
    <t>Reliability analysis and condition-based maintenance optimization for a warm standby cooling system</t>
  </si>
  <si>
    <t>Warm standby; Temperature; Degradation process; Reliability evaluation; Condition-based maintenance</t>
  </si>
  <si>
    <t>REDUNDANT REPAIRABLE SYSTEM; PREVENTIVE MAINTENANCE; DEGRADATION; MODEL; TIME</t>
  </si>
  <si>
    <t>Coolers are critical components in various industrial systems, which can effectively mitigate temperature-induced failure risks. In this paper, we investigate the reliability analysis and maintenance optimization approaches of a two-unit warm standby cooling equipment. The working conditions of both coolers have significant influence on the temperature variation of the target system. When at least one cooler is working normally, the temperature rises slowly (represented by a small degradation rate); otherwise the temperature rises sharply (represented by a relatively large degradation rate). We use a multi-stage Wiener process to characterize the degradation trend of the system. The reliability function of the system is formulated, and accordingly a condition-based maintenance policy is developed based on temperature monitoring information. The maintenance cost is minimized via the joint optimization of the temperature control limit and age threshold. A case study of an enclosed busbar with two coolers is given to illustrate the application of the proposed model.</t>
  </si>
  <si>
    <t>[Ma, Xiaoyang] Beijing Informat Sci &amp; Technol Univ, Sch Informat Management, Beijing, Peoples R China; [Liu, Bin] Univ Strathclyde, Dept Management Sci, Glasgow, Lanark, Scotland; [Yang, Li] Univ Toronto, Dept Mech &amp; Ind Engn, Toronto, ON, Canada; [Peng, Rui; Zhang, Xiaodong] Univ Sci &amp; Technol Beijing, Donlinks Sch Econ &amp; Management, Beijing, Peoples R China; [Peng, Rui] Beijing Univ Technol, Sch Econ &amp; Management, Beijing, Peoples R China</t>
  </si>
  <si>
    <t>Beijing Information Science &amp; Technology University; University of Strathclyde; University of Toronto; University of Science &amp; Technology Beijing; Beijing University of Technology</t>
  </si>
  <si>
    <t>Yang, L (corresponding author), Univ Toronto, Dept Mech &amp; Ind Engn, Toronto, ON, Canada.</t>
  </si>
  <si>
    <t>yangli@mie.utoronto.ca</t>
  </si>
  <si>
    <t>Peng, Rui/AAL-7506-2020; zhang, xiaodong/HNS-5895-2023; Liu, Bin/GZM-0167-2022; Yang, Li/ADU-8475-2022</t>
  </si>
  <si>
    <t>Liu, Bin/0000-0002-3946-8124</t>
  </si>
  <si>
    <t>NSFC [71671016, 71231001]</t>
  </si>
  <si>
    <t>NSFC(National Natural Science Foundation of China (NSFC))</t>
  </si>
  <si>
    <t>The research reported here was partially supported by the NSFC under grant numbers 71671016, 71231001.</t>
  </si>
  <si>
    <t>10.1016/j.ress.2019.106588</t>
  </si>
  <si>
    <t>JU4IN</t>
  </si>
  <si>
    <t>WOS:000501641400003</t>
  </si>
  <si>
    <t>Yu, YL; Zhang, C</t>
  </si>
  <si>
    <t>Yu, Yangli; Zhang, Chi</t>
  </si>
  <si>
    <t>Optimization of a preventive maintenance strategy for a product with limited repair times</t>
  </si>
  <si>
    <t>Minimal repair; preventive maintenance; cost function; power law distribution</t>
  </si>
  <si>
    <t>EXTENDED WARRANTY; LIFE-CYCLE; POLICY; MANAGEMENT; DESIGN; MODELS; LENGTH</t>
  </si>
  <si>
    <t>This paper proposes a base warranty and replacement warranty strategy for repairable products. It should be emphasized that the product failure rate is low in the early stage of the base warranty. Therefore, in order to reduce the manufacturer's maintenance cost, the manufacturer does not carry out preventive maintenance in the early stage of the base warranty, and carries out regular preventive maintenance in the later stage of the base warranty. At the same time, if the number of product failures in the base warranty exceeds the specified limit, the manufacturer must replace products for customers free of charge according to the warranty contract. After the product is replaced, if the number of product failures does not exceed the limit, the manufacturer will continue to provide customers with the remaining base warranty period of the original product, and the warranty period will continue to be extended for a period of time. By minimizing the expected cost rate, it is shown that the optimal maintenance policy for warranty products is unique. Finally, we give a numerical example and study the effects of periodic preventive maintenance and other relevant parameters on the optimal solution.</t>
  </si>
  <si>
    <t>[Yu, Yangli; Zhang, Chi] Beijing Univ Technol, Sch Econ &amp; Management, Beijing, Peoples R China; [Zhang, Chi] Beijing Univ Technol, Sch Econ &amp; Management, 100 Pingyuanyuan, Beijing 100124, Peoples R China</t>
  </si>
  <si>
    <t>Beijing University of Technology; Beijing University of Technology</t>
  </si>
  <si>
    <t>Zhang, C (corresponding author), Beijing Univ Technol, Sch Econ &amp; Management, 100 Pingyuanyuan, Beijing 100124, Peoples R China.</t>
  </si>
  <si>
    <t>chizhang@live.com</t>
  </si>
  <si>
    <t>10.1177/1748006X231218496</t>
  </si>
  <si>
    <t>JAN 2024</t>
  </si>
  <si>
    <t>U2I3U</t>
  </si>
  <si>
    <t>WOS:001142016400001</t>
  </si>
  <si>
    <t>Li, HL; Zheng, SF; Shen, YH; Han, MH; Zhang, R; Zhao, HD</t>
  </si>
  <si>
    <t>Li, Helin; Zheng, Shufeng; Shen, Yonghao; Han, Minghai; Zhang, Rui; Zhao, Huadong</t>
  </si>
  <si>
    <t>Hydro-steel structure digital twins: Application in structural health monitoring and maintenance of large-scale reservoir</t>
  </si>
  <si>
    <t>ADVANCED ENGINEERING INFORMATICS</t>
  </si>
  <si>
    <t>Digital twin; Hydro-steel structures; Structural health monitoring; Maintenance management</t>
  </si>
  <si>
    <t>MITER-GATE; CHALLENGES; FAULT</t>
  </si>
  <si>
    <t>In the context of frequent accidents during hydro-steel structures (HSS) operations due to harsh environments and extended service conditions, a novel approach is proposed to reduce the frequency of structural failure incidents and ensure safe and reliable operation. The approach begins with introducing a comprehensive DT modeling framework. Subsequently, detailed DT modeling and DT-based SHM methods are developed. Finally, a platform with perception, interaction, analysis, and decision-making for intelligent health monitoring and maintenance of HSS is constructed and validated in China's large-scale reservoir project, Luhun Reservoir. The platform includes functions of condition monitoring, fault feature recognition, health status assessment, and maintenance strategies optimization. The integration of DT technology has led to significant improvements in health monitoring and maintenance quality, which includes data collection, model optimization, comprehensive evaluation, and decision-making. This approach has also demonstrated its effectiveness by reducing the operation and maintenance response time and enhancing the overall efficiency and reliability.</t>
  </si>
  <si>
    <t>[Li, Helin; Zheng, Shufeng; Shen, Yonghao; Zhang, Rui; Zhao, Huadong] Zhengzhou Univ, Sch Mech &amp; Power Engn, Zhengzhou 450001, Peoples R China; [Li, Helin; Zhang, Rui; Zhao, Huadong] Intelligent Mfg Res Inst Henan Prov, Zhengzhou 450001, Peoples R China; [Han, Minghai] Luhun Reservoir Operat Ctr Henan Prov, Luoyang 471000, Peoples R China</t>
  </si>
  <si>
    <t>Zhengzhou University</t>
  </si>
  <si>
    <t>Zhao, HD (corresponding author), Zhengzhou Univ, Sch Mech &amp; Power Engn, Zhengzhou 450001, Peoples R China.</t>
  </si>
  <si>
    <t>zhaohuadong1978@163.com</t>
  </si>
  <si>
    <t>shen, yonghao/LDF-5664-2024; Zhang, Rui/I-4836-2017</t>
  </si>
  <si>
    <t>Project of Integrated Standardi-zation and New Mode Application of Intelligent Manufacturing of the Ministry of Industry and Information Technology of China [2018037]; Water Conservancy Science and Technology Project of Henan Provincial Water Resources Department [GG202068]</t>
  </si>
  <si>
    <t>Project of Integrated Standardi-zation and New Mode Application of Intelligent Manufacturing of the Ministry of Industry and Information Technology of China; Water Conservancy Science and Technology Project of Henan Provincial Water Resources Department</t>
  </si>
  <si>
    <t>This research was supported by the Project of Integrated Standardi-zation and New Mode Application of Intelligent Manufacturing of the Ministry of Industry and Information Technology of China [grant number 2018037] ; the Water Conservancy Science and Technology Project of Henan Provincial Water Resources Department [grant number GG202068] .</t>
  </si>
  <si>
    <t>1474-0346</t>
  </si>
  <si>
    <t>1873-5320</t>
  </si>
  <si>
    <t>ADV ENG INFORM</t>
  </si>
  <si>
    <t>Adv. Eng. Inform.</t>
  </si>
  <si>
    <t>D</t>
  </si>
  <si>
    <t>10.1016/j.aei.2024.102922</t>
  </si>
  <si>
    <t>Computer Science, Artificial Intelligence; Engineering, Multidisciplinary</t>
  </si>
  <si>
    <t>L8A0K</t>
  </si>
  <si>
    <t>WOS:001352882300001</t>
  </si>
  <si>
    <t>Zhao, X; Guo, B; Chen, Y</t>
  </si>
  <si>
    <t>Zhao, Xian; Guo, Bin; Chen, Yuan</t>
  </si>
  <si>
    <t>A condition-based inspection-maintenance policy for critical systems with an unreliable monitor system</t>
  </si>
  <si>
    <t>Degradation; Condition-based inspection-maintenance policy; Unreliable monitor; Multi-component</t>
  </si>
  <si>
    <t>ION BATTERY PACK; CAPACITY FADE; OPTIMIZATION; DESIGN; SUBJECT</t>
  </si>
  <si>
    <t>In real-world industrial systems, many critical systems that achieve the main function are typically continuously monitored by a monitor system to ensure their reliability. Both the critical system and the monitor system degrade gradually. Research on the maintenance design of a critical system with an unreliable monitor system is limited. Hence, this paper proposes a condition-based inspection-maintenance policy for this kind of system. When the monitor system functions well, the performance of the critical system is obtained by the monitor system, while the status of the monitor system is detected by periodic inspections. When the monitor system fails, the performance of the critical system and the monitor system are detected by examinations when a warning is given or at each periodic inspection time. The corresponding maintenance actions are performed when their performance exceeds the predefined thresholds. The semi-regenerative process is used to calculate the long-run expected cost of a two-component critical system with a monitor system. The simulation method is introduced for a multi-component critical system with a monitor system. Finally, the proposed policy is applied to the battery pack system with a battery management system in EVs to illustrate the feasibility and efficiency of the proposed policy.</t>
  </si>
  <si>
    <t>[Zhao, Xian; Guo, Bin; Chen, Yuan] Beijing Inst Technol, Sch Management &amp; Econ, Beijing 100081, Peoples R China</t>
  </si>
  <si>
    <t>Chen, Y (corresponding author), Beijing Inst Technol, Sch Management &amp; Econ, Beijing 100081, Peoples R China.</t>
  </si>
  <si>
    <t>yuanlk725@163.com</t>
  </si>
  <si>
    <t>National Natural Science Founda-tion of China [72131002, 71971026, 72371003]; Science and Technology Innovation Project of Beijing Institute Technology [2023CX01028, LY2022-23]</t>
  </si>
  <si>
    <t>National Natural Science Founda-tion of China(National Natural Science Foundation of China (NSFC)); Science and Technology Innovation Project of Beijing Institute Technology</t>
  </si>
  <si>
    <t>Acknowledgments This work was supported by the National Natural Science Founda-tion of China [grant numbers 72131002, 71971026, 72371003] and the Science and Technology Innovation Project of Beijing Institute Technology [grant numbers 2023CX01028, LY2022-23] .</t>
  </si>
  <si>
    <t>10.1016/j.ress.2023.109710</t>
  </si>
  <si>
    <t>X3EA9</t>
  </si>
  <si>
    <t>WOS:001097306900001</t>
  </si>
  <si>
    <t>Zahedi, Z; Salim, A; Yusriski, R; Haris, H</t>
  </si>
  <si>
    <t>Zahedi, Zahedi; Salim, Ashadi; Yusriski, Rinto; Haris, Haris</t>
  </si>
  <si>
    <t>Optimization of an integrated batch production and maintenance scheduling on flow shop with two machines</t>
  </si>
  <si>
    <t>Flow shop; Two machines; Batch production; Machine maintenance</t>
  </si>
  <si>
    <t>PREVENTIVE MAINTENANCE; INVENTORY; POLICY</t>
  </si>
  <si>
    <t>This paper discusses an integrated model of batch production and maintenance scheduling on flow shop with two deteriorating machines producing single item to be delivered at a due date. The model describes the trade-off between production and maintenance costs as the production run length increases on two machines. The objective function of the model is to minimize the total cost consisting of in process and completed part inventory costs, setup costs, preventive &amp; corrective maintenance costs and rework costs on two machines. The step-wise optimization algorithm is developed to solve a mixed integer quadratic programming. Comparison with the practice and the model sensitivity analysis are demonstrated to clarify how the algorithm works. (C) 2019 by the authors licensee Growing Science, Canada</t>
  </si>
  <si>
    <t>[Zahedi, Zahedi; Salim, Ashadi] Binus Univ, Dept Math, Sch Comp Sci, Syahdan St 9, Jakarta 11480, Indonesia; [Yusriski, Rinto] Jendral Ahmad Yani Univ UNJANI, Fac Engn, Dept Ind Engn, Gatot Subroto St, Bandung 40285, Indonesia; [Haris, Haris] Trisakti Sch Transportat Management, IPN Kebon Nanas St, Jakarta 13410, Indonesia</t>
  </si>
  <si>
    <t>Universitas Bina Nusantara</t>
  </si>
  <si>
    <t>Zahedi, Z (corresponding author), Binus Univ, Dept Math, Sch Comp Sci, Syahdan St 9, Jakarta 11480, Indonesia.</t>
  </si>
  <si>
    <t>zahedizahedi@binus.ac.id</t>
  </si>
  <si>
    <t>Yusriski, Rinto/ABG-1681-2020</t>
  </si>
  <si>
    <t>Department of Research and High Education Republic of Indonesia [039A/VR, RTT/VI/2017]</t>
  </si>
  <si>
    <t>Department of Research and High Education Republic of Indonesia</t>
  </si>
  <si>
    <t>The authors wish to thank the editors and the referees for their suggestions and corrections. This research is funded by the grant of applied products scheme with contract number 039A/VR.RTT/VI/2017 by Department of Research and High Education Republic of Indonesia.</t>
  </si>
  <si>
    <t>10.5267/j.ijiec.2018.7.001</t>
  </si>
  <si>
    <t>HY4CD</t>
  </si>
  <si>
    <t>WOS:000468074200005</t>
  </si>
  <si>
    <t>Chen, Y; Qiu, QA; Zhao, X</t>
  </si>
  <si>
    <t>Chen, Yuan; Qiu, Qingan; Zhao, Xian</t>
  </si>
  <si>
    <t>Condition-based opportunistic maintenance policies with two-phase inspections for continuous-state systems</t>
  </si>
  <si>
    <t>Opportunistic maintenance; Degradation; Semi-regenerative process; Battery pack</t>
  </si>
  <si>
    <t>ION BATTERY PACK; CAPACITY FADE; RELIABILITY; DEGRADATION; REPLACEMENT; SUBJECT; MODEL</t>
  </si>
  <si>
    <t>This paper proposes two condition-based opportunistic maintenance policies with two-phase inspections for continuously degraded systems with real-time monitoring and periodic inspections, respectively. The degradation of the components and the system is modeled by a Gamma process. Existing literature finds the optimal maintenance strategies by monitoring the performance of all components in a multi-component system. However, it maybe unrealistic and costly to perform inspections on all components for certain systems. Hence, this study considers a two-phase inspection method, that is, the system-level inspection is conducted first, and then the decision for component-level inspection is made based on the system performance. Maintenance is performed to the component when its degradation reaches the preventive maintenance (PM) threshold or the corrective maintenance (CM) threshold at a component-level inspection. Whenever a maintenance action is implemented, the other components whose degradation exceeds an opportunistic maintenance (OM) threshold will be repaired. Then the long-run expected cost for two-component systems and multi-component systems are derived based on the semi-regenerative properties and simulation method. The combination of the system-level inspection interval, OM, PM and CM thresholds is determined to minimize the long-run expected cost. Finally, this study applies the proposed maintenance policies to the battery pack systems in electrical vehicles.</t>
  </si>
  <si>
    <t>[Chen, Yuan; Qiu, Qingan; Zhao, Xian] Beijing Inst Technol, Sch Management &amp; Econ, Beijing 100081, Peoples R China</t>
  </si>
  <si>
    <t>, Qingan/AEV-3558-2022</t>
  </si>
  <si>
    <t>National Natural Science Founda-tion of China; Science and Technology Innovation Project of Beijing Institute of Technology; [72131002]; [71971026]; [2021CX01022]; [LY2022-23]</t>
  </si>
  <si>
    <t>National Natural Science Founda-tion of China(National Natural Science Foundation of China (NSFC)); Science and Technology Innovation Project of Beijing Institute of Technology; ; ; ;</t>
  </si>
  <si>
    <t>Acknowledgments This work was supported by the National Natural Science Founda-tion of China [grant numbers 72131002, 71971026] and the Science and Technology Innovation Project of Beijing Institute of Technology [grant numbers 2021CX01022, LY2022-23] .</t>
  </si>
  <si>
    <t>10.1016/j.ress.2022.108767</t>
  </si>
  <si>
    <t>5A0IR</t>
  </si>
  <si>
    <t>WOS:000862580900009</t>
  </si>
  <si>
    <t>Darmawan, A; Sheu, DD</t>
  </si>
  <si>
    <t>Darmawan, Agus; Sheu, D. Daniel</t>
  </si>
  <si>
    <t>Preventive maintenance scheduling: a simulation-optimization approach</t>
  </si>
  <si>
    <t>Preventive maintenance; time window; genetic algorithm; simulation; re-entrant</t>
  </si>
  <si>
    <t>POLICIES; PERFORMANCE; STRATEGIES; ALLOCATION; SYSTEMS; MODEL; PLANT</t>
  </si>
  <si>
    <t>This paper presents a framework for preventive maintenance (PM) scheduling in the semiconductor industry. We propose an approach for finding PM's start time within a PM window to minimize production losses due to maintenance activities. In this study, we consider re-entrant process in which wafers will enter the same equipment location several times, but in different stages and sometimes different processes. Due to the optimization problem's complexity, we develop meta-heuristics such as a genetic algorithm and particle swarm optimization to solve it and compare with the resource leveling as well as the baseline. In the algorithm, we embed discrete event simulation to mimic a wafer fab process and get its performance. The proposed approach able to identify the best arrangement of PM's start time within a PM window and provides a way to optimize PM schedules for a complex system by simultaneously utilizing meta-heuristics and discrete event simulation.</t>
  </si>
  <si>
    <t>[Darmawan, Agus] Univ Gadjah Mada, Dept Mech &amp; Ind Engn, Yogyakarta 55281, Indonesia; [Sheu, D. Daniel] Natl Tsing Hua Univ, Dept Ind Engn &amp; Engn Management, Hsinchu, Taiwan</t>
  </si>
  <si>
    <t>Gadjah Mada University; National Tsing Hua University</t>
  </si>
  <si>
    <t>Darmawan, A (corresponding author), Univ Gadjah Mada, Dept Mech &amp; Ind Engn, Yogyakarta 55281, Indonesia.</t>
  </si>
  <si>
    <t>agusd@ugm.ac.id</t>
  </si>
  <si>
    <t>Darmawan, Agus/AAT-9729-2021</t>
  </si>
  <si>
    <t>Darmawan, Agus/0000-0003-1291-1680</t>
  </si>
  <si>
    <t>JAN 1</t>
  </si>
  <si>
    <t>10.1080/21693277.2021.1978898</t>
  </si>
  <si>
    <t>YP1JU</t>
  </si>
  <si>
    <t>WOS:000748385300001</t>
  </si>
  <si>
    <t>Zhang, P; Zhu, XY; Xie, M</t>
  </si>
  <si>
    <t>Zhang, Ping; Zhu, Xiaoyan; Xie, Min</t>
  </si>
  <si>
    <t>A model-based reinforcement learning approach for maintenance optimization of degrading systems in a large state space</t>
  </si>
  <si>
    <t>Maintenance optimization; Periodic inspection; Model-based reinforcement learning; Degrading system</t>
  </si>
  <si>
    <t>PREDICTIVE MAINTENANCE; DEGRADATION; RELIABILITY; POLICY; ANALYTICS; SUBJECT; PARTS</t>
  </si>
  <si>
    <t>Scheduling maintenance tasks based on the deteriorating process has often been established on degradation models. However, the formulas of the degradation processes are usually unknown and hard to be determined for a system working in practices. In this study, we develop a model-based reinforcement learning approach for maintenance optimization. The developed approach determines maintenance actions for each degradation state at each inspection time over a finite planning horizon, supposing that the degradation formula is known or unknown. At each inspection time, the developed approach attempts to learn an optimal assessment value for each maintenance action to be performed at each degradation state. The assessment value quantifies the goodness of each state-action pair in terms of minimizing the accumulated maintenance costs over the planning horizon. To optimize the assessment values when a well-defined degradation formula is known, we customize a Q-learning method with model-based acceleration. When the degradation formula is unknown or hard to be determined, we develop a Dyna-Q method with maintenance-oriented improvements, in which an environment model capturing the degradation pattern under different maintenance actions is learned at first; Then, the assessment values are optimized while considering the stochastic behavior of the system degradation. The final maintenance policy is acquired by performing the maintenance actions associated with the highest assessment values. Experimental studies are presented to illustrate the applications.</t>
  </si>
  <si>
    <t>[Zhang, Ping; Zhu, Xiaoyan] Univ Chinese Acad Sci, Sch Econ &amp; Management, Bldg 7,80 Zhongguancun East Rd, Beijing, Peoples R China; [Zhang, Ping; Xie, Min] City Univ Hong Kong, Dept Syst Engn &amp; Engn Management, Hong Kong, Peoples R China; [Xie, Min] City Univ Hong Kong, Sch Data Sci, Hong Kong, Peoples R China</t>
  </si>
  <si>
    <t>Chinese Academy of Sciences; University of Chinese Academy of Sciences, CAS; City University of Hong Kong; City University of Hong Kong</t>
  </si>
  <si>
    <t>Zhu, XY (corresponding author), Univ Chinese Acad Sci, Sch Econ &amp; Management, Bldg 7,80 Zhongguancun East Rd, Beijing, Peoples R China.</t>
  </si>
  <si>
    <t>pingzhang8-c@my.cityu.edu.hk; xzhu5@ucas.ac.cn; minxie@cityu.edu.hk</t>
  </si>
  <si>
    <t>Xie, Min/IUQ-1412-2023; zhu, xiaoyan/AAQ-6601-2021</t>
  </si>
  <si>
    <t>Zhang, Ping/0000-0002-1933-9886</t>
  </si>
  <si>
    <t>National Natural Science Foundation of China (NSFC) [71971206, 71571178, 71971181, 71731008]; Guangdong Technology International Cooperation Project [2020A0505100024]; Research Grant Council of Hong Kong [T32-101/15-R, CityU 11203519]; Hong Kong Institute for Data Science [9360163]</t>
  </si>
  <si>
    <t>National Natural Science Foundation of China (NSFC)(National Natural Science Foundation of China (NSFC)); Guangdong Technology International Cooperation Project; Research Grant Council of Hong Kong(Hong Kong Research Grants Council); Hong Kong Institute for Data Science</t>
  </si>
  <si>
    <t>This work was supported in part by the National Natural Science Foundation of China (NSFC) under grants #71971206, #71571178, #71971181 and a key project grant #71731008, and Guangdong Technology International Cooperation Project (2020A0505100024). It is also partially supported by Research Grant Council of Hong Kong under a theme-based project grant (T32-101/15-R) and a GRF (CityU 11203519), and by Hong Kong Institute for Data Science (Project No. 9360163).</t>
  </si>
  <si>
    <t>10.1016/j.cie.2021.107622</t>
  </si>
  <si>
    <t>WG7CG</t>
  </si>
  <si>
    <t>WOS:000707150300013</t>
  </si>
  <si>
    <t>Dong, WJ; Liu, SF; Bae, SJ; Liu, Y</t>
  </si>
  <si>
    <t>Dong, Wenjie; Liu, Sifeng; Bae, Suk Joo; Liu, Yu</t>
  </si>
  <si>
    <t>A multi-stage imperfect maintenance strategy for multi-state systems with variable user demands</t>
  </si>
  <si>
    <t>Condition-based maintenance; Continuous time Markov chain; Imperfect maintenance; Multi-state systems; Nonhomogeneous Poisson process; Quasi-renewal process</t>
  </si>
  <si>
    <t>SERIES-PARALLEL SYSTEMS; PREVENTIVE MAINTENANCE; RELIABILITY; PERFORMANCE; DEGRADATION; SUBJECT; POLICY; DELAY; COMPONENTS; MODEL</t>
  </si>
  <si>
    <t>The main purpose of this paper is to schedule an imperfect maintenance policy for a single unit multi-state system (MSS) exhibiting more than two output states in the duration of its multiple operation stages. Firstly, a nonhomogeneous continuous time Markov chain (NHCTMC) is introduced to describe the state evolution process when the number of external shocks is modeled by a nonhomogeneous Poisson process (NHPP), and state residence probabilities of the Markov process are derived via a proposed recursive algorithm (RA) in solving the Chapman-Kolmogorov (CK) differential equations. Based on those modeling approaches, reliability measures such as the survival function and mean time to first failure (MTTFF) are evaluated where the randomly varied user demands reflecting real industrial applications are taken into consideration. We subsequently put forward a multi-stage imperfect maintenance policy by dividing system output states into three subsets concerning different degrees of degradation, incorporating a condition-based maintenance (CBM) action and a corrective maintenance (CM) activity in each operation stage. It is assumed that the CBM is a minimal repair and the effectiveness of CM is imperfect. The system will not be completely replaced by a brand new one until the number of failures reaches N in light of the investigated maintenance policy, where the expected profit in per renewal cycle is maximized to seek the optimal N analytically. An illustrative example of a bulk power electric system is presented to verify the proposed idea numerically, in which three common types of demand distributions are introduced.</t>
  </si>
  <si>
    <t>[Dong, Wenjie; Liu, Sifeng] Nanjing Univ Aeronaut &amp; Astronaut, Coll Econ &amp; Management, Nanjing 211106, Jiangsu, Peoples R China; [Bae, Suk Joo] Hanyang Univ, Dept Ind Engn, Seoul 04763, South Korea; [Liu, Yu] Univ Elect Sci &amp; Technol China, Sch Mech &amp; Elect Engn, Chengdu 611731, Sichuan, Peoples R China</t>
  </si>
  <si>
    <t>Nanjing University of Aeronautics &amp; Astronautics; Hanyang University; University of Electronic Science &amp; Technology of China</t>
  </si>
  <si>
    <t>Bae, SJ (corresponding author), Hanyang Univ, Dept Ind Engn, Seoul 04763, South Korea.</t>
  </si>
  <si>
    <t>sjbae@hanyang.ac.kr</t>
  </si>
  <si>
    <t>Liu, Yu/C-8109-2011; Dong, Wenjie/AAA-8559-2019</t>
  </si>
  <si>
    <t>Dong, Wenjie/0000-0002-8591-1756</t>
  </si>
  <si>
    <t>National Natural Science Foundation of China [71671091, 71801126, 71801127]; China Postdoctoral Science Foundation [2018 M630561, 2019TQ0150]; Fundamental Research Funds for the Central Universities [NC2019003, NP2019104]; Postgraduate Research &amp; Practice Innovation Program of Jiangsu Province [KYCX19_0141]; China Scholarship Council [201906830041]; Basic Science Research Program through the National Research Foundation of Korea (NRF) - Ministry of Education [2018R1D1A1A09083149]</t>
  </si>
  <si>
    <t>National Natural Science Foundation of China(National Natural Science Foundation of China (NSFC)); China Postdoctoral Science Foundation(China Postdoctoral Science Foundation); Fundamental Research Funds for the Central Universities(Fundamental Research Funds for the Central Universities); Postgraduate Research &amp; Practice Innovation Program of Jiangsu Province; China Scholarship Council(China Scholarship Council); Basic Science Research Program through the National Research Foundation of Korea (NRF) - Ministry of Education</t>
  </si>
  <si>
    <t>The authors are grateful to the referees for their careful reading and constructive comments. This work was partially supported by the National Natural Science Foundation of China under Grants 71671091, 71801126 and 71801127, China Postdoctoral Science Foundation under Grants 2018 M630561 and 2019TQ0150, the Fundamental Research Funds for the Central Universities under Grants NC2019003 and NP2019104, Postgraduate Research &amp; Practice Innovation Program of Jiangsu Province under Grant KYCX19_0141 and China Scholarship Council under Grant 201906830041. S. J. Bae's work was supported by Basic Science Research Program through the National Research Foundation of Korea (NRF) funded by the Ministry of Education (2018R1D1A1A09083149).</t>
  </si>
  <si>
    <t>10.1016/j.cie.2020.106508</t>
  </si>
  <si>
    <t>MA8SD</t>
  </si>
  <si>
    <t>WOS:000542180000024</t>
  </si>
  <si>
    <t>Shi, JC; Rozas, H; Yildirim, M; Gebraeel, N</t>
  </si>
  <si>
    <t>Shi, Jiachen; Rozas, Heraldo; Yildirim, Murat; Gebraeel, Nagi</t>
  </si>
  <si>
    <t>A stochastic programming model for jointly optimizing maintenance and spare parts inventory for IoT applications</t>
  </si>
  <si>
    <t>IoT; analytics; maintenance; inventory; joint optimization; sensors</t>
  </si>
  <si>
    <t>PROVISIONING POLICY; BLOCK-REPLACEMENT; OPTIMIZATION; SYSTEMS; DRIVEN; STOCKING</t>
  </si>
  <si>
    <t>Service supply chain models typically use conservative maintenance and spare part management policies that result in significant losses due to redundancies. Conservatism without an improved understanding of risks, however, does not cushion against unexpected consequences. Risk scenarios associated with asset failure and inventory shortage are frequently observed in practice. Advances in Internet of Things (IoT) technology is unlocking new methods that attain significant prediction accuracy for these risk factors. IoT-enabled predictions on asset state of health can drive dynamic decision models that conduct maintenance and replenishment actions more efficiently while reducing risk. In this study, we propose a unified framework that utilizes IoT data to jointly optimize condition-based maintenance and inventory decisions. We formulate our problem as a stochastic mixed-integer program that accounts for the interplay between maintenance, spare parts inventory, and asset reliability. We introduce a new reformulation that is efficient for solving large-scale instances of the proposed model. The framework presented herein is applied to real world degradation data to demonstrate the benefits of our methodology in terms of cost and reliability.</t>
  </si>
  <si>
    <t>[Shi, Jiachen; Rozas, Heraldo; Gebraeel, Nagi] Georgia Inst Technol, H Milton Stewart Sch Ind Engn, Atlanta, GA 30332 USA; [Yildirim, Murat] Wayne State Univ, Ind &amp; Syst Engn, Detroit, MI USA</t>
  </si>
  <si>
    <t>University System of Georgia; Georgia Institute of Technology; Wayne State University</t>
  </si>
  <si>
    <t>Gebraeel, N (corresponding author), Georgia Inst Technol, H Milton Stewart Sch Ind Engn, Atlanta, GA 30332 USA.</t>
  </si>
  <si>
    <t>nagi@isye.gatech.edu</t>
  </si>
  <si>
    <t>Rozas, Heraldo/LBI-5704-2024; YILDIRIM, mahmut/AAZ-5460-2020</t>
  </si>
  <si>
    <t>Rozas, Heraldo/0000-0003-2667-1649; Yildirim, Murat/0000-0003-1189-2908; Gebraeel, Nagi/0000-0001-7337-2401</t>
  </si>
  <si>
    <t>NASA [80NSSC19K1052]</t>
  </si>
  <si>
    <t>NASA(National Aeronautics &amp; Space Administration (NASA))</t>
  </si>
  <si>
    <t>This effort is supported by NASA under grant number 80NSSC19K1052 as part of the NASA Space Technology Research Institute (STRI) Habitats Optimized for Missions of Exploration (HOME) `SmartHab' Project. Any opinions, findings, and conclusions or recommendations expressed in this material are those of the authors and do not necessarily reflect the views of the National Aeronautics and Space Administration.</t>
  </si>
  <si>
    <t>10.1080/24725854.2022.2127164</t>
  </si>
  <si>
    <t>8J2IJ</t>
  </si>
  <si>
    <t>WOS:000899107800001</t>
  </si>
  <si>
    <t>Qiu, HX; Wang, JY; Wang, DJ; Yin, YQ</t>
  </si>
  <si>
    <t>Qiu, Huaxin; Wang, Jingyi; Wang, Dujuan; Yin, Yunqiang</t>
  </si>
  <si>
    <t>Service-oriented multi-skilled technician routing and scheduling problem for medical equipment maintenance with sudden breakdown</t>
  </si>
  <si>
    <t>Service -oriented equipment maintenance; scheduling; Multi-skilled technician routing; Multi -period maintenance mechanism; Hybrid heuristic</t>
  </si>
  <si>
    <t>JOINT OPTIMIZATION; QUALITY; MODEL</t>
  </si>
  <si>
    <t>Motivated by the service-oriented intelligent maintenance activity under the development of the digital economy, we study the operation and maintenance strategies of the Maintenance Scheduling and Technician Routing Problem (MSTRP) for medical equipment implemented by multi-skilled technicians. We consider the maintenance services provided for both preventive maintenance (PM, e.g., periodic maintenance based on the contract schedule) and corrective maintenance (CM, e.g., repair action in the event of a sudden breakdown). As these activities are performed on equipment with various types of requirements at different geographically distributed systems, technicians with diverse qualifications need to build teams and visit the matching maintenance requests. Meanwhile, we consider the maintenance actions concerning the dynamic change in equipment failure rate and establish a flexible maintenance mechanism by balancing the total cost. This paper develops an efficient hybrid heuristic based on a genetic algorithm, variable neighborhood search, and other optimization strategies to solve this multi-period equipment maintenance scheduling and multi-skilled technician routing and scheduling problem. Based on the settings of the studied MSTRP, this paper designs different sizes of testing instances and multi-period explanatory cases before conducting extensive comparative experiments and sensitivity analysis to demonstrate the effectiveness of our proposed dynamic maintenance strategy and optimization method.</t>
  </si>
  <si>
    <t>[Qiu, Huaxin] Donghua Univ, Glorious Sun Sch Business &amp; Management, Shanghai 200051, Peoples R China; [Wang, Jingyi; Wang, Dujuan] Sichuan Univ, Business Sch, Chengdu 610064, Peoples R China; [Yin, Yunqiang] Univ Elect Sci &amp; Technol China, Sch Econ &amp; Management, Chengdu 611731, Peoples R China</t>
  </si>
  <si>
    <t>Donghua University; Sichuan University; University of Electronic Science &amp; Technology of China</t>
  </si>
  <si>
    <t>Wang, DJ (corresponding author), Sichuan Univ, Business Sch, Chengdu 610064, Peoples R China.</t>
  </si>
  <si>
    <t>wangdujuan@dlut.edu.cn</t>
  </si>
  <si>
    <t>Wang, Jingyi/AHE-1352-2022; Wang, Dujuan/JFK-9849-2023; Qiu, Huaxin/E-2457-2017</t>
  </si>
  <si>
    <t>Qiu, Huaxin/0000-0001-6606-8700</t>
  </si>
  <si>
    <t>National Natural Science Foundation of China [72171161, 71971041, 71871148]; Key Research and Development Project of Sichuan Province [2023YFS0397]; Sichuan University to Building a World-class University [SKSYL 2021-08]</t>
  </si>
  <si>
    <t>National Natural Science Foundation of China(National Natural Science Foundation of China (NSFC)); Key Research and Development Project of Sichuan Province; Sichuan University to Building a World-class University</t>
  </si>
  <si>
    <t>Acknowledgements This work was supported by the National Natural Science Foundation of China [Nos. 72171161, 71971041, 71871148] ; by the Key Research and Development Project of Sichuan Province (No. 2023YFS0397) ; by Sichuan University to Building a World-class University (No. SKSYL 2021-08) .</t>
  </si>
  <si>
    <t>10.1016/j.aei.2023.102090</t>
  </si>
  <si>
    <t>O5CR8</t>
  </si>
  <si>
    <t>WOS:001043994700001</t>
  </si>
  <si>
    <t>Sadeghian, O; Shotorbani, AM; Mohammadi-Ivatloo, B; Sadiq, R; Hewage, K</t>
  </si>
  <si>
    <t>Sadeghian, Omid; Shotorbani, Amin Mohammadpour; Mohammadi-Ivatloo, Behnam; Sadiq, Rehan; Hewage, Kasun</t>
  </si>
  <si>
    <t>Risk-averse maintenance scheduling of generation units in combined heat and power systems with demand response</t>
  </si>
  <si>
    <t>Combined heat and power (CHP); Maintenance scheduling; Preventive maintenance; Reliability; Uncertainty; Risk management; Probabilistic methods</t>
  </si>
  <si>
    <t>ECONOMIC-DISPATCH; MULTIOBJECTIVE OPTIMIZATION; DISTRIBUTION NETWORKS; GENETIC ALGORITHM; ENERGY; MODEL; OPERATION; PLANTS; COST; MICROGRIDS</t>
  </si>
  <si>
    <t>The periodic outage planning of generation units for maintenance services is critical for their economic operation. Ignoring it can lead to premature degradation, high repair costs, and system reliability deterioration due to unexpected outages. Accordingly, generation maintenance scheduling (GMS) can optimally handle this challenge. In a power system with combined heat and power (CHP), although CHP units can efficiently supply power and heat demand, continuous operation of such units can cause an increase in unexpected failure rate and repair costs. Accordingly, this research accomplishes GMS coordination in CHP-integrated energy systems to optimally determine the maintenance plan of units. Firstly, the yearly GMS is planned and then the short-term generation scheduling is optimized. The proposed GMS problem is modeled as a mixed-integer nonlinear programming problem while considering the technical constraints, CHP feasible operation region, and power and heat balance. Moreover, the uncertainty in the market price is considered and the CVaR measure is employed to deal with the risks in the GMS. Furthermore, demand response is also assumed in the short-term generation scheduling while evaluating the impact of the yearly GMS. Numerical simulations with scenario-based optimization are used to evaluate the proposed CHP GMS problem with uncertainty in market price.</t>
  </si>
  <si>
    <t>[Sadeghian, Omid; Shotorbani, Amin Mohammadpour; Mohammadi-Ivatloo, Behnam] Univ Tabriz, Fac Elect &amp; Comp Engn, Tabriz, Iran; [Shotorbani, Amin Mohammadpour; Sadiq, Rehan; Hewage, Kasun] Univ British Columbia Okanagan, Sch Engn, Kelowna, BC, Canada</t>
  </si>
  <si>
    <t>University of Tabriz; University of British Columbia; University of British Columbia Okanagan</t>
  </si>
  <si>
    <t>Shotorbani, AM (corresponding author), Univ Tabriz, Fac Elect &amp; Comp Engn, Tabriz, Iran.;Shotorbani, AM (corresponding author), Univ British Columbia Okanagan, Sch Engn, Kelowna, BC, Canada.</t>
  </si>
  <si>
    <t>a.m.shotorbani@ubc.ca</t>
  </si>
  <si>
    <t>Bahadorestani, Amir/JQI-6469-2023; Hewage, Kasun/AAQ-2395-2020; Sadeghian, Omid/AAN-5231-2020</t>
  </si>
  <si>
    <t>Sadeghian, Omid/0000-0002-5825-4287</t>
  </si>
  <si>
    <t>10.1016/j.ress.2021.107960</t>
  </si>
  <si>
    <t>WOS:000702351700045</t>
  </si>
  <si>
    <t>He, Y; Wang, H; Zhao, XJ</t>
  </si>
  <si>
    <t>He, Yong; Wang, Hong; Zhao, Xiujie</t>
  </si>
  <si>
    <t>Joint optimization of bi-level imperfect maintenance and spare parts inventory considering order quantity</t>
  </si>
  <si>
    <t>bi-level imperfect preventive maintenance; joint decision; spare part ordering; virtual age</t>
  </si>
  <si>
    <t>PREVENTIVE MAINTENANCE; SELECTIVE MAINTENANCE; SYSTEMS SUBJECT; DEGRADATION; REDUCTION; POLICIES; MODELS</t>
  </si>
  <si>
    <t>The joint optimization of various maintenance actions and the supply of spare parts has received extensive attention in recent years owing to its advantage in reducing the overall operational costs of industrial systems. In this study, a joint optimization model is proposed considering bi-level imperfect preventive maintenance and spare part ordering. A virtual age reduction model that considers bi-level imperfect preventive maintenance (PM) is established. Upon each system shutdown, the PM level is determined based on the cost-effectiveness ratio. Furthermore, an improved (s, S) inventory policy is proposed utilizing the information of the remaining number of PM and accumulated consumption of spare parts. Finally, the joint optimization models consisting of different PM policies and spare parts inventory policies are solved. Case studies show that compared with the traditional (s, S) inventory policy, the proposed joint optimization model can coordinate the ordering quantity of spare parts with the PM policy, and reduce the expected maintenance cost. A sensitivity analysis of the cost parameters is performed to explore their impact on the maintenance economy.</t>
  </si>
  <si>
    <t>[He, Yong; Wang, Hong] Lanzhou Jiaotong Univ, Sch Mech &amp; Elect, Lanzhou, Peoples R China; [Zhao, Xiujie] Tianjin Univ, Coll Management &amp; Econ, Tianjin, Peoples R China; [Wang, Hong] Lanzhou Jiaotong Univ, Sch Mech &amp; Elect, 88 Anning West Rd, Lanzhou 730070, Gansu, Peoples R China</t>
  </si>
  <si>
    <t>Lanzhou Jiaotong University; Tianjin University; Lanzhou Jiaotong University</t>
  </si>
  <si>
    <t>Wang, H (corresponding author), Lanzhou Jiaotong Univ, Sch Mech &amp; Elect, 88 Anning West Rd, Lanzhou 730070, Gansu, Peoples R China.</t>
  </si>
  <si>
    <t>wh@mail.lzjtu.cn</t>
  </si>
  <si>
    <t>He, Yong/0000-0002-0241-339X</t>
  </si>
  <si>
    <t>National Natural Science Foundation of China [72061022, 72002149]; Natural Science Foundation of Gansu Province, China [22JR5RA373]</t>
  </si>
  <si>
    <t>National Natural Science Foundation of China(National Natural Science Foundation of China (NSFC)); Natural Science Foundation of Gansu Province, China</t>
  </si>
  <si>
    <t>ACKNOWLEDGMENTS This work was supported by the National Natural Science Foundation of China (grant numbers 72061022, 72002149) and the Natural Science Foundation of Gansu Province, China (grant number 22JR5RA373). The authors would also like to thank the anonymous reviewers for their valuable suggestions.</t>
  </si>
  <si>
    <t>10.1002/qre.3389</t>
  </si>
  <si>
    <t>KC3U7</t>
  </si>
  <si>
    <t>WOS:000997111000001</t>
  </si>
  <si>
    <t>Dui, H; Zhang, H; Wu, SM</t>
  </si>
  <si>
    <t>Dui, Hongyan; Zhang, Hao; Wu, Shaomin</t>
  </si>
  <si>
    <t>Optimisation of maintenance policies for a deteriorating multi-component system under external shocks</t>
  </si>
  <si>
    <t>System reliability; Preventive maintenance; Importance measure; Degradation</t>
  </si>
  <si>
    <t>INTEGRATED IMPORTANCE MEASURE; RELIABILITY-ANALYSIS; SUBJECT</t>
  </si>
  <si>
    <t>Many engineering systems are affected by shocks from their operating environments. When the state of a component degrades to a certain threshold level, preventive maintenance is needed for the purpose of reliability improvement. However, existing studies usually ignore the impact of shocks on different components of a system and therefore on the maintenance policies. This paper proposes to model the degradation processes of components with a k-dimensional Wiener process. Under both deterministic and stochastic environmental conditions, the Eyring model is used to measure the environmental importance of the multi-dimensional degradation process. Based on different failure scenarios, different maintenance strategies are therefore proposed. A periodic inspection policy is considered for each component that may fail due to external shocks. As for multiple components, the maintenance priority is determined based on the joint importance, and optimal preventive maintenance is obtained under the constraint of limited resources. Finally, a robot system is taken as an example to illustrate the proposed methods.</t>
  </si>
  <si>
    <t>[Dui, Hongyan] Zhengzhou Univ, Sch Management, Zhengzhou 450001, Peoples R China; [Zhang, Hao] Natl Univ Singapore, Coll Design &amp; Engn, Singapore, Singapore; [Wu, Shaomin] Univ Kent, Kent Business Sch, Canterbury CT2 7FS, England</t>
  </si>
  <si>
    <t>Zhengzhou University; National University of Singapore; University of Kent</t>
  </si>
  <si>
    <t>Dui, H (corresponding author), Zhengzhou Univ, Sch Management, Zhengzhou 450001, Peoples R China.</t>
  </si>
  <si>
    <t>National Natural Science Foundation of China [72071182, U1904211]; Key Science and Technology Program of Henan Province [222102520019]; Program for Science amp; Technology Innovation Talents in Universities of Henan Province [22HASTIT022]; Program for young backbone teachers in Univer-sities of Henan Province [2021GGJS007]</t>
  </si>
  <si>
    <t>National Natural Science Foundation of China(National Natural Science Foundation of China (NSFC)); Key Science and Technology Program of Henan Province; Program for Science amp; Technology Innovation Talents in Universities of Henan Province; Program for young backbone teachers in Univer-sities of Henan Province</t>
  </si>
  <si>
    <t>Acknowledgments The authors gratefully acknowledge the financial support for this research from the National Natural Science Foundation of China (Nos. 72071182, U1904211) , the Key Science and Technology Program of Henan Province (No. 222102520019) , the Program for Science &amp; Technology Innovation Talents in Universities of Henan Province (No. 22HASTIT022) , the Program for young backbone teachers in Univer-sities of Henan Province (No. 2021GGJS007) .</t>
  </si>
  <si>
    <t>10.1016/j.ress.2023.109415</t>
  </si>
  <si>
    <t>L3BO7</t>
  </si>
  <si>
    <t>WOS:001022047700001</t>
  </si>
  <si>
    <t>Hu, JW; Shen, JY; Shen, LJ</t>
  </si>
  <si>
    <t>Hu, Jiawen; Shen, Jingyuan; Shen, Lijuan</t>
  </si>
  <si>
    <t>Opportunistic maintenance for two-component series systems subject to dependent degradation and shock</t>
  </si>
  <si>
    <t>Preventive maintenance; Dependent failure modes; Wiener degradation process; Economic dependence; Inspection/replacement</t>
  </si>
  <si>
    <t>COMPETING FAILURE PROCESSES; PREVENTIVE MAINTENANCE; RELIABILITY; TIME; OPTIMIZATION; MODELS</t>
  </si>
  <si>
    <t>This work studies a maintenance policy for a system consisting of two independent and identical components in series, where each component is subject to dependent degradation and fatal shock. We use a Wiener process to model the degradation, and assume that the shock rate is an increasing function of the degradation level. To utilize the economic dependence between two components, we propose an inspection/replacement opportunistic maintenance (OM) policy. A replacement is carried out to the component of which the degradation exceeds a preventive maintenance (PM) threshold at an inspection, or a fatal shock occurs. Whenever a replacement is carried out, the other component will be replaced if its degradation exceeds an OM threshold. The optimal combination of the inspection interval, OM and PM thresholds are jointly determined by minimizing the long-run average cost, which is formulated based on the semi-regenerative properties of the system state. A numerical study is provided to demonstrate the maintenance policy.</t>
  </si>
  <si>
    <t>[Hu, Jiawen; Shen, Lijuan] Natl Univ Singapore, Dept Ind &amp; Syst Engn, Singapore, Singapore; [Shen, Jingyuan] Nanjing Univ Sci &amp; Technol, Sch Econ &amp; Management, Nanjing, Peoples R China; [Hu, Jiawen; Shen, Lijuan] Natl Univ Singapore, Suzhou Res Inst, Suzhou, Peoples R China</t>
  </si>
  <si>
    <t>National University of Singapore; Nanjing University of Science &amp; Technology; National University of Singapore</t>
  </si>
  <si>
    <t>hdl@sjtu.edu.cn; jingyuanshen@njust.edu.cn; lijuan.shen@sec.ethz.ch</t>
  </si>
  <si>
    <t>National Natural Science Foundation of China [71801168, 71801128]</t>
  </si>
  <si>
    <t>The research is supported by National Natural Science Foundation of China under Grant Nos. 71801168 and 71801128.</t>
  </si>
  <si>
    <t>10.1016/j.ress.2020.106995</t>
  </si>
  <si>
    <t>NJ9NI</t>
  </si>
  <si>
    <t>WOS:000566370100031</t>
  </si>
  <si>
    <t>Ma, J; Cai, L; Liao, GB; Yin, HP; Si, XS; Zhang, P</t>
  </si>
  <si>
    <t>Ma, Jie; Cai, Li; Liao, Guobo; Yin, Hongpeng; Si, Xiaosheng; Zhang, Peng</t>
  </si>
  <si>
    <t>A multi-phase Wiener process-based degradation model with imperfect maintenance activities</t>
  </si>
  <si>
    <t>Imperfect maintenance; Remaining useful life; Newton iteration; Wiener process</t>
  </si>
  <si>
    <t>EQUIPMENT</t>
  </si>
  <si>
    <t>In order to improve the performance and prolong the life of the equipment, it is usually necessary to maintain the equipment in practice. Remaining useful life prediction with imperfect maintenance activities is of great importance to prognostics and health management. In this paper, a multi-phase Wiener process-based degradation model is constructed to characterize the degradation process subjected to imperfect maintenance activities. The beta distribution is introduced to describe the residual degradation coefficient caused by the imperfect maintenance activity. The hyper-parameters of residual degradation coefficient are estimated through the maximum likelihood estimation and Newton iteration method. To reflect the unit heterogeneity, the drift coefficient and diffusion coefficient of each phase are synchronously defined as random variables. Furthermore, the analytical forms of remaining useful life are obtained by the convolution operator. The approximate expression of probability density function is derived by the Monte Carlo simulation approach. In the end, a numerical study and a practical study of gyroscopes are provided to demonstrate the practicality and effectiveness of the proposed method.</t>
  </si>
  <si>
    <t>[Ma, Jie] Beijing Informat Sci &amp; Technol Univ, Mech Elect Engn Sch, Beijing 100192, Peoples R China; [Cai, Li; Liao, Guobo; Yin, Hongpeng; Zhang, Peng] Chongqing Univ, Coll Automat, Chongqing 400044, Peoples R China; [Si, Xiaosheng] Xian Inst High Technol, Dept Automation Technol, Xian, Peoples R China</t>
  </si>
  <si>
    <t>Beijing Information Science &amp; Technology University; Chongqing University; Rocket Force University of Engineering</t>
  </si>
  <si>
    <t>Yin, HP (corresponding author), Chongqing Univ, Coll Automat, Chongqing 400044, Peoples R China.</t>
  </si>
  <si>
    <t>yinhongpeng@cqu.edu.cn</t>
  </si>
  <si>
    <t>Cai, Li/GQA-4979-2022</t>
  </si>
  <si>
    <t>Cai, Li/0000-0003-0015-570X</t>
  </si>
  <si>
    <t>National Natural Science Foun-dation of China, China [62273062]; Chongqing Talents: Exceptional Young Talents Project, China [cstc2021ycjh-bgzxm0028]; Graduate Scientific Research and Innovation Foundation of Chongqing, China [CYB20065]; China Central Universities foundation [2019CDYGZD001]</t>
  </si>
  <si>
    <t>National Natural Science Foun-dation of China, China(National Natural Science Foundation of China (NSFC)); Chongqing Talents: Exceptional Young Talents Project, China; Graduate Scientific Research and Innovation Foundation of Chongqing, China; China Central Universities foundation</t>
  </si>
  <si>
    <t>Acknowledgments This work is jointly supported by National Natural Science Foun-dation of China, China (62273062) , Chongqing Talents: Exceptional Young Talents Project, China (cstc2021ycjh-bgzxm0028) , Graduate Scientific Research and Innovation Foundation of Chongqing, China (CYB20065) , and China Central Universities foundation (2019CDYGZD001) .</t>
  </si>
  <si>
    <t>10.1016/j.ress.2022.109075</t>
  </si>
  <si>
    <t>H5LS9</t>
  </si>
  <si>
    <t>WOS:000996381900001</t>
  </si>
  <si>
    <t>Do, P; Bérenguer, C</t>
  </si>
  <si>
    <t>Do, Phuc; Berenguer, Christophe</t>
  </si>
  <si>
    <t>Residual life-based importance measures for predictive maintenance decision-making</t>
  </si>
  <si>
    <t>Reliability; maintenance decision-making; importance measure; mean residual life; multi-component system; economic dependence</t>
  </si>
  <si>
    <t>SYSTEM</t>
  </si>
  <si>
    <t>Importance measures have been widely used as meaningful decision-aiding indicators in reliability engineering, risk management and maintenance optimization. However, few importance measures integrates the actual condition (working states or degradation levels) of components that dynamically evolves with time. This work develops a novel time-dependent importance measure defined as the capacity of a component (or group of components) to improve, when it is replaced, the system residual life. The proposed I M MRL measure can help to better prioritize a component or group of components regarding to its improvement ability in the system life time while considering the actual conditions of all components of the system. The originality and complementarity of the proposed measure when compared to existing importance measures is also investigated. The proposed importance measure is then extended to integrate the economic dimension of the maintenance decision, through the maintenance costs, the benefit gained by the maintenance operations and as well as the economic dependence between components. It is finally shown how the proposed I M MRL measure and its extension can optimally suggest a component or a group of several components for preventive maintenance decision-making, based on both the technical criterion (residual life of the system) and the economic aspects (benefit and costs). The use and the advantages of the proposed importance measure and its extension are illustrated on a four-component system.</t>
  </si>
  <si>
    <t>[Do, Phuc] Univ Lorraine, CRAN, UMR 7039, Campus Sci,BP 70239, F-54506 Vandoeuvre Les Nancy, France; [Berenguer, Christophe] Univ Grenoble Alpes, CNRS, Grenoble INP, GIPSA Lab, Grenoble, France</t>
  </si>
  <si>
    <t>Universite de Lorraine; Communaute Universite Grenoble Alpes; Institut National Polytechnique de Grenoble; Universite Grenoble Alpes (UGA); Centre National de la Recherche Scientifique (CNRS)</t>
  </si>
  <si>
    <t>Do, P (corresponding author), Univ Lorraine, CRAN, UMR 7039, Campus Sci,BP 70239, F-54506 Vandoeuvre Les Nancy, France.</t>
  </si>
  <si>
    <t>BERENGUER, Christophe/E-4000-2017</t>
  </si>
  <si>
    <t>1748006X211028112</t>
  </si>
  <si>
    <t>10.1177/1748006X211028112</t>
  </si>
  <si>
    <t>XQ6JJ</t>
  </si>
  <si>
    <t>WOS:000675168000001</t>
  </si>
  <si>
    <t>Delpla, V; Kenné, JP; Hof, LA</t>
  </si>
  <si>
    <t>Delpla, Victor; Kenne, Jean-Pierre; Hof, Lucas A.</t>
  </si>
  <si>
    <t>Integration of operational lockout/tagout in a joint production and maintenance policy of a smart production system</t>
  </si>
  <si>
    <t>Production planning; Manufacturing systems; Optimal control; Maintenance; Occupational health and safety; Lockout; tagout</t>
  </si>
  <si>
    <t>PREVENTIVE MAINTENANCE; HAZARDOUS ENERGY; OPTIMIZATION</t>
  </si>
  <si>
    <t>Accidents during maintenance operations are frequently occurring and sometimes even fatal. The lack of energy locking is one of the main factors of accidents during maintenance. The Lockout/Tagout (LOTO) process aims to ensure the safety of workers by providing a control of equipment energies before and after preventive or corrective maintenance activities. However, LOTO is often seen as an unnecessary delay that increases production costs. The objective of this work is to minimize production and inventory costs of finished products, while guaranteeing the safety of workers during maintenance activities by the implementation of operational LOTO actions, which allows for production continuity during the securing of energy sources. This work studies the problem of production and maintenance planning of a smart production system that deteriorates according to its age affecting its reliability and availability. The system under study consists of a production unit processing a single type of parts and exposed to random failures and repairs. The decision variables for this control problem are the machine age dependent production and preventive maintenance rates of the machine. The proposed model is based on the stochastic optimal control theory and the optimality conditions are obtained by the dynamic programming approach. Such conditions are of the Hamilton-Jacobi-Bellman (HJB) type and have been solved by numerical methods for concrete industrial case applications. The developed model is validated using a numerical example and a sensitivity analysis is conducted to study the behavior of the system related to the variations of some parameters. A comparative study shows that the proposed operational LOTO strategy performs better than a traditional LOTO strategy in optimizing maintenance operations and reducing incurred costs. This study proposes new managerial policies in terms of joint management of production, maintenance and safety.</t>
  </si>
  <si>
    <t>[Delpla, Victor; Kenne, Jean-Pierre; Hof, Lucas A.] Ecole Technol Super, Dept Mech Engn, 1100 Rue Notre Dame Ouest, Montreal, PQ H3C 1K3, Canada</t>
  </si>
  <si>
    <t>University of Quebec; Ecole de Technologie Superieure - Canada</t>
  </si>
  <si>
    <t>Hof, LA (corresponding author), Ecole Technol Super, Dept Mech Engn, 1100 Rue Notre Dame Ouest, Montreal, PQ H3C 1K3, Canada.</t>
  </si>
  <si>
    <t>victor.delpla.1@ens.etsmtl.ca; jean-pierre.kenne@etsmtl.ca; lucas.hof@etsmtl.ca</t>
  </si>
  <si>
    <t>Hof, Lucas/W-4398-2017</t>
  </si>
  <si>
    <t>Delpla, Victor/0000-0002-8750-8856</t>
  </si>
  <si>
    <t>Natural Sciences and Engineering Research Council of Canada (NSERC) [RGPIN-2018-05292, RGPIN-2019- 05973]; Mathematics of Information Technology and Complex Systems (Mitacs) [IT27391]; CONFORMiT, Quebec, Canada</t>
  </si>
  <si>
    <t>Natural Sciences and Engineering Research Council of Canada (NSERC)(Natural Sciences and Engineering Research Council of Canada (NSERC)); Mathematics of Information Technology and Complex Systems (Mitacs); CONFORMiT, Quebec, Canada</t>
  </si>
  <si>
    <t>The authors would like to acknowledge the financial support of the Natural Sciences and Engineering Research Council of Canada (NSERC) under the Discovery Grant (RGPIN-2018-05292 and RGPIN-2019- 05973) as well as the financial support of the Mathematics of Informa- tion Technology and Complex Systems (Mitacs) Accelerate Grant IT27391 and CONFORMiT, Quebec, Canada. Furthermore, the authors would like to thank the team of CONFORMiT for the fruitful discussions on lockout/tagout procedures and its industrial integration.</t>
  </si>
  <si>
    <t>10.1016/j.ijpe.2023.108925</t>
  </si>
  <si>
    <t>K5KT9</t>
  </si>
  <si>
    <t>WOS:001016834000001</t>
  </si>
  <si>
    <t>Cui, LR; Kang, FM; Shen, JY</t>
  </si>
  <si>
    <t>Cui, Lirong; Kang, Fengming; Shen, Jingyuan</t>
  </si>
  <si>
    <t>Maintenance planning estimations and policies optimization for single-unit systems using Hawkes processes</t>
  </si>
  <si>
    <t>Maintenance; optimization policy; single-unit system; Hawkes process; cost function</t>
  </si>
  <si>
    <t>OPTIMAL ALLOCATION; POINT-PROCESSES; AVAILABILITY; RELIABILITY; FAILURE; SPECTRA; REPAIR; MODELS</t>
  </si>
  <si>
    <t>Maintenance planning and optimizations are very important issues in both theory and practice. In this paper, Hawkes processes, a tool for description of self-excited failure effects, are used to model the failure processes of single-unit systems under the assumption of neglected repair times. For such degraded single-unit systems, some maintenance planning estimations such as the distribution, mean and variance of failures or repairs by time $$t$$t, reliability, mean cost of maintenance, mean and variance of system lifetime are presented under the maximal entropy assumption on repair effects. Meanwhile, two optimization problems are developed by considering the lifetime mean of the single-unit system and total maintenance cost as objective functions and constraints alternatively. We have proved that both optimization problems can reduce to two simplified optimal cases, respectively, and their optimal policies are increasing stepwise sequences of increasing rates of failure rates, which greatly reduce the scope of optimal solutions. The relationships between the estimations and the optimizations are discussed. Furthermore, the detailed optimal maintenance policies for a special case are given as well including an algorithm.</t>
  </si>
  <si>
    <t>[Cui, Lirong] Qingdao Univ, Coll Qual &amp; Standardizat, Qingdao, Shandong, Peoples R China; [Cui, Lirong; Kang, Fengming] Beijing Inst Technol, Sch Management &amp; Econ, Beijing, Peoples R China; [Shen, Jingyuan] Nanjing Univ Sci &amp; Technol, Sch Econ &amp; Management, Nanjing, Jiangsu, Peoples R China</t>
  </si>
  <si>
    <t>Qingdao University; Beijing Institute of Technology; Nanjing University of Science &amp; Technology</t>
  </si>
  <si>
    <t>Cui, LR (corresponding author), Qingdao Univ, Coll Qual &amp; Standardizat, Qingdao, Shandong, Peoples R China.</t>
  </si>
  <si>
    <t>Lirongcui@qdu.edu.cn</t>
  </si>
  <si>
    <t>Kang, Fengming/AIA-4072-2022; Cui, Lirong/JHU-9897-2023</t>
  </si>
  <si>
    <t>Kang, Fengming/0000-0003-2716-3689; Cui, Lirong/0000-0002-8987-4307</t>
  </si>
  <si>
    <t>National Natrual Science Fundation of China [71871021]</t>
  </si>
  <si>
    <t>National Natrual Science Fundation of China</t>
  </si>
  <si>
    <t>This work was supported by the National Natrual Science Fundation of China [71871021].</t>
  </si>
  <si>
    <t>10.1080/16843703.2022.2093817</t>
  </si>
  <si>
    <t>7Z9ZO</t>
  </si>
  <si>
    <t>WOS:000836021500001</t>
  </si>
  <si>
    <t>Dui, HY; Yang, XJ; Fang, YN</t>
  </si>
  <si>
    <t>Dui, Hongyan; Yang, Xingju; Fang, Yining</t>
  </si>
  <si>
    <t>Evaluation methodology for preventive maintenance in multi-state manufacturing systems considering different costs</t>
  </si>
  <si>
    <t>Maintenance; cost; importance measure; manufacturing systems; reliability</t>
  </si>
  <si>
    <t>PERFORMANCE EVALUATION; SERVICE LEVEL; QUALITY; RELIABILITY; POLICIES; NETWORK; IMPACT; MODEL</t>
  </si>
  <si>
    <t>In a multi-state manufacturing system, preventive maintenance is performed on other machines once the performance of a machine falls below a threshold state. Many investigations have been performed on the maintenance of manufacturing systems. However, studies on preventive maintenance for manufacturing systems that account for the different costs involved are limited. This paper focuses on the analysis of multi-state machines in a manufacturing system considering different costs. Subsequently, a cost-based preventive maintenance prioritisation method for multi-state machines is proposed. Based on the buffer capacity, three maintenance policies on the machines are discussed. Different machine failures lead to different maintenance priorities. The real-time buffer capacity greatly influences the selection of machines for preventive maintenance. The set of the optimal machines for preventive maintenance is determined based on the constraints of machine running time and different preventive maintenance costs. Finally, a numerical example is used to demonstrate the effectiveness of the proposed method.</t>
  </si>
  <si>
    <t>[Dui, Hongyan] Luoyang Polytech, Business Coll, Luoyang, Peoples R China; [Dui, Hongyan; Yang, Xingju] Zhengzhou Univ, Sch Management, Zhengzhou, Peoples R China; [Fang, Yining] Natl Univ Def Technol, Coll Intelligence Sci &amp; Technol, Lab Sci &amp; Technol Integrated Logist Support, Changsha 410073, Peoples R China</t>
  </si>
  <si>
    <t>Zhengzhou University; National University of Defense Technology - China</t>
  </si>
  <si>
    <t>Fang, YN (corresponding author), Natl Univ Def Technol, Coll Intelligence Sci &amp; Technol, Lab Sci &amp; Technol Integrated Logist Support, Changsha 410073, Peoples R China.</t>
  </si>
  <si>
    <t>fangyining@nudt.edu.cn</t>
  </si>
  <si>
    <t>National Natural Science Foundation of China [72071182, U1904211]; ministry of education's humanities and social sciences planning fund [20YJA630012]; Key Science and Technology Program of Henan Province [222102520019]; Program for Science&amp; Technology Innovation Talents in Universities of Henan Province [22HASTIT022]; Program for young backbone teachers in Universities of Henan Province [2021GGJS007]</t>
  </si>
  <si>
    <t>National Natural Science Foundation of China(National Natural Science Foundation of China (NSFC)); ministry of education's humanities and social sciences planning fund; Key Science and Technology Program of Henan Province; Program for Science&amp; Technology Innovation Talents in Universities of Henan Province; Program for young backbone teachers in Universities of Henan Province</t>
  </si>
  <si>
    <t>The authors gratefully acknowledge the financial support for this research from the National Natural Science Foundation of China (Nos. 72071182, U1904211), the ministry of education's humanities and social sciences planning fund (No. 20YJA630012), the Key Science and Technology Program of Henan Province (No. 222102520019), the Program for Science&amp; Technology Innovation Talents in Universities of Henan Province (No. 22HASTIT022), and the Program for young backbone teachers in Universities of Henan Province (No. 2021GGJS007).</t>
  </si>
  <si>
    <t>10.1080/00207543.2022.2127163</t>
  </si>
  <si>
    <t>WOS:000863734300001</t>
  </si>
  <si>
    <t>Shen, YL; Zhang, X; Shi, LY</t>
  </si>
  <si>
    <t>Shen, Yilan; Zhang, Xi; Shi, Leyuan</t>
  </si>
  <si>
    <t>Joint optimization of production and maintenance for a serial-parallel hybrid two-stage production system</t>
  </si>
  <si>
    <t>serial– parallel hybrid two-stage production system; Joint optimization; Scheduling; Maintenance</t>
  </si>
  <si>
    <t>PREVENTIVE MAINTENANCE; OPPORTUNISTIC MAINTENANCE; SCHEDULING PROBLEM; GENETIC ALGORITHM; RELIABILITY; MACHINES</t>
  </si>
  <si>
    <t>Effective machine maintenance and job scheduling strategies are two critical interactive tasks to upgrade the production efficiency in manufacturing industries. In this study, we mainly consider the interaction between production scheduling and maintenance, while optimizing the job scheduling problem in a serial???parallel hybrid two-stage production system. We formulate the problem by introducing the stochastic and workload ratio degradation, and the actual job completion time and maintenance costs can be modeled according to the degradation status of each machine. To solve this problem, a two-step opportunistic maintenance (OM) strategy is developed, and finally an adaptive random-key genetic algorithm (GA) is designed by incorporating the OM coefficients. Numerical studies have been conducted to validate the proposed approach, and the results indicate the effectiveness compared to three existing methods under varying machine degradation scenarios.</t>
  </si>
  <si>
    <t>[Shen, Yilan; Zhang, Xi] Peking Univ, Dept Ind Engn &amp; Management, Beijing 10080, Peoples R China; [Shi, Leyuan] Univ Wisconsin Madison, Dept Ind &amp; Syst Engn, Madison, WI 53706 USA</t>
  </si>
  <si>
    <t>Peking University; University of Wisconsin System; University of Wisconsin Madison</t>
  </si>
  <si>
    <t>Zhang, X (corresponding author), Peking Univ, Dept Ind Engn &amp; Management, Beijing 10080, Peoples R China.</t>
  </si>
  <si>
    <t>xi.zhang@pku.edu.cn</t>
  </si>
  <si>
    <t>Zhang, Xi/JAZ-1169-2023</t>
  </si>
  <si>
    <t>Zhang, Xi/0000-0003-3415-5345</t>
  </si>
  <si>
    <t>National Science Founda-tion of China [71932006, 71771004]</t>
  </si>
  <si>
    <t>National Science Founda-tion of China(National Natural Science Foundation of China (NSFC))</t>
  </si>
  <si>
    <t>This work was partially supported by the National Science Founda-tion of China [Grants 71932006 and 71771004].</t>
  </si>
  <si>
    <t>10.1016/j.ress.2022.108600</t>
  </si>
  <si>
    <t>2S7JS</t>
  </si>
  <si>
    <t>WOS:000821966900005</t>
  </si>
  <si>
    <t>Dui, H; Chen, SS; Zhou, YJ; Wu, SM</t>
  </si>
  <si>
    <t>Dui, Hongyan; Chen, Shuanshuan; Zhou, Yanjie; Wu, Shaomin</t>
  </si>
  <si>
    <t>Maintenance analysis of transportation networks by the traffic transfer principle considering node idle capacity</t>
  </si>
  <si>
    <t>Maintenance; Transportation network; Failure path; Reliability</t>
  </si>
  <si>
    <t>SYSTEM; QUALITY; REPAIR</t>
  </si>
  <si>
    <t>Traffic congestion is a universal challenge that affects urban transportation networks, which inevitably age and deteriorate. Maintenance is an essential method for alleviating road congestion. Most of the previous studies concentrate on node load and capacity analysis. The capacity of an idle node is also an important element that affects traffic congestion, such as road damage or traffic accident at the crossroads. To explore the effect of the capacity of an idle node on road congestion, this paper introduces a traffic transfer principle to improve road maintenance efficiency. The nodes of a traffic network can be ranked based on their failure severity. The failure paths of a traffic network can be identified through the internal connections between nodes. Using the transfer time as the weight of each edge and the service time as the weight of each node, this paper proposes a maintenance model to find the shortest repair path for minimizing the maintenance time. To evaluate the proposed model, four different types of road networks are adopted by comparing the maintenance time. The experimental results show the proposed model outperforms previous models.</t>
  </si>
  <si>
    <t>[Dui, Hongyan; Chen, Shuanshuan; Zhou, Yanjie] Zhengzhou Univ, Sch Management Engn, Zhengzhou 450001, Peoples R China; [Wu, Shaomin] Univ Kent, Kent Business Sch, Canterbury CT2 7FS, Kent, England</t>
  </si>
  <si>
    <t>Zhengzhou University; University of Kent</t>
  </si>
  <si>
    <t>Zhou, YJ (corresponding author), Zhengzhou Univ, Sch Management Engn, Zhengzhou 450001, Peoples R China.</t>
  </si>
  <si>
    <t>ieyjzhou@zzu.edu.cn</t>
  </si>
  <si>
    <t>; Wu, Shaomin/A-1940-2010</t>
  </si>
  <si>
    <t>Dui, Hongyan/0000-0002-2277-6454; Wu, Shaomin/0000-0001-9786-3213; Zhou, Yanjie/0000-0003-2222-9140</t>
  </si>
  <si>
    <t>National Natural Science Foundation of China [72071182, U1904211]; Ministry of Education's Humanities and Social Sciences planning fund [20YJA630012]; Key Science and Technology Program of Henan Province [222102520019]; Program for Science&amp;Technology Innovation Talents in Universities of Henan Province [22HASTIT022]; Program for young backbone teachers in Universities of Henan Province [2021GGJS007]</t>
  </si>
  <si>
    <t>National Natural Science Foundation of China(National Natural Science Foundation of China (NSFC)); Ministry of Education's Humanities and Social Sciences planning fund; Key Science and Technology Program of Henan Province; Program for Science&amp;Technology Innovation Talents in Universities of Henan Province; Program for young backbone teachers in Universities of Henan Province</t>
  </si>
  <si>
    <t>The authors gratefully acknowledge the financial support for this research from the National Natural Science Foundation of China (Nos. 72071182, U1904211), the Ministry of Education's Humanities and Social Sciences planning fund (No. 20YJA630012), the Key Science and Technology Program of Henan Province (No. 222102520019), the Program for Science&amp;Technology Innovation Talents in Universities of Henan Province (No. 22HASTIT022), and the Program for young backbone teachers in Universities of Henan Province (No. 2021GGJS007).</t>
  </si>
  <si>
    <t>10.1016/j.ress.2022.108386</t>
  </si>
  <si>
    <t>ZW9XH</t>
  </si>
  <si>
    <t>WOS:000771556500052</t>
  </si>
  <si>
    <t>Wang, JJ; Qiu, QG; Wang, HH; Lin, C</t>
  </si>
  <si>
    <t>Wang, Jingjing; Qiu, Qingan; Wang, Huanhuan; Lin, Cong</t>
  </si>
  <si>
    <t>Optimal condition-based preventive maintenance policy for balanced systems</t>
  </si>
  <si>
    <t>Balanced system; Preventive maintenance; Condition monitoring technique; semi-Markov decision process</t>
  </si>
  <si>
    <t>Reliability evaluation of balanced systems has been extensively studied in recent years. However, the research on maintenance optimization for balanced systems is still underexplored. This paper makes a novel contribution to existing literature by proposing a condition-based preventive maintenance (PM) policy for balanced systems with identical components. Each component is subject to continuous degradation and the states of all components are simultaneously detected at discrete time epochs. The system state is evaluated based on the deterioration levels of all components. The system is out of balance once the deterioration level of any component reaches a critical value or the difference between the deterioration levels of two components on the symmetric positions exceeds a specific threshold, whichever occurs first. In this research, PM activities are employed to avoid competing failures. The optimal PM thresholds are determined by minimizing the system maintenance cost within the framework of semi-Markov decision process. An illustrative example is provided to demonstrate the application of the proposed PM policy for balanced systems.</t>
  </si>
  <si>
    <t>[Wang, Jingjing] Qingdao Univ Technol, Sch Management Engn, Qingdao 266525, Peoples R China; [Qiu, Qingan] Beijing Inst Technol, Sch Management &amp; Econ, Beijing 100081, Peoples R China; [Wang, Huanhuan] City Univ Hong Kong, Sch Energy &amp; Environm, Kowloon, Hong Kong, Peoples R China; [Lin, Cong] AVIC China Aeropolytechnol Estab, Beijing, Peoples R China</t>
  </si>
  <si>
    <t>Qingdao University of Technology; Beijing Institute of Technology; City University of Hong Kong; Aviation Industry Corporation of China (AVIC)</t>
  </si>
  <si>
    <t>Wang, JJ (corresponding author), Qingdao Univ Technol, Sch Management Engn, Qingdao 266525, Peoples R China.;Qiu, QG (corresponding author), Beijing Inst Technol, Sch Management &amp; Econ, Beijing 100081, Peoples R China.</t>
  </si>
  <si>
    <t>wangjingjing@qut.edu.cn; qinganqiu@bit.edu.cn</t>
  </si>
  <si>
    <t>WANG, Huanhuan/0000-0003-4893-178X; , Qingan/0000-0001-8741-0536</t>
  </si>
  <si>
    <t>National Natural Science Foundation of China [72001026, 71801198]</t>
  </si>
  <si>
    <t>This research is supported by National Natural Science Foundation of China (Nos. 72001026 and 71801198).</t>
  </si>
  <si>
    <t>10.1016/j.ress.2021.107606</t>
  </si>
  <si>
    <t>SV6DG</t>
  </si>
  <si>
    <t>WOS:000663909700016</t>
  </si>
  <si>
    <t>Dahia, Z; Bellaouar, A; Dron, JP</t>
  </si>
  <si>
    <t>Dahia, Zakaria; Bellaouar, Ahmed; Dron, Jean-Paul</t>
  </si>
  <si>
    <t>Maintenance Evaluation and Optimization of a Multi-State System Based on a Dynamic Bayesian Network</t>
  </si>
  <si>
    <t>multi-state system; dynamic Bayesian network; reliability; availability; maintenance optimization</t>
  </si>
  <si>
    <t>RISK-ASSESSMENT</t>
  </si>
  <si>
    <t>Nowadays, the main challenge in maintenance is to establish a dynamic maintenance strategy to significantly track and improve the performance measures of multi-state systems in terms of production, quality, security and even the environment. This paper presents a quantitative approach based on Dynamic Bayesian Network (DBN) to model and evaluate the maintenance of multi-state system and their functional dependencies. According to transition relationships between the system states modeled by the Markov process, a DBN model is established. The objective is to evaluate the reliability and the availability of the system with taking into account the impact of maintenance strategies (perfect repair and imperfect repair). Using the proposed approach, the dynamic probabilities of system states can be determined and the subsystems contributing to system failure can also be identified. A practical application is demonstrated by a case study of a blower system. Through the result of the diagnostic inference, to improve the performances of the blower, the critical components C, F, W, and P should be given more attention. The results indicate also that the perfect repair strategy can improve significantly the performances of the blower, while the imperfect repair strategy cannot degrade the performances in comparison to the perfect repair strategy. These results show the effectiveness of this approach in the context of a predictive evaluation process and in providing the opportunity to evaluate the impact of the choices made on the future measurement of systems performances. Finally, through diagnostic analysis, intervention management and maintenance planning are managed efficiently and optimally.</t>
  </si>
  <si>
    <t>[Dahia, Zakaria; Bellaouar, Ahmed] Univ Constantine 1, Transport Engn &amp; Environm Lab, Constantine, Algeria; [Dron, Jean-Paul] Univ Reims, Reims, France</t>
  </si>
  <si>
    <t>Universite Constantine; Universite de Reims Champagne-Ardenne</t>
  </si>
  <si>
    <t>Dahia, Z (corresponding author), Univ Constantine 1, Transport Engn &amp; Environm Lab, Constantine, Algeria.</t>
  </si>
  <si>
    <t>zaki.dahia@umc.edu.dz</t>
  </si>
  <si>
    <t>10.24425/mper.2021.138526</t>
  </si>
  <si>
    <t>WC5FG</t>
  </si>
  <si>
    <t>WOS:000704281900001</t>
  </si>
  <si>
    <t>El Cadi, AA; Gharbi, A; Dhouib, K; Artiba, A</t>
  </si>
  <si>
    <t>El Cadi, Abdessamad Ait; Gharbi, Ali; Dhouib, Karem; Artiba, Abdelhakim</t>
  </si>
  <si>
    <t>Joint production, maintenance, and quality control in manufacturing systems with imperfect inspection</t>
  </si>
  <si>
    <t>Production control; Maintenance policy; Quality inspection; Inspection errors</t>
  </si>
  <si>
    <t>POLICY; ERRORS; SUBJECT; MODEL</t>
  </si>
  <si>
    <t>This paper proposed a joint production control, preventive maintenance, and inspection policy for manufacturing systems prone to failures, quality degradation and quality inspection errors. A stochastic mathematical model is developed taking into account all possible scenarios contingent to imperfect quality inspection errors, while integrating age-based preventive maintenance, dynamic production rates, and sampling inspection plans. The model accounts for both Type I and Type II inspection errors and optimizes the joint policy key parameters, including safety stock levels, preventive maintenance thresholds, and inspection sample size. The model is validated using a 95 % confidence interval obtained from experiments with simulation model that imitates the studied system dynamics when it is controlled by the proposed joint policy. A sensitivity analysis is carried out to give a deeper comprehension of the problem and the complex interactions at play. The study explores the impact of system's parameters on the new joint policy that accounts for inspection errors, thereby contributing valuable insights to the field of manufacturing systems management. Ultimately, a comprehensive comparative analysis seeks to establish the superiority of the proposed joint policy over existing ones documented in the literature. The proposed policy consistently outperformed alternative approaches, with an overall cost reduction of up to 87 %.</t>
  </si>
  <si>
    <t>[El Cadi, Abdessamad Ait; Artiba, Abdelhakim] Univ Polytech Hauts de France, CNRS, UMR 8201, LAMIH, F-59313 Valenciennes, France; [Gharbi, Ali] Univ Quebec, Ecole Technol Super, Syst Engn Dept, Prod Syst Design &amp; Control Lab, Montreal, PQ, Canada; [Dhouib, Karem] Univ Tunis, Ecole Natl Super Ingenieurs Tunis, Lab Intelligent Robot Reliabil &amp; Signal &amp; Image Pr, Tunis, Tunisia; [El Cadi, Abdessamad Ait] INSA Hauts de France, F-59313 Valenciennes, France</t>
  </si>
  <si>
    <t>Centre National de la Recherche Scientifique (CNRS); Universite Polytechnique Hauts-de-France; University of Quebec; Ecole de Technologie Superieure - Canada; University of Quebec Montreal; Universite de Tunis; Universite Polytechnique Hauts-de-France</t>
  </si>
  <si>
    <t>Gharbi, A (corresponding author), Univ Quebec, Ecole Technol Super, Syst Engn Dept, Prod Syst Design &amp; Control Lab, Montreal, PQ, Canada.</t>
  </si>
  <si>
    <t>abdessamad.aitelcadi@uphf.fr; ali.gharbi@etsmtl.ca; karemdhouib@yahoo.fr; abdelhakim.artiba@uphf.fr</t>
  </si>
  <si>
    <t>Dhouib, Karem/MCJ-2010-2025; Ait El Cadi, Abdessamad/E-9378-2016</t>
  </si>
  <si>
    <t>Dhouib, Karem/0009-0000-8755-6957; Ait El Cadi, Abdessamad/0000-0001-6382-6588</t>
  </si>
  <si>
    <t>10.1016/j.jmsy.2024.10.020</t>
  </si>
  <si>
    <t>L5C0V</t>
  </si>
  <si>
    <t>WOS:001350882100001</t>
  </si>
  <si>
    <t>de Pater, I; Mitici, M</t>
  </si>
  <si>
    <t>de Pater, Ingeborg; Mitici, Mihaela</t>
  </si>
  <si>
    <t>Predictive maintenance for multi-component systems of repairables with Remaining-Useful-Life prognostics and a limited stock of spare components</t>
  </si>
  <si>
    <t>Aircraft predictive maintenance of repairables; RUL prognostics; Aircraft Cooling Units; Management of spare components; Multiple multi-component systems</t>
  </si>
  <si>
    <t>PLANNING STRUCTURAL INSPECTION; DEGRADATION SIGNALS; RESIDUAL-LIFE; POLICIES; REPLACEMENT; FRAMEWORK; OPTIMIZATION; MACHINERY; MODELS</t>
  </si>
  <si>
    <t>Aircraft maintenance is undergoing a paradigm shift towards predictive maintenance, where the use of sensor data and Remaining-Useful-Life prognostics are central. This paper proposes an integrated approach for predictive aircraft maintenance planning for multiple multi-component systems, where the components are repairables. First, model-based Remaining-Useful-Life prognostics are developed. These prognostics are updated over time, as more sensor data become available. Then, a rolling horizon integer linear program is developed for the maintenance planning of multiple multi-component systems. This model integrates the Remaining-Useful-Life prognostics with the management of a limited stock of spare repairable components. The maintenance of the multiple systems is linked through the availability of spare components and shared maintenance time slots. Our approach is illustrated for a fleet of aircraft, each equipped with a Cooling System consisting of four Cooling Units. For an aircraft to be operational, a minimum of two Cooling Units out of the four need to be operational. The maintenance planning results show that our integrated approach reduces the costs with maintenance by 48% relative to a corrective maintenance strategy and by 30% relative to a preventive maintenance strategy. Moreover, using predictive maintenance, components are replaced in anticipation of failure without wasting their useful life. In general, our approach provides a roadmap from Remaining-Useful-Life prognostics to maintenance planning for multiple multi-component systems of repairables with a limited stock of spares.</t>
  </si>
  <si>
    <t>[de Pater, Ingeborg; Mitici, Mihaela] Delft Univ Technol, Fac Aerosp Engn, NL-2926 HS Delft, Netherlands</t>
  </si>
  <si>
    <t>Delft University of Technology</t>
  </si>
  <si>
    <t>de Pater, I (corresponding author), Delft Univ Technol, Fac Aerosp Engn, NL-2926 HS Delft, Netherlands.</t>
  </si>
  <si>
    <t>i.i.depater@tudelft.nl</t>
  </si>
  <si>
    <t>de Pater, Ingeborg/0000-0003-1414-0701</t>
  </si>
  <si>
    <t>10.1016/j.ress.2021.107761</t>
  </si>
  <si>
    <t>WOS:000663912500036</t>
  </si>
  <si>
    <t>Zhang, FX; Shen, JY; Ma, YZ</t>
  </si>
  <si>
    <t>Zhang, Fengxia; Shen, Jingyuan; Ma, Yizhong</t>
  </si>
  <si>
    <t>Optimal maintenance policy considering imperfect repairs and non-constant probabilities of inspection errors</t>
  </si>
  <si>
    <t>Delay time model; Imperfect inspection; Imperfect repair; Optimal maintenance policy; System reliability</t>
  </si>
  <si>
    <t>SCHEDULING PREVENTIVE MAINTENANCE; DELAY-TIME MODEL; 2-COMPONENT SYSTEM; OPTIMIZATION; AVAILABILITY; RELIABILITY; PARAMETERS; COMPONENT; FAILURE; QUALITY</t>
  </si>
  <si>
    <t>During system operation, inspections are usually scheduled to detect the signals of defects. Due to the human, measurement or environment errors, inspections are generally imperfect which reveal the real states of the system with non-constant probabilities. When an inspection concludes a defect, necessary preventive maintenance actions should be carried out. In most existing literatures, perfect preventive maintenance, like replacement, is studied. However, in practice, most defects are imperfectly repaired rather than being replaced because of limitations of resources, technologies or time. Thus, considering both imperfect inspections and imperfect repairs, a novel preventive maintenance policy is investigated for a three-state system. Cost rate and reliability of the system are derived by a recursive method. The problem of optimal maintenance policy is formulated by minimizing the cost rate over an infinite time horizon. An algorithm is proposed to obtain the optimal inspection interval and preventive replacement interval. Finally, several numerical examples are given to illustrate the proposed method and verify the correctness of the method.</t>
  </si>
  <si>
    <t>[Zhang, Fengxia; Shen, Jingyuan; Ma, Yizhong] Nanjing Univ Sci &amp; Technol, Sch Econ &amp; Management, Nanjing 210094, Jiangsu, Peoples R China</t>
  </si>
  <si>
    <t>Nanjing University of Science &amp; Technology</t>
  </si>
  <si>
    <t>yzma@njust.edu.cn</t>
  </si>
  <si>
    <t>National Natural Science Foundation of China [71931006, 71871119, 71801128]; Postgraduate Research &amp; Practice Innovation Program of Jiangsu Province [KYCX18_0433]</t>
  </si>
  <si>
    <t>National Natural Science Foundation of China(National Natural Science Foundation of China (NSFC)); Postgraduate Research &amp; Practice Innovation Program of Jiangsu Province</t>
  </si>
  <si>
    <t>The research was supported by the National Natural Science Foundation of China (Nos. 71931006, 71871119 and 71801128) and Postgraduate Research &amp; Practice Innovation Program of Jiangsu Province (KYCX18_0433).</t>
  </si>
  <si>
    <t>10.1016/j.ress.2019.106615</t>
  </si>
  <si>
    <t>WOS:000501641400027</t>
  </si>
  <si>
    <t>Chen, LW; Gao, YS; Dui, HY; Xing, LD</t>
  </si>
  <si>
    <t>Chen, Liwei; Gao, Yansan; Dui, Hongyan; Xing, Liudong</t>
  </si>
  <si>
    <t>Importance measure-based maintenance optimization strategy for pod slewing system</t>
  </si>
  <si>
    <t>Reliability; Maintenance cost; Importance measure; Pod slewing system</t>
  </si>
  <si>
    <t>RELIABILITY; PERFORMANCE</t>
  </si>
  <si>
    <t>The pod slewing system is a complex hydraulic system that can realize the ship's yawing or reversing. Thus, its performance directly affects the maneuverability and flexibility of the ship. Existing research on the pod slewing system has mostly focused on its design and control aspects. This paper makes contributions by modeling the reliability of the pod slewing system and performing the component importance analysis using the integrated importance measure and the griffith importance measure to identify weak or vulnerable components of the system. Based on the importance analysis results, the optimal maintenance strategy is investigated, which maximizes the system performance subject to the constraint on the total maintenance costs. Example solutions to the optimized maintenance strategies are demonstrated for different mission time and different cost constraints.</t>
  </si>
  <si>
    <t>[Chen, Liwei; Gao, Yansan] Zhengzhou Univ, Sch Elect Engn, Zhengzhou 450001, Peoples R China; [Dui, Hongyan] Zhengzhou Univ, Sch Management Engn, Zhengzhou 450001, Peoples R China; [Xing, Liudong] Univ Massachusetts Dartmouth, Dept Elect &amp; Comp Engn, N Dartmouth, MA 02747 USA</t>
  </si>
  <si>
    <t>National Natural Science Foundation of China [61807031]; Key Science and Technology Program of Henan Province, China [132102210560, 162102210004]</t>
  </si>
  <si>
    <t>National Natural Science Foundation of China(National Natural Science Foundation of China (NSFC)); Key Science and Technology Program of Henan Province, China</t>
  </si>
  <si>
    <t>The authors gratefully acknowledge the financial supports for this research from the National Natural Science Foundation of China (No. 61807031), Key Science and Technology Program of Henan Province, China (Nos. 132102210560, 162102210004).</t>
  </si>
  <si>
    <t>10.1016/j.ress.2021.108001</t>
  </si>
  <si>
    <t>WOS:000702351700069</t>
  </si>
  <si>
    <t>Wu, CS; Pan, R; Zhao, X; Wang, XY</t>
  </si>
  <si>
    <t>Wu, Congshan; Pan, Rong; Zhao, Xian; Wang, Xiaoyue</t>
  </si>
  <si>
    <t>Designing preventive maintenance for multi-state systems with performance sharing</t>
  </si>
  <si>
    <t>Performance sharing; Availability; Maintenance policy; Markov process; Universal generating function technique</t>
  </si>
  <si>
    <t>SERIES-PARALLEL SYSTEMS; MISSION ABORT POLICY; RELIABILITY-ANALYSIS</t>
  </si>
  <si>
    <t>This paper constructs a reliability model for the performance sharing system with random shocks, and studies the optimal preventive maintenance policy for this model. Such a system contains a common bus and n components that have individual functional capacity to satisfy its demand. The common bus connects all components and is used to share surplus capacity to components whose demand cannot be satisfied by itself. Each component has several health states that are affected by random shocks and maintenance actions. Preventive maintenance and minimal repairs after failures are considered in this paper. Each health state exhibits several performance levels that depend on external influencers, such as the wind speed for wind energy power plants. The method combining the Markov process and the universal generating function technique is applied to evaluate system availability. An optimization model is established to determine the optimal preventive maintenance interval. A regional power distribution system is analyzed to demonstrate the applicability of the proposed availability model and the effectiveness of the proposed method.</t>
  </si>
  <si>
    <t>[Wu, Congshan] Beijing Informat Sci &amp; Technol Univ, Sch Econ &amp; Management, Beijing 100192, Peoples R China; [Pan, Rong] Arizona State Univ, Sch Comp &amp; Augmented Intelligence, Tempe, AZ USA; [Zhao, Xian] Beijing Inst Technol, Sch Management &amp; Econ, Beijing 100081, Peoples R China; [Wang, Xiaoyue] Beijing Technol &amp; Business Univ, Sch E Business &amp; Logist, Beijing 100048, Peoples R China</t>
  </si>
  <si>
    <t>Beijing Information Science &amp; Technology University; Arizona State University; Arizona State University-Tempe; Beijing Institute of Technology; Beijing Technology &amp; Business University</t>
  </si>
  <si>
    <t>Science and Technology Innovation Project of Beijing Institute of Technology [72301035, 72131002, 71971026, 72371003, 72001006]; [2023CX01028]; [LY2022-23]</t>
  </si>
  <si>
    <t>Science and Technology Innovation Project of Beijing Institute of Technology; ;</t>
  </si>
  <si>
    <t>This work was supported by the (Grant Nos. 72301035, 72131002, 71971026, 72371003 and 72001006) , and Science and Technology Innovation Project of Beijing Institute of Technology (Grant Nos. 2023CX01028 and LY2022-23) .</t>
  </si>
  <si>
    <t>10.1016/j.ress.2023.109661</t>
  </si>
  <si>
    <t>T6RE5</t>
  </si>
  <si>
    <t>WOS:001079229900001</t>
  </si>
  <si>
    <t>Zhang, N; Cai, KQ; Zhang, J; Wang, T</t>
  </si>
  <si>
    <t>Zhang, Nan; Cai, Kaiquan; Zhang, Jun; Wang, Tian</t>
  </si>
  <si>
    <t>A condition-based maintenance policy considering failure dependence and imperfect inspection for a two-component system</t>
  </si>
  <si>
    <t>Condition-based maintenance; Degradation modelling; Failure dependence; Imperfect inspection</t>
  </si>
  <si>
    <t>INVERSE GAUSSIAN PROCESS; OPPORTUNISTIC MAINTENANCE; MULTICOMPONENT SYSTEMS; OPTIMIZATION; SUBJECT; RELIABILITY; MODEL</t>
  </si>
  <si>
    <t>In this paper, a condition-based maintenance of a two-component system under imperfect inspection is studied: component 1 is repairable and only two states (working and failed) are observable. Component 2 degrades with time. The degradation of component 2 is modelled by a Wiener process with different drift and volatility parameters depending on the working state of component 1. Component 2 fails if its degradation level exceeds a pre-defined threshold. A dual periodical inspection policy is proposed to monitor the system condition: component 1 is imperfectly inspected and the whole system is perfectly inspected with a longer period. Upon inspection, component 1 is replaced if a failure is detected. The whole system is renewed if the degradation of component 2 exceeds its preventive maintenance threshold. The problem is very complex due to the failure dependence between the two components and the partial revealed information within the system inspection period. Component 1 is impacted by the imperfect inspection. Component 2 may experience multiple changes of its degradation regime while only imperfect, partial change information is available. In this study, we intend to address these problems. The expression of the maintenance cost rate in the long-run is given to evaluate the maintenance policy. An algorithm is proposed to achieve the maintenance optimization. Numerical examples show the applicability of the model. It can provide reference to the decision-maker for optimizing the maintenance budget.</t>
  </si>
  <si>
    <t>[Zhang, Nan] Beijing Inst Technol, Sch Management &amp; Econ, Beijing, Peoples R China; [Cai, Kaiquan] Beihang Univ, Sch Elect &amp; Informat Engn, Beijing, Peoples R China; [Zhang, Jun] Beijing Inst Technol, Adv Res Inst Multidisciplinary Sci, Beijing, Peoples R China; [Wang, Tian] Beihang Univ, Inst Artificial Intelligence, Beijing, Peoples R China</t>
  </si>
  <si>
    <t>Beijing Institute of Technology; Beihang University; Beijing Institute of Technology; Beihang University</t>
  </si>
  <si>
    <t>Zhang, N (corresponding author), Beijing Inst Technol, Sch Management &amp; Econ, Beijing, Peoples R China.</t>
  </si>
  <si>
    <t>nan.zhang@bit.edu.cn</t>
  </si>
  <si>
    <t>Cai, Kaiquan/ADM-6168-2022; zhang, jiliang/N-5659-2015</t>
  </si>
  <si>
    <t>zhang, nan/0000-0003-0969-2456</t>
  </si>
  <si>
    <t>National Natural Science Foundation of China [61827901,71901026]; Outstanding Youth Fund of the National Natural Science Foundation of China [61822102]; Beijing Natural Science Foundation [L91007]</t>
  </si>
  <si>
    <t>National Natural Science Foundation of China(National Natural Science Foundation of China (NSFC)); Outstanding Youth Fund of the National Natural Science Foundation of China(National Natural Science Foundation of China (NSFC)); Beijing Natural Science Foundation(Beijing Natural Science Foundation)</t>
  </si>
  <si>
    <t>This work is supported by the National Natural Science Foundation of China (61827901,71901026); the Outstanding Youth Fund of the National Natural Science Foundation of China (61822102) and Beijing Natural Science Foundation (L91007).</t>
  </si>
  <si>
    <t>10.1016/j.ress.2021.108069</t>
  </si>
  <si>
    <t>UZ7CS</t>
  </si>
  <si>
    <t>WOS:000702360100027</t>
  </si>
  <si>
    <t>Lin, BL; Wu, JP; Lin, RX; Wang, JX; Wang, H; Zhang, XH</t>
  </si>
  <si>
    <t>Lin Boliang; Wu Jianping; Lin Ruixi; Wang Jiaxi; Wang Hui; Zhang Xuhui</t>
  </si>
  <si>
    <t>Optimization of high-level preventive maintenance scheduling for high-speed trains</t>
  </si>
  <si>
    <t>High-speed railway; EMU train; High-level maintenance planning; 0-1 programming; Simulated annealing</t>
  </si>
  <si>
    <t>GENETIC ALGORITHM; GENERATING-UNITS; SINGLE-MACHINE; MODEL; SYSTEMS</t>
  </si>
  <si>
    <t>For safety reasons, a high-speed train needs to carry out the preventive maintenance when its accumulated running mileage or time reaches a predefined threshold. This paper formulates the train high-level preventive maintenance planning problem as a 0-1 programming model. A novel state function is designed to describe whether a train is under maintenance or not. By using this function, the constraint for restricting the total number of trains under maintenance can be formulated reasonably well. A linearization technique is also employed to refine the original non-linear state function into a linear one. To handle large-scale instances, a simulated annealing algorithm is proposed for solving the problem and is applied to a real-world case study from Shanghai Railway Bureau (SRB), a regional railway operator under China Railway. The optimized results yield a total cost of 3,619,200 standard train-km in terms of remaining mileage. In addition, sensitivity analyses based on the real-world case study reveal some interesting insights. We have delivered the results to SRB as a useful and efficient decision support tool for their high-level maintenance planning work.</t>
  </si>
  <si>
    <t>[Lin Boliang; Wu Jianping; Wang Jiaxi] Beijing Jiaotong Univ, Sch Traff &amp; Transportat, Beijing 100044, Peoples R China; [Lin Ruixi] CloudMinds, 4500 Great Amer Pkwy,Suite 230, Santa Clara, CA 95054 USA; [Wang Hui] China Acad Railway Sci, Inst Comp Technol, Beijing 100081, Peoples R China; [Zhang Xuhui] Shanghai Railway Bur, Vehicle Dept, Shanghai 200071, Peoples R China</t>
  </si>
  <si>
    <t>Beijing Jiaotong University</t>
  </si>
  <si>
    <t>Lin, BL (corresponding author), Beijing Jiaotong Univ, Sch Traff &amp; Transportat, Beijing 100044, Peoples R China.</t>
  </si>
  <si>
    <t>bllin@bjtu.edu.cn</t>
  </si>
  <si>
    <t>Zhang, Xuhui/KYP-4914-2024</t>
  </si>
  <si>
    <t>Wang, Jiaxi/0000-0002-8138-4143</t>
  </si>
  <si>
    <t>Science and Technology Management Department of China Railway Corporation [2015J006-B]; National Railway Administration of the Peoples Republic of China [KF2017-015]; National Natural Science Foundation of China [51378056]</t>
  </si>
  <si>
    <t>Science and Technology Management Department of China Railway Corporation; National Railway Administration of the Peoples Republic of China; National Natural Science Foundation of China(National Natural Science Foundation of China (NSFC))</t>
  </si>
  <si>
    <t>This work was supported by the Science and Technology Management Department of China Railway Corporation under grant number 2015J006-B, National Railway Administration of the Peoples Republic of China under grant number KF2017-015 and the National Natural Science Foundation of China under grant number 51378056.</t>
  </si>
  <si>
    <t>10.1016/j.ress.2018.11.028</t>
  </si>
  <si>
    <t>HH4LK</t>
  </si>
  <si>
    <t>WOS:000455693700021</t>
  </si>
  <si>
    <t>Moneim, AFA; Ghazy, M; Hassnien, A</t>
  </si>
  <si>
    <t>Moneim, Ahmed Farouk Abdul; Ghazy, Mootaz; Hassnien, Amr</t>
  </si>
  <si>
    <t>Bayesian Estimation of Parameters of Reliability and Maintainability of a Component under Imperfect Repair and Maintenance</t>
  </si>
  <si>
    <t>ARABIAN JOURNAL FOR SCIENCE AND ENGINEERING</t>
  </si>
  <si>
    <t>Bayesian estimation; Imperfect maintenance; Reliability and maintainability parameters</t>
  </si>
  <si>
    <t>WEIBULL PROCESS; UNKNOWN SCALE; SYSTEMS; MODELS</t>
  </si>
  <si>
    <t>The determination of maintenance policies in companies depend on the reliability and maintainability (RAM) parameters. This work estimates the RAM parameters of a component under the condition of imperfect maintenance. Exact mathematical expressions using virtual age model of Kijima type are derived for the evaluation of probability distributions of these parameters. The mathematical derivations are based on Bayes formula of posterior probabilities. Bayes formula is applied directly without the need of application of approximate sampling techniques. Computations of probability distribution of parameters of reliability and maintainability have been elaborated using Visual Basic. The application of Bayes formula of posterior probabilities to estimate the parameters shows satisfactory results.</t>
  </si>
  <si>
    <t>[Moneim, Ahmed Farouk Abdul; Ghazy, Mootaz] Arab Acad Sci &amp; Technol &amp; Maritime Transport, Ind &amp; Management Engn Dept, Abou Keer Campus,POB 1029, Alexandria, Egypt; [Hassnien, Amr] Egyptian Projects Operat &amp; Maintenance EPROM, Alexandria, Egypt</t>
  </si>
  <si>
    <t>Egyptian Knowledge Bank (EKB); Arab Academy for Science, Technology &amp; Maritime Transport</t>
  </si>
  <si>
    <t>Ghazy, M (corresponding author), Arab Acad Sci &amp; Technol &amp; Maritime Transport, Ind &amp; Management Engn Dept, Abou Keer Campus,POB 1029, Alexandria, Egypt.</t>
  </si>
  <si>
    <t>mail@ahmedfarouk.org; mootaz.ghazy@aast.edu; amrhassnien@yahoo.com</t>
  </si>
  <si>
    <t>2193-567X</t>
  </si>
  <si>
    <t>2191-4281</t>
  </si>
  <si>
    <t>ARAB J SCI ENG</t>
  </si>
  <si>
    <t>Arab. J. Sci. Eng.</t>
  </si>
  <si>
    <t>10.1007/s13369-018-3206-2</t>
  </si>
  <si>
    <t>HP4AS</t>
  </si>
  <si>
    <t>WOS:000461619400056</t>
  </si>
  <si>
    <t>Chen, SL; Chen, D; Li, L; Miramini, S; Zhang, LH</t>
  </si>
  <si>
    <t>Chen, Shilun; Chen, Da; Li, Le; Miramini, Saeed; Zhang, Lihai</t>
  </si>
  <si>
    <t>Optimized Bridge Maintenance Strategies: A System Reliability-Based Approach to Enhancing Road Network Performance</t>
  </si>
  <si>
    <t>JOURNAL OF CONSTRUCTION ENGINEERING AND MANAGEMENT</t>
  </si>
  <si>
    <t>Bridge maintenance strategies; Road network performance; System reliability; Optimization</t>
  </si>
  <si>
    <t>COST OPTIMIZATION; LIFE; MANAGEMENT; FRAMEWORK; SAFETY</t>
  </si>
  <si>
    <t>Though road authorities have well-defined inspection protocols for evaluating bridge serviceability, gaps remain in understanding optimal timing and the impact of maintenance strategies on an individual bridge and its subsystems and, consequently, on the holistic performance of a road network. This paper proposes an innovative model based on system reliability principles that develops optimized bridge maintenance strategies aimed at enhancing the overall reliability of a bridge-dominated road network by considering the quantified impact of bridge component deterioration. Using the first-order second-moment method, we initially determine the reliability index for each bridge based on condition ratings derived from routine inspections as outlined in the bridge inspection manual. Advanced optimization algorithms then formulate the optimal maintenance strategies for the bridge structures. Finally, we gauge the system reliability of the network using Ditlevsen bounds approximation, considering the impact of maintenance actions on varied bridge structural components. The developed model was implemented on a typical bridge-dominated road network in Chongqing, China. The results demonstrate the model has the capacity to quantify the impact of diverse bridge maintenance strategies on the total road network, offering valuable insights for decision makers to design effective, efficient maintenance strategies aimed at extending the lifespan of bridge-dominated road networks.</t>
  </si>
  <si>
    <t>[Chen, Shilun] Chongqing Univ, Sch Civil Engn, Chongqing 400045, Peoples R China; [Chen, Shilun] Chongqing Hi Tech Dev &amp; Construct Investment Grp C, Chongqing 400039, Peoples R China; [Chen, Da] Univ New South Wales, Ctr Infrastruct Engn &amp; Safety, Sch Civil &amp; Environm Engn, Sydney, NSW 2052, Australia; [Li, Le] Victoria Univ, Coll Engn &amp; Sci, Melbourne, Vic 3011, Australia; [Miramini, Saeed; Zhang, Lihai] Univ Melbourne, Dept Infrastruct Engn, Melbourne, Vic 3010, Australia</t>
  </si>
  <si>
    <t>Chongqing University; University of New South Wales Sydney; Victoria University; University of Melbourne</t>
  </si>
  <si>
    <t>Chen, D (corresponding author), Univ New South Wales, Ctr Infrastruct Engn &amp; Safety, Sch Civil &amp; Environm Engn, Sydney, NSW 2052, Australia.</t>
  </si>
  <si>
    <t>shilunc@student.unimelb.edu.au; daniel.chen7@unsw.edu.au; le.li@vu.edu.au; s.miramini@unimelb.edu.au; lihzhang@unimelb.edu.au</t>
  </si>
  <si>
    <t>Chen, Da/ITU-3665-2023; Miramini, Saeed/AAB-8119-2019; Zhang, Lihai/F-6823-2014</t>
  </si>
  <si>
    <t>Zhang, Lihai/0000-0002-1282-992X; Chen, Da/0000-0002-6198-9911; Chen, Shilun/0000-0001-6976-0305; Li, Le/0000-0003-4600-2100</t>
  </si>
  <si>
    <t>Australian Research Council [ARC DECRA DE220100876]</t>
  </si>
  <si>
    <t>Australian Research Council(Australian Research Council)</t>
  </si>
  <si>
    <t>The authors wish to thank The University of Melbourne and Chongqing Communication Engineering Quality Testing for their support. The author D. Chen acknowledges the financial support from the Australian Research Council (ARC DECRA DE220100876).</t>
  </si>
  <si>
    <t>0733-9364</t>
  </si>
  <si>
    <t>1943-7862</t>
  </si>
  <si>
    <t>J CONSTR ENG M</t>
  </si>
  <si>
    <t>J. Constr. Eng. Manage.</t>
  </si>
  <si>
    <t>MAR 1</t>
  </si>
  <si>
    <t>10.1061/JCEMD4.COENG-14176</t>
  </si>
  <si>
    <t>Construction &amp; Building Technology; Engineering, Industrial; Engineering, Civil</t>
  </si>
  <si>
    <t>Construction &amp; Building Technology; Engineering</t>
  </si>
  <si>
    <t>EZ7G6</t>
  </si>
  <si>
    <t>WOS:001142819900018</t>
  </si>
  <si>
    <t>Joint optimization of fleet-level sequential selective maintenance and repairpersons assignment for multi-state manufacturing systems</t>
  </si>
  <si>
    <t>Multi-state manufacturing system; Selective maintenance; Repairpersons assignment; Flow dependency; Uncertain maintenance duration; Genetic algorithm</t>
  </si>
  <si>
    <t>STRATEGY</t>
  </si>
  <si>
    <t>Due to limited maintenance resources, the joint optimization of fleet-level selective maintenance and repair persons assignment aims to determine the optimal subset of maintenance actions for each repairperson to ensure that manufacturing systems in the fleet complete subsequent missions. However, related studies ignore the uncertain maintenance duration and flow dependency (a stochastic dependency caused by dynamic material flow) resulting in overestimation of system reliability and total profit. Therefore, this paper proposes a novel joint optimization model of fleet-level sequential selective maintenance and repairpersons assignment under flow dependency and uncertain maintenance duration. The model requires identifying a subset of maintenance actions, assigning the selected maintenance actions to repairpersons, and planning sequence of maintenance actions executed by each repairperson. Moreover, the degradation model of multi-state machines under flow dependency is established by analyzing dynamic characteristics of production processes. Further, the reliability of multi-state manufacturing systems considering the interaction among repairpersons, flow dependency, and uncertain maintenance duration is incorporated into the optimization model. The objective is to maximize the total profit under predetermined system reliability thresholds. Then, the optimization problem is solved by a tailored genetic algorithm with segment-based evolution strategy. Finally, numerical examples are given to verify the effectiveness of the proposed method.</t>
  </si>
  <si>
    <t>[Chen, Zhaoxiang; Chen, Zhen; Pan, Ershun] Shanghai Jiao Tong Univ, Dept Ind Engn &amp; Management, State Key Lab Mech Syst &amp; Vibrat, Shanghai 200240, Peoples R China; [Zhou, Di] Donghua Univ, Sch Mech Engn, Shanghai 200051, Peoples R China</t>
  </si>
  <si>
    <t>National Key Research and Development Program of China [2020YFB1711100]; National Natural Science Foundation of China [52005327, 72071127, 72001138]</t>
  </si>
  <si>
    <t>This work was supported in part by National Key Research and Development Program of China under Grant 2020YFB1711100; and in part by the National Natural Science Foundation of China under Grant 52005327, Grant 72071127, and Grant 72001138.</t>
  </si>
  <si>
    <t>10.1016/j.cie.2023.109411</t>
  </si>
  <si>
    <t>M3FJ3</t>
  </si>
  <si>
    <t>WOS:001029066800001</t>
  </si>
  <si>
    <t>Peng, SZ; Jiang, W; Wei, L; Wang, XL</t>
  </si>
  <si>
    <t>Peng, Shizhe; Jiang, Wei; Wei, Lai; Wang, Xiao-Lin</t>
  </si>
  <si>
    <t>A new cost-sharing preventive maintenance program under two-dimensional warranty</t>
  </si>
  <si>
    <t>Cost sharing; Preventive maintenance; Two-dimensional warranty</t>
  </si>
  <si>
    <t>REPAIR-REPLACE STRATEGIES; EXTENDED WARRANTY; MODELS; POLICIES</t>
  </si>
  <si>
    <t>In this paper, we present a new cost-sharing preventive maintenance (PM) program for a product protected by a two-dimensional warranty. The product is preventively maintained by its manufacturer in the warranty period and by a customer in the post-warranty period. To better coordinate their decisions, the cost of PM during the warranty period is borne jointly by both parties based on a fixed ratio. We propose a new way of designing such a cost-sharing PM program by using the customer's expected post-warranty cost. We find a failure intensity threshold that determines whether the customer should carry out PM at the beginning of the post-warranty period. It is shown that cost sharing can reduce the failure intensity at this point, which in turn can reduce the customer's expected total cost. Given a specific usage rate of the product, we then derive the optimal cost-sharing ratio from the customer's perspective. In the numerical study, we examine the effect of usage rate on the optimal cost-sharing ratio as well as the benefits gained from cost sharing.</t>
  </si>
  <si>
    <t>[Peng, Shizhe] Cent South Univ, Sch Business, Changsha, Peoples R China; [Jiang, Wei; Wei, Lai] Shanghai Jiao Tong Univ, Antai Coll Econ &amp; Management, Shanghai, Peoples R China; [Wang, Xiao-Lin] Sichuan Univ, Business Sch, Chengdu, Peoples R China</t>
  </si>
  <si>
    <t>Central South University; Shanghai Jiao Tong University; Sichuan University</t>
  </si>
  <si>
    <t>Wang, XL (corresponding author), Sichuan Univ, Business Sch, Chengdu, Peoples R China.</t>
  </si>
  <si>
    <t>pengshiz@126.com; jiangwei08@gmail.com; laiwei@sjtu.edu.cn; xlwang28-c@my.cityu.edu.hk</t>
  </si>
  <si>
    <t>jiang, wei/ABD-7395-2021; Wang, Xiao-Lin/AAT-4317-2021</t>
  </si>
  <si>
    <t>Peng, Shizhe/0000-0001-6282-4409; Wang, Xiao-Lin/0000-0003-0100-8154</t>
  </si>
  <si>
    <t>Department of Industrial Systems Engineering and Management at National University of Singapore; National Science Foundation of China [72122013, 71801151]</t>
  </si>
  <si>
    <t>Department of Industrial Systems Engineering and Management at National University of Singapore; National Science Foundation of China(National Natural Science Foundation of China (NSFC))</t>
  </si>
  <si>
    <t>We are grateful to the two anonymous referees for their constructive comments. Part of this research was conducted while the first author was visiting the Department of Industrial Systems Engineering and Management at National University of Singapore. This research was supported by the National Science Foundation of China [grant numbers 72122013, 71801151] .</t>
  </si>
  <si>
    <t>10.1016/j.ijpe.2022.108580</t>
  </si>
  <si>
    <t>4P2LT</t>
  </si>
  <si>
    <t>WOS:000855227700002</t>
  </si>
  <si>
    <t>Zhang, WY; He, SG; Zhang, XH; Zhao, X</t>
  </si>
  <si>
    <t>Zhang, Wenyu; He, Shuguang; Zhang, Xiaohong; Zhao, Xing</t>
  </si>
  <si>
    <t>Joint optimization of job scheduling, condition-based maintenance planning, and spare parts ordering for degrading production systems</t>
  </si>
  <si>
    <t>joint optimization; job scheduling; condition-based maintenance; spare parts ordering</t>
  </si>
  <si>
    <t>OPPORTUNISTIC MAINTENANCE; PROVISIONING POLICY; COMPONENTS; FAILURES; MINIMIZE</t>
  </si>
  <si>
    <t>The system degrades gradually due to intrinsic properties and the external environment while processing scheduling jobs. Maintenance plays an important role in restoring system performance during the job scheduling process. In contrast to traditional integration studies of scheduling and maintenance, this study further considers spare parts inventory in integrated decision-making. By integrating spare parts ordering information, engineers can meticulously organize maintenance and spare parts replenishment, thereby bolstering system reliability and ensuring smooth production scheduling. This paper presents a mathematical model that jointly optimizes job scheduling, condition-based maintenance planning, and spare parts ordering for deteriorating production systems. The system's degradation state and spare parts inventory state are identified and revealed at the end of the scheduling job. A condition-based maintenance and spare parts ordering policy is triggered based on the captured joint state. Subsequently, we developed a joint optimization model to determine the optimal maintenance thresholds, spare parts ordering thresholds, and job sequences, aimed at minimizing the total weighted expected cost within the scheduling horizon. Finally, an effective genetic algorithm is proposed, and a practical case study involving a rolling mill system is utilized to validate the proposed policy.</t>
  </si>
  <si>
    <t>[Zhang, Wenyu; He, Shuguang; Zhao, Xing] Tianjin Univ, Coll Management &amp; Econ, Tianjin 300072, Peoples R China; [Zhang, Xiaohong] Taiyuan Univ Sci &amp; Technol, Div Ind &amp; Syst Engn, Taiyuan 030024, Peoples R China; [Zhao, Xing] Hisense Refrigerator Co Ltd, Qingdao 266000, Peoples R China</t>
  </si>
  <si>
    <t>Tianjin University; Taiyuan University of Science &amp; Technology</t>
  </si>
  <si>
    <t>Zhao, X (corresponding author), Tianjin Univ, Coll Management &amp; Econ, Tianjin 300072, Peoples R China.</t>
  </si>
  <si>
    <t>1161589626@qq.com</t>
  </si>
  <si>
    <t>We would like to thank the editor and the reviewers for their insightful comments and suggestions.This work was financially supported by the National Natural Science Foundation of China[Grant NO.72032005, 72231005].</t>
  </si>
  <si>
    <t>10.1016/j.ress.2024.110447</t>
  </si>
  <si>
    <t>E2J7F</t>
  </si>
  <si>
    <t>WOS:001301322000001</t>
  </si>
  <si>
    <t>Dui, H; Zhang, SR; Dong, XH; Wu, SM</t>
  </si>
  <si>
    <t>Dui, Hongyan; Zhang, Songru; Dong, Xinghui; Wu, Shaomin</t>
  </si>
  <si>
    <t>Digital twin-enhanced opportunistic maintenance of smart microgrids based on the risk importance measure</t>
  </si>
  <si>
    <t>Digital twin; Smart microgrid; Opportunistic maintenance; Importance measure</t>
  </si>
  <si>
    <t>Smart microgrids face more diverse and frequent risks than traditional grids due to their complexity and reliance on distributed generation. Ensuring the reliable operation of smart microgrids requires effective maintenance. Traditional maintenance methods, based on periodic inspections and fault diagnosis, struggle to adapt to the dynamics and complexity of microgrid systems. The introduction of digital twin technology provides a new solution for the opportunistic maintenance of microgrid systems. This paper presents a digital twin microgrid architecture for real-time monitoring and decision-making in opportunistic maintenance. Meanwhile, this paper introduces a risk importance measure to aid to optimize opportunistic maintenance strategies when resources are limited. Finally, a wind-solar-storage microgrid is used to illustrate the proposed method. Experimental results show that the proposed method significantly reduces maintenance costs and improves system reliability, effectively supporting microgrid maintenance.</t>
  </si>
  <si>
    <t>[Dui, Hongyan; Zhang, Songru; Dong, Xinghui] Zhengzhou Univ, Sch Management, Zhengzhou 450001, Peoples R China; [Wu, Shaomin] Univ Kent, Kent Business Sch, Canterbury CT2 7FS, Kent, England</t>
  </si>
  <si>
    <t>The authors gratefully acknowledge the financial support for this research from the National Natural Science Foundation of China (no. 72071182) .</t>
  </si>
  <si>
    <t>10.1016/j.ress.2024.110548</t>
  </si>
  <si>
    <t>J1H8B</t>
  </si>
  <si>
    <t>WOS:001334659200001</t>
  </si>
  <si>
    <t>Koutras, VP; Malefaki, S; Platis, AN</t>
  </si>
  <si>
    <t>Koutras, Vasilis P.; Malefaki, Sonia; Platis, Agapios N.</t>
  </si>
  <si>
    <t>Opportunistic maintenance on the automatic switching mechanism of a two-unit multi-state system</t>
  </si>
  <si>
    <t>opportunistic maintenance; multi-state deteriorating system; imperfect switch; redundancy; asymptotic availability; total expected operational cost</t>
  </si>
  <si>
    <t>STANDBY SYSTEM; PREVENTIVE MAINTENANCE; STOCHASTIC-ANALYSIS; RELIABILITY; FAILURES; MODEL; OPTIMIZATION; POLICY</t>
  </si>
  <si>
    <t>A two-unit multi-state deteriorating system consisting of one operating and one unit in standby mode, under preventive maintenance and imperfect switch is considered. System control is switched to the standby unit upon operating unit failure or maintenance, either automatically, by an automatic switching mechanism (ASM), or manually. To avoid ASM failures, triggering an opportunistic maintenance (OM) on the automatic switching mechanism is proposed upon unit maintenance. The main objective is to evaluate the effect of ASM opportunistic maintenance on system's dependability and performance. The asymptotic availability and the total expected operational cost of the system with and without automatic switching mechanism OM for various unit maintenance policies are compared through a numerical example. The results are encouraging since the proposed model with OM provides higher availability and significantly reduced operational cost regardless the adopted maintenance policy.</t>
  </si>
  <si>
    <t>[Koutras, Vasilis P.; Platis, Agapios N.] Univ Aegean, Dept Financial &amp; Management Engn, GR-82100 Chios, Greece; [Malefaki, Sonia] Univ Patras, Dept Mech Engn &amp; Aeronaut, GR-26500 Rion, Greece</t>
  </si>
  <si>
    <t>University of Aegean; University of Patras</t>
  </si>
  <si>
    <t>Koutras, VP (corresponding author), Univ Aegean, Dept Financial &amp; Management Engn, GR-82100 Chios, Greece.</t>
  </si>
  <si>
    <t>v.koutras@fme.aegean.gr; smalefaki@upatras.gr; platis@aegean.gr</t>
  </si>
  <si>
    <t>Koutras, Vasilis/AFP-1742-2022; Platis, Agapios/AFW-3013-2022</t>
  </si>
  <si>
    <t>Malefaki, Sonia/0000-0002-0756-3557</t>
  </si>
  <si>
    <t>10.1504/EJIE.2021.117319</t>
  </si>
  <si>
    <t>UL6OG</t>
  </si>
  <si>
    <t>WOS:000692767800002</t>
  </si>
  <si>
    <t>Dai, AS; Wei, GZ; Zhang, ZM; He, SG</t>
  </si>
  <si>
    <t>Dai, Anshu; Wei, Guanzhou; Zhang, Zhaomin; He, Shuguang</t>
  </si>
  <si>
    <t>Design of a flexible preventive maintenance strategy for two-dimensional warranted products</t>
  </si>
  <si>
    <t>Two-dimensional warranty; base warranty; flexible preventive maintenance; warranty cost; usage rate</t>
  </si>
  <si>
    <t>IMPERFECT PRODUCTION SYSTEM; EXTENDED WARRANTY; INSPECTION ERRORS; MODEL; POLICY; SOLD; INVENTORY</t>
  </si>
  <si>
    <t>Offering appropriate preventive maintenance strategy has an effective impact on achieving higher customer satisfaction. This article presents a flexible preventive maintenance strategy, where customers are grouped into two groups according to their usage rates, and then different preventive maintenance programs are applied to different types of customers. The product follows a two-dimensional failure process and the preventive maintenance cost is shared between the manufacturer and customer on a pro rata basis. The manufacturer's warranty cost is minimized by jointly optimizing the pro rata proportion of the preventive maintenance cost, the preventive maintenance number and the corresponding preventive maintenance levels. Numerical experiments are presented to illustrate the effectiveness of the proposed approach. Results prove that the flexible preventive maintenance strategy outperforms the conventional unified preventive maintenance strategy in terms of total warranty cost. Besides, some managerial suggestions are also given to provide guidance of implementing the proposed preventive maintenance strategy.</t>
  </si>
  <si>
    <t>[Dai, Anshu] Tianjin Univ Finance &amp; Econ, Coinnovat Ctr Computable Modeling Management Sci, Tianjin 300222, Peoples R China; [Wei, Guanzhou; He, Shuguang] Tianjin Univ, Coll Management &amp; Econ, Tianjin, Peoples R China; [Zhang, Zhaomin] Civil Aviat Univ China, Coll Aeronaut Engn, Tianjin, Peoples R China</t>
  </si>
  <si>
    <t>Tianjin University of Finance &amp; Economics; Tianjin University; Civil Aviation University of China</t>
  </si>
  <si>
    <t>Dai, AS (corresponding author), Tianjin Univ Finance &amp; Econ, Coinnovat Ctr Computable Modeling Management Sci, Tianjin 300222, Peoples R China.</t>
  </si>
  <si>
    <t>anshudai@tjufe.edu.cn</t>
  </si>
  <si>
    <t>Wei, Guanzhou/0000-0001-7729-1625</t>
  </si>
  <si>
    <t>National Science Foundation of China (NSFC) [71802145, 71801064, 71532008, 71472132, 71661147003]</t>
  </si>
  <si>
    <t>National Science Foundation of China (NSFC)(National Natural Science Foundation of China (NSFC))</t>
  </si>
  <si>
    <t>The author(s) disclosed receipt of the following financial support for the research, authorship and/or publication of this article: This work was supported by the National Science Foundation of China (NSFC) under grant nos 71802145, 71801064, 71532008, 71472132 and 71661147003.</t>
  </si>
  <si>
    <t>1748006X19868892</t>
  </si>
  <si>
    <t>10.1177/1748006X19868892</t>
  </si>
  <si>
    <t>AUG 2019</t>
  </si>
  <si>
    <t>WOS:000483753800001</t>
  </si>
  <si>
    <t>Jafar-Zanjani, H; Zandieh, M; Sharifi, M</t>
  </si>
  <si>
    <t>Jafar-Zanjani, Hamed; Zandieh, Mostafa; Sharifi, Mani</t>
  </si>
  <si>
    <t>Robust and resilient joint periodic maintenance planning and scheduling in a multi-factory network under uncertainty: A case study</t>
  </si>
  <si>
    <t>Maintenance planning and scheduling; Multi-factory production; Reliability; Robustness; Multi-objective optimization; CNG stations</t>
  </si>
  <si>
    <t>VIBRATION-BASED MAINTENANCE; OPTIMIZATION; SYSTEMS; POLICY; MODEL</t>
  </si>
  <si>
    <t>The continuity of activity and competition in the global business market has urged organizations to move from centralized to decentralized structures and develop multi-factor production (MFP) networks. The design and implementation of a maintenance system are essential due to two reasons: first, increasing the life cycle of the equipment, and second, decreasing the probability of disruption in MFP networks. This study proposes a bi-objective optimization model for maintenance planning and scheduling in an MFP network. In the proposed model, how to perform, the performing agent of the maintenance operation, and the maintenance periods are determined based on the failure function in planning and scheduling phases, respectively. Besides, two strategies are proposed for MFP network resilience under disruption occurrence. The objective functions are minimizing maintenance costs and maximizing reliability. The augmented epsilon constraint method is utilized to obtain the Pareto front and trade off the objectives. Because of the parameters' inherent uncertainty, an effective robust programming approach is employed to control the uncertainty of input parameters and the conservatism level of output decisions. The CPLEX Solver can globally solve the proposed model in small and medium instances. A heuristic method based on the genetic algorithm is proposed for solving in the large-scaled sample. Finally, the proposed model is implemented for a case study of CNG stations, in which output results approve the model's applicability.</t>
  </si>
  <si>
    <t>[Jafar-Zanjani, Hamed; Zandieh, Mostafa] Shahid Beheshti Univ, Management &amp; Accounting Fac, Dept Ind Management &amp; Informat Technol, GC, Tehran, Iran; [Sharifi, Mani] Ryerson Univ, Dept Mech &amp; Ind Engn, Reliabil Risk &amp; Maintenance Res Lab RRMR Lab, 350 Victoria St, Victoria, ON, Canada; [Sharifi, Mani] Ryerson Univ, Dept Comp Sci, Distributed Syst &amp; Multimedia Proc Lab DSMP Lab, Toronto, ON, Canada</t>
  </si>
  <si>
    <t>Shahid Beheshti University; Toronto Metropolitan University; Toronto Metropolitan University</t>
  </si>
  <si>
    <t>Zandieh, M (corresponding author), Shahid Beheshti Univ, Management &amp; Accounting Fac, Dept Ind Management &amp; Informat Technol, GC, Tehran, Iran.;Sharifi, M (corresponding author), Ryerson Univ, Mech &amp; Ind Engn, 350 Victoria St, Toronto, ON, Canada.</t>
  </si>
  <si>
    <t>manisharifi@Ryerson.ca</t>
  </si>
  <si>
    <t>Mani, Sharifi/GVS-4658-2022; Zandieh, Mostafa/A-9651-2019</t>
  </si>
  <si>
    <t>Zandieh, Mostafa/0000-0003-1209-9514; Sharifi, Mani/0000-0002-7682-7077</t>
  </si>
  <si>
    <t>10.1016/j.ress.2021.108113</t>
  </si>
  <si>
    <t>WI4XU</t>
  </si>
  <si>
    <t>WOS:000708365800028</t>
  </si>
  <si>
    <t>Zheng, R; Fang, HJ; Song, YY</t>
  </si>
  <si>
    <t>Zheng, Rui; Fang, Haojun; Song, Yanying</t>
  </si>
  <si>
    <t>A condition-based maintenance policy for a two-component balanced system with dependent degradation processes</t>
  </si>
  <si>
    <t>Bivariate gamma process; Balanced system; Condition-based maintenance; Dynamic programming</t>
  </si>
  <si>
    <t>PREVENTIVE MAINTENANCE; DESIGN</t>
  </si>
  <si>
    <t>Preventive maintenance of balanced systems has garnered increasing research attention due to its significance in production and servicing processes. This paper investigates the optimization problem of a condition-based maintenance policy for a two-component balanced system with dependent degradation processes. The system's degradation follows a bivariate gamma process. Once the degradation level of one component exceeds a critical value, the system fails and triggers an immediate corrective replacement. Moreover, if the degradation difference between two components exceeds a threshold, the system is in an unbalanced state, which incurs a penalty cost. Periodic inspections are implemented to reveal the degradation of the system. At each inspection epoch, the decision-maker chooses an action among do-nothing, repair, and preventive replacement. Different from previous research, a repair action does not reduce the degradation levels of either component but increases the degradation level of the lower one to rebalance the system. The objective is to determine the optimal condition-based maintenance policy that minimizes the long-run average cost rate. The optimization problem is analyzed in a semi-Markov decision process framework. A policy-iteration dynamic programming algorithm is developed to derive the optimal policy. A numerical example is presented to illustrate the effectiveness of the proposed approach.</t>
  </si>
  <si>
    <t>[Zheng, Rui; Fang, Haojun; Song, Yanying] Hefei Univ Technol, Sch Management, Hefei 230009, Peoples R China; [Zheng, Rui] Hefei Univ Technol, Minist Educ, Key Lab Proc Optimizat &amp; Intelligent Decis Making, Hefei 230009, Peoples R China</t>
  </si>
  <si>
    <t>Hefei University of Technology; Hefei University of Technology</t>
  </si>
  <si>
    <t>Zheng, R (corresponding author), Hefei Univ Technol, Sch Management, Hefei 230009, Peoples R China.;Zheng, R (corresponding author), Hefei Univ Technol, Minist Educ, Key Lab Proc Optimizat &amp; Intelligent Decis Making, Hefei 230009, Peoples R China.</t>
  </si>
  <si>
    <t>richter.zheng@mail.utoronto.ca</t>
  </si>
  <si>
    <t>yang, yong/GYQ-7408-2022</t>
  </si>
  <si>
    <t>Zheng, Rui/0000-0002-8913-9265</t>
  </si>
  <si>
    <t>National Natural Science Founda-tion of China [72371095]; Anhui Provincial Natural Science Foundation [2308085MG225]</t>
  </si>
  <si>
    <t>National Natural Science Founda-tion of China(National Natural Science Foundation of China (NSFC)); Anhui Provincial Natural Science Foundation(Natural Science Foundation of Anhui Province)</t>
  </si>
  <si>
    <t>This work is supported by the National Natural Science Founda-tion of China (72371095) and by Anhui Provincial Natural Science Foundation (2308085MG225) .</t>
  </si>
  <si>
    <t>10.1016/j.ress.2024.110483</t>
  </si>
  <si>
    <t>F4Q9T</t>
  </si>
  <si>
    <t>WOS:001309693300001</t>
  </si>
  <si>
    <t>Fecarotti, C; Andrews, J; Pesenti, R</t>
  </si>
  <si>
    <t>Fecarotti, Claudia; Andrews, John; Pesenti, Raffaele</t>
  </si>
  <si>
    <t>A mathematical programming model to select maintenance strategies in railway networks</t>
  </si>
  <si>
    <t>Maintenance optimisation; Railway networks; Mathematical programming; Availability</t>
  </si>
  <si>
    <t>PORTFOLIO DECISION-ANALYSIS; MULTICOMPONENT SYSTEMS; OPTIMIZATION; POLICIES</t>
  </si>
  <si>
    <t>This paper presents a nonlinear integer programming model to support the selection of maintenance strategies to implement on different segments of a railway network. Strategies are selected which collectively minimise the impact of sections' conditions on service, given network availability and budget constraints. Different metrics related to the network topology, sections' availability, service frequency, performance requirements and maintenance costs, are combined into a quantitative approach with a holistic view. The main contribution is to provide a simple yet effective modelling approach and solution method which are suitable for large networks and make use of standard solvers. Both an ad hoc heuristic solution and relaxation methods are developed, the latter enabling the quality of the heuristic solution to be estimated. The availability of railway lines is computed by exploiting the analogy with series-parallel networks. By varying the model parameters, a scenario analysis is performed to give insight into the influence of the system parameters on the selection of strategies, thus enabling more informed decisions. For its simple structure, the model is versatile to address similar problems arising in the maintenance of other types of networks, such as road and bridges networks, when deciding on the strategic allocation of maintenance efforts.</t>
  </si>
  <si>
    <t>[Fecarotti, Claudia] Eindhoven Univ Technol, Dept Ind Engn &amp; Innovat Sci, POB 513, NL-5600 MB Eindhoven, Netherlands; [Andrews, John] Univ Nottingham, Dept Mech Engn, Univ Pk, Nottingham NG7 2DR, England; [Pesenti, Raffaele] Univ Ca Foscari Venezia, Dept Management, Cannaregio 873, I-30121 Venice, Italy</t>
  </si>
  <si>
    <t>Eindhoven University of Technology; University of Nottingham; Universita Ca Foscari Venezia</t>
  </si>
  <si>
    <t>Fecarotti, C (corresponding author), Eindhoven Univ Technol, Dept Ind Engn &amp; Innovat Sci, POB 513, NL-5600 MB Eindhoven, Netherlands.</t>
  </si>
  <si>
    <t>c.fecarotti@tue.nl</t>
  </si>
  <si>
    <t>Pesenti, Raffaele/N-9381-2013</t>
  </si>
  <si>
    <t>Pesenti, Raffaele/0000-0001-5890-4238</t>
  </si>
  <si>
    <t>10.1016/j.ress.2021.107940</t>
  </si>
  <si>
    <t>WOS:000702351700029</t>
  </si>
  <si>
    <t>Han, X; Wang, ZL; Xie, M; He, YH; Li, Y; Wang, WZ</t>
  </si>
  <si>
    <t>Han, Xiao; Wang, Zili; Xie, Min; He, Yihai; Li, Yao; Wang, Wenzhuo</t>
  </si>
  <si>
    <t>Remaining useful life prediction and predictive maintenance strategies for multi-state manufacturing systems considering functional dependence</t>
  </si>
  <si>
    <t>Functional dependence; remaining useful life; mission reliability; predictive maintenance; average maintenance cost</t>
  </si>
  <si>
    <t>QUALITY; PROGNOSTICS</t>
  </si>
  <si>
    <t>The performance states of the manufacturing equipment and the quality states of the manufactured products are important indicators for the operational state evaluation and maintenance decision of the multi-state system. Further, the performance degradation of manufacturing components shows some dependence on the decline in product quality. However, the traditional remaining useful life (RUL) prediction and maintenance strategy of manufacturing system are limited to the dependence of the manufacturing components performance degradation. Based on the RUL prediction model that considers the components dependence for product quality requirements, a system predictive maintenance method based on the component functional importance is proposed. First, the connotation of degradation mechanism, functional dependence and RUL for manufacturing system is expounded. Second, a mission reliability oriented RUL prediction method for manufacturing systems is developed based on the functional dependence of components. Third, an approach for average maintenance cost calculation is proposed based on dynamic RUL prediction after each maintenance action, and the functional importance is applied to prioritize the predictive maintenance component-sets. Finally, the case results show that the proposed approach can ensure the ability of manufacturing systems to complete production tasks with high quality product, and reduce the maintenance cost in the production cycle simultaneously.</t>
  </si>
  <si>
    <t>[Han, Xiao; Wang, Zili; He, Yihai; Li, Yao; Wang, Wenzhuo] Beihang Univ, Sch Reliabil &amp; Syst Engn, Beijing, Peoples R China; [Han, Xiao] City Univ Hong Kong, Shenzhen Inst, Hong Kong, Peoples R China; [Xie, Min] City Univ Hong Kong, Dept Syst Engn &amp; Engn Management, Hong Kong, Peoples R China; [Xie, Min] City Univ Hong Kong, Sch Data Sci, Hong Kong, Peoples R China</t>
  </si>
  <si>
    <t>Beihang University; City University of Hong Kong; City University of Hong Kong; City University of Hong Kong</t>
  </si>
  <si>
    <t>He, YH (corresponding author), Beihang Univ, Sch Reliabil &amp; Syst Engn, Beijing, Peoples R China.</t>
  </si>
  <si>
    <t>hyh@buaa.edu.cn</t>
  </si>
  <si>
    <t>He, Yihai/AFK-6651-2022; Xie, Min/IUQ-1412-2023</t>
  </si>
  <si>
    <t>Research Grant Council of Hong Kong [T32-101/15-R]; National Natural Science Foundation of China [71971181, 72071007]; GRF [CityU 11203519]</t>
  </si>
  <si>
    <t>Research Grant Council of Hong Kong(Hong Kong Research Grants Council); National Natural Science Foundation of China(National Natural Science Foundation of China (NSFC)); GRF</t>
  </si>
  <si>
    <t>This study was supported by a grant from Research Grant Council of Hong Kong under a theme-based project grant (T32-101/15-R) and a GRF (CityU 11203519), the grant of National Natural Science Foundation of China (No. 71971181 &amp; No. 72071007).</t>
  </si>
  <si>
    <t>10.1016/j.ress.2021.107560</t>
  </si>
  <si>
    <t>WOS:000663909400050</t>
  </si>
  <si>
    <t>Zheng, R; Fang, HJ; Peng, ZL</t>
  </si>
  <si>
    <t>Zheng, Rui; Fang, Haojun; Peng, Zhanglin</t>
  </si>
  <si>
    <t>Condition-based maintenance for a balanced system considering dependent soft and hard failures</t>
  </si>
  <si>
    <t>Condition-based maintenance; Balanced system; Semi-Markov decision process; Proportional hazard model; Policy iteration</t>
  </si>
  <si>
    <t>PREVENTIVE MAINTENANCE; RELIABILITY; DESIGN; REPLACEMENT</t>
  </si>
  <si>
    <t>Maintenance optimization for balanced systems has received increasing attention for its significance in engineering practice. Most existing maintenance models for balanced systems consider a single failure mode, which is inconsistent with many practical situations involving multiple failure modes. This paper investigates the maintenance optimization problem for a balanced system that consists of two balanced components and a core component. The balanced components deteriorate during operation and a soft failure occurs if one of their deterioration levels exceeds a critical level. The core component is subject to hard failure and the failure rate depends on its age and the balance condition quantified by the deterioration difference between balanced components. Corrective replacement is performed for soft or hard failure, whichever occurs first. If no failure occurs before a decision epoch, one in three actions, including do-nothing, preventive repair, and preventive replacement, should be chosen based on the information of age and deterioration The objective is to determine the optimal maintenance policy that minimizes the long-run average cost rate. The optimization problem is formulated in the semi-Markov decision process (SMDP) framework. A recursive method is employed to assess conditional reliability. A policy-iteration algorithm is developed to obtain the optimal policy. Results from a numerical example confirm the effectiveness of the proposed approach.</t>
  </si>
  <si>
    <t>[Zheng, Rui; Fang, Haojun; Peng, Zhanglin] Hefei Univ Technol, Sch Management, Hefei 230009, Peoples R China; [Zheng, Rui] Hefei Univ Technol, Key Lab Proc Optimizat &amp; Intelligent Decis Making, Minist Educ, Hefei 230009, Peoples R China</t>
  </si>
  <si>
    <t>Zheng, R (corresponding author), Hefei Univ Technol, Sch Management, Hefei 230009, Peoples R China.;Zheng, R (corresponding author), Hefei Univ Technol, Key Lab Proc Optimizat &amp; Intelligent Decis Making, Minist Educ, Hefei 230009, Peoples R China.</t>
  </si>
  <si>
    <t>peng, zhanglin/W-6217-2019</t>
  </si>
  <si>
    <t>National Natural Science Foundation of China [72371095]; Anhui Provincial Natural Science Foundation [2308085MG225]</t>
  </si>
  <si>
    <t>National Natural Science Foundation of China(National Natural Science Foundation of China (NSFC)); Anhui Provincial Natural Science Foundation(Natural Science Foundation of Anhui Province)</t>
  </si>
  <si>
    <t>Acknowledgments: This work is supported by the National Natural Science Foundation of China (72371095) and by Anhui Provincial Natural Science Foundation (2308085MG225) .</t>
  </si>
  <si>
    <t>10.1016/j.cie.2024.110550</t>
  </si>
  <si>
    <t>F6I0P</t>
  </si>
  <si>
    <t>WOS:001310823700001</t>
  </si>
  <si>
    <t>Elakramine, F; Jaradat, R; Hossain, NUI; Banghart, M; Kerr, C; El Amrani, S</t>
  </si>
  <si>
    <t>Elakramine, Fatine; Jaradat, Raed; Hossain, Niamat Ullah Ibne; Banghart, Marc; Kerr, Chad; El Amrani, Safae</t>
  </si>
  <si>
    <t>Applying Systems Modeling Language in an Aviation Maintenance System</t>
  </si>
  <si>
    <t>Maintenance engineering; Aircraft; Atmospheric modeling; Modeling; Military aircraft; Object oriented modeling; Documentation; Aviation; documentation; failure mode and effect analysis (FMEA); maintenance; model-based system engineering (MBSE); reliability; systems modeling language (SysML)</t>
  </si>
  <si>
    <t>The aviation system has experienced an increasing demand over the last decade since it is considered one of the optimal means of transportation. As a result of this increasing demand, aviation organizations have been forced to focus on passenger safety by keeping aircraft airworthy at all times and by investing in the maintenance sector. Recent literature shows that the maintenance sector is still using outdated technology to maintain documentation of an aircraft's maintenance system. This article proposes the use of model-based system engineering (MBSE) as an approach to document aircraft maintenance systems. Systems modeling language (SysML) provides the maintenance system with a more systematic application that would automatically update maintenance records and provide stakeholders with more precise documentation. SysML is expressed through the use of structural and behavioral diagrams for the EA-6B aircraft. This article also provides a look into the use of SysML in the modeling of complex system architecture and the interaction between various systems. The integration of reliability studies and SysML is showcased through a case study. A failure mode and effect analysis is performed to show the usability of SysML in conducting reliability analysis. This article serves as a foundation for practitioners who aim to use MBSE methodology to solve the current setbacks existing in the maintenance aviation sector.</t>
  </si>
  <si>
    <t>[Elakramine, Fatine; Jaradat, Raed; Hossain, Niamat Ullah Ibne; Kerr, Chad; El Amrani, Safae] Mississippi State Univ, Ind &amp; Syst Engn, Starkville, MS 39762 USA; [Banghart, Marc] Embry Riddle Aeronaut Univ, Jacksonville, FL 32205 USA</t>
  </si>
  <si>
    <t>Mississippi State University; Embry-Riddle Aeronautical University</t>
  </si>
  <si>
    <t>Elakramine, F (corresponding author), Mississippi State Univ, Ind &amp; Syst Engn, Starkville, MS 39762 USA.</t>
  </si>
  <si>
    <t>fe92@msstate.edu; jaradat@ise.msstate.edu; ni78@msstate.edu; mbanghart23@gmail.com; csk171@msstate.edu; se703@msstate.edu</t>
  </si>
  <si>
    <t>Hossain, Niamat/ABE-1309-2020; el amrani, safae/AGJ-0126-2022</t>
  </si>
  <si>
    <t>Ibne Hossain, Niamat Ullah/0000-0002-6775-585X; Kerr, Chad/0000-0001-7583-6863</t>
  </si>
  <si>
    <t>10.1109/TEM.2021.3089438</t>
  </si>
  <si>
    <t>5Y1MO</t>
  </si>
  <si>
    <t>WOS:000732651600001</t>
  </si>
  <si>
    <t>Foussard, E; Nattaf, M; Espinouse, ML; Mounié, G</t>
  </si>
  <si>
    <t>Foussard, Ernest; Nattaf, Margaux; Espinouse, Marie-Laure; Mounie, Gregory</t>
  </si>
  <si>
    <t>Modeling and solving framework for tactical maintenance planning with health index considerations</t>
  </si>
  <si>
    <t>Bi-criteria optimization; Tactical maintenance planning; Matheuristic; Single multi-component machine; Mathematical programming</t>
  </si>
  <si>
    <t>INTEGRATED PRODUCTION; CIRCULAR ECONOMY; OPTIMIZATION; POLICY</t>
  </si>
  <si>
    <t>Maintenance planning is one of the main challenges of the management of production systems. Thanks to recent technological innovations and the development of sensors, it is possible to construct degradation models of equipment condition, thus providing an assessment of the equipment health modeled by a health index indicator. In this work, we present an original tactical maintenance planning problem involving a Health Index indicator on the components of the equipment. Within this framework, maintenance can be seen as a form of delayed production. This observation allows us to derive an original lot-sizing based approach for our tactical maintenance planning problem. Aside from the classical cost minimization objective, the problem also involves a resource consumption objective to be minimized. The problem is proven to be strongly NP-hard in the general case, and a bi-objective Mixed Integer Linear Program is proposed. Then, two matheuristics are defined. A degradation matheuristic allowing several degradations of the objective functions and a Pareto-based matheuristic selecting solution of good quality from a restricted pareto front.</t>
  </si>
  <si>
    <t>[Foussard, Ernest; Nattaf, Margaux; Espinouse, Marie-Laure] Univ Grenoble Alpes, CNRS, Grenoble INP, G SCOP, F-38000 Grenoble, France; [Foussard, Ernest; Mounie, Gregory] Univ Grenoble Alpes, Inria, CNRS, Grenoble INP,LIG, F-38000 Grenoble, France</t>
  </si>
  <si>
    <t>Communaute Universite Grenoble Alpes; Institut National Polytechnique de Grenoble; Universite Grenoble Alpes (UGA); Centre National de la Recherche Scientifique (CNRS); Communaute Universite Grenoble Alpes; Institut National Polytechnique de Grenoble; Universite Grenoble Alpes (UGA); Centre National de la Recherche Scientifique (CNRS); Inria</t>
  </si>
  <si>
    <t>Nattaf, M (corresponding author), Univ Grenoble Alpes, CNRS, Grenoble INP, G SCOP, F-38000 Grenoble, France.</t>
  </si>
  <si>
    <t>margaux.nattaf@grenoble-inp.fr</t>
  </si>
  <si>
    <t>; Espinouse, Marie-Laure/HKO-2093-2023</t>
  </si>
  <si>
    <t>Nattaf, Margaux/0009-0001-2429-8652; Espinouse, Marie-Laure/0000-0003-0120-661X</t>
  </si>
  <si>
    <t>LabEx PERSYVAL-Lab [ANR-11-LABX-0025-01]; French program Investissement d'avenir</t>
  </si>
  <si>
    <t>LabEx PERSYVAL-Lab; French program Investissement d'avenir(Agence Nationale de la Recherche (ANR)Agence nationale pour le developpement de la recherche en sante (ANDRS))</t>
  </si>
  <si>
    <t>This work has been partially supported by the LabEx PERSYVAL-Lab (ANR-11-LABX-0025-01) funded by the French program Investissement d'avenir.</t>
  </si>
  <si>
    <t>10.1016/j.cor.2024.106763</t>
  </si>
  <si>
    <t>YO1W5</t>
  </si>
  <si>
    <t>WOS:001269346600001</t>
  </si>
  <si>
    <t>Oufella, S</t>
  </si>
  <si>
    <t>Oufella, Sarah</t>
  </si>
  <si>
    <t>Hybrid use of Borda count and PROMETHEE method for maintenance strategy selection problem</t>
  </si>
  <si>
    <t>FOUNDATIONS OF COMPUTING AND DECISION SCIENCES</t>
  </si>
  <si>
    <t>maintenance strategy selection; Borda count; PROMETHEE II method; multi criteria decision making; group decision support system; stakeholder participation</t>
  </si>
  <si>
    <t>GROUP DECISION-MAKING; RANKING; AHP</t>
  </si>
  <si>
    <t>For long-term success, organizations and manufacturing companies must exploit the potential strengths of collective decision making in maintenance management. The maintenance strategy selection issue has been studied in a single decision-maker framework for a long time. This research is one of the first attempts at dealing with the enhancement of maintenance management through the participation of stakeholders in the decision making process. In this context, the author introduces a participatory multi criteria decision model that combines Borda count and PROMETHEE methodology to select the most appropriate maintenance strategy; in accordance with the decision makers' preferences on a set of strategies evaluated according to conflicting criteria. Therefore, the PROMETHEE II method is used to manage the individual decisions of each stakeholder, while the Borda count is in charge of collectively selecting the best maintenance strategy, taking as a starting point stakeholder's preferences being established thanks to PROMETHEE II. In the same context, the proposed model was applied to a real scenario: a textile company, and can be easily replicated in other industries.</t>
  </si>
  <si>
    <t>[Oufella, Sarah] Univ Relizane Bourmadia, Relizane, Algeria</t>
  </si>
  <si>
    <t>Oufella, S (corresponding author), Univ Relizane Bourmadia, Relizane, Algeria.</t>
  </si>
  <si>
    <t>osarah84@yahoo.fr</t>
  </si>
  <si>
    <t>SCIENDO</t>
  </si>
  <si>
    <t>WARSAW</t>
  </si>
  <si>
    <t>BOGUMILA ZUGA 32A, WARSAW, MAZOVIA, POLAND</t>
  </si>
  <si>
    <t>0867-6356</t>
  </si>
  <si>
    <t>2300-3405</t>
  </si>
  <si>
    <t>FOUND COMPUT DECIS S</t>
  </si>
  <si>
    <t>Found. Comput. Decis. Sci.</t>
  </si>
  <si>
    <t>10.2478/fcds-2024-0009</t>
  </si>
  <si>
    <t>RX1E3</t>
  </si>
  <si>
    <t>WOS:001230858000002</t>
  </si>
  <si>
    <t>He, Z; Wang, DF; He, SG; Zhang, YW; Dai, AS</t>
  </si>
  <si>
    <t>He, Zhen; Wang, Dongfan; He, Shuguang; Zhang, Yiwen; Dai, Anshu</t>
  </si>
  <si>
    <t>Two-dimensional extended warranty strategy including maintenance level and purchase time: A win-win perspective</t>
  </si>
  <si>
    <t>Two-dimensional extended warranty; GPP repair purchase time; Preventive maintenance; Win-win price interval</t>
  </si>
  <si>
    <t>PREVENTIVE MAINTENANCE; POLICY; REPAIR; MODEL; COST; OPTIMIZATION; SOLD</t>
  </si>
  <si>
    <t>In practice, consumers need to decide whether and when to purchase extended warranty (EW), and there are many factors that influence this decision, such as product reliability and preventive maintenance (PM) conditions, etc. Under the consideration of consumer PM options, purchase time of EW and consumer usage rate diversity, this research first determines the product failure processes based on Generalised Polya Process (GPP) failure mode. Moreover, considering the impact of consumers purchasing decision of EW on warranty costs, we establish warranty cost models based on the product failure processes. Finally, given the warranty cost model, win-win EW price decision models are proposed in the product life cycle. A real case from a leading automobile manufacturer of China is presented to illustrate the application of the proposed model. The isoline of win-win regions and win-win EW intervals are obtained. Also, two management recommendations are given to help manufacturers make relevant decisions.</t>
  </si>
  <si>
    <t>[He, Zhen; Wang, Dongfan; He, Shuguang; Zhang, Yiwen] Tianjin Univ, Coll Management &amp; Econ, Tianjin 300072, Peoples R China; [Dai, Anshu] Tianjin Univ Finance &amp; Econ, Coinnovat Ctr Computable Modeling Management Sci, Tianjin 300072, Peoples R China</t>
  </si>
  <si>
    <t>Tianjin University; Tianjin University of Finance &amp; Economics</t>
  </si>
  <si>
    <t>Zhang, Yiwen/JEP-0128-2023; wang, qiufeng/C-1654-2013</t>
  </si>
  <si>
    <t>National Natural Science Foundation of China (NSFC) [71661147003, 71872123, 71532008, 71802145, 71902180, 71902139]</t>
  </si>
  <si>
    <t>National Natural Science Foundation of China (NSFC)(National Natural Science Foundation of China (NSFC))</t>
  </si>
  <si>
    <t>This work was supported by the National Natural Science Foundation of China (NSFC) [Grant number 71661147003], [Grant number 71872123], [Grant number 71532008], [Grant number 71802145], and [Grant number 71902180], and [Grant number 71902139].</t>
  </si>
  <si>
    <t>10.1016/j.cie.2020.106294</t>
  </si>
  <si>
    <t>KR5JH</t>
  </si>
  <si>
    <t>WOS:000517654200023</t>
  </si>
  <si>
    <t>Wakiru, J; Pintelon, L; Muchiri, PN; Chemweno, PK; Mburu, S</t>
  </si>
  <si>
    <t>Wakiru, James; Pintelon, Liliane; Muchiri, Peter N.; Chemweno, Peter K.; Mburu, Stanley</t>
  </si>
  <si>
    <t>Towards an innovative lubricant condition monitoring strategy for maintenance of ageing multi-unit systems</t>
  </si>
  <si>
    <t>Lubricant condition monitoring; Vibration; Maintenance; Spares; Oil change; Ageing</t>
  </si>
  <si>
    <t>OIL; FILM</t>
  </si>
  <si>
    <t>The high acquisition cost retained by replacement of ageing and deteriorating assets triggers operational life-extension for the systems. Subsequently, ageing effects like compromised performance and wear are introduced, adversely affecting system economics and performance. An integrated maintenance and spares strategy incorporating lubricant condition monitoring (LCM) under condition-based maintenance (CBM), corrective maintenance (CM) and preventive maintenance (PM) is proposed, to mitigate the ageing effect challenges. The study considers the lubricant not only as a monitored item, but as a spare like other repairable units, similarly deteriorating, and retaining different maintenance interventions. We link the lubricant degradation (iron and viscosity oil properties) and repairable units' degradation and performance, by integrating rate-state interactions with imperfect maintenance to derive stochastic dependencies in the degradation model. The applicability of the proposed discrete event simulation model is illustrated for a geothermal drilling rig, whose performance (maintenance cost and lubricant volume) are derived. Results demonstrate system performance dependency on PM intervals and CM strategies for both the lubricant and the repairable units. The significance of LCM policy to maintenance and system performance is substantiated. The developed framework has widespread use in real-life and broader applications that include LCM in deriving maintenance decision support.</t>
  </si>
  <si>
    <t>[Wakiru, James; Pintelon, Liliane] Katholieke Univ Leuven, Ctr Ind Management Traff &amp; Infrastruct, Celestijnenlaan 300, B-300 Heverlee, Belgium; [Muchiri, Peter N.; Mburu, Stanley] Dedan Kimathi Univ Technol, Dept Mech Engn, Nyeri, Kenya; [Chemweno, Peter K.] Univ Twente, Dept Design Prod &amp; Management, Drienerlohaan 5, NL-7522 NB Enschede, Netherlands</t>
  </si>
  <si>
    <t>Wakiru, J (corresponding author), Katholieke Univ Leuven, Ctr Ind Management Traff &amp; Infrastruct, Celestijnenlaan 300, B-300 Heverlee, Belgium.</t>
  </si>
  <si>
    <t>jamesmutuota.wakiru@kuleuven.be; liliane.pintelon@kuleuven.be; peter.muchiri@dkut.ac.ke; p.k.chemweno@utwente.nl; mburustanley.m@gmail.com</t>
  </si>
  <si>
    <t>Wakiru, James/AAB-6968-2022</t>
  </si>
  <si>
    <t>10.1016/j.ress.2020.107200</t>
  </si>
  <si>
    <t>OJ4DD</t>
  </si>
  <si>
    <t>Green Published, Green Accepted</t>
  </si>
  <si>
    <t>WOS:000583913400059</t>
  </si>
  <si>
    <t>Xu, JY; Zhao, XJ; Liu, B</t>
  </si>
  <si>
    <t>Xu, Jianyu; Zhao, Xiujie; Liu, Bin</t>
  </si>
  <si>
    <t>A risk-aware maintenance model based on a constrained Markov decision process</t>
  </si>
  <si>
    <t>Risk aversion; condition-based maintenance; safety constraint; Markov decision process; imperfect repair</t>
  </si>
  <si>
    <t>POLICIES; OPTIMIZATION; REPLACEMENT; SYSTEMS</t>
  </si>
  <si>
    <t>The Markov Decision Process (MDP) model has been widely studied and used in sequential decision-making problems. In particular, it has been proved to be effective in maintenance policy optimization problems where the system state is assumed to continuously evolve under sequential maintenance policies. In traditional MDP models for maintenance, the long-run expected total discounted cost is taken as the objective function. The maintenance manager's target is to evaluate an optimal policy that incurs the minimum expected total discounted cost through the corresponding MDP model. However, a significant drawback of these existing MDP-based maintenance strategies is that they fail to incorporate and characterize the safety issues of the system during the maintenance process. Therefore, in some applications that are sensitive to functional risks, such strategies fail to accommodate the requirement of risk awareness. In this study, we apply the concept of risk-aversion in the MDP maintenance model to develop risk-aware maintenance policies. Specifically, we use risk functions to measure some indexes of the system that reflect the safety level and formulate a safety constraint. Then, we summarize the problem as a constrained MDP model and use the linear programming approach to evaluate the proposed risk-aware optimal maintenance policy under concern.</t>
  </si>
  <si>
    <t>[Xu, Jianyu] Xian Jiaotong Liverpool Univ, Int Business Sch Suzhou, Suzhou, Peoples R China; [Zhao, Xiujie] Tianjin Univ, Coll Management &amp; Econ, Tianjin, Peoples R China; [Liu, Bin] Univ Strathclyde, Dept Management Sci, Glasgow, Lanark, Scotland</t>
  </si>
  <si>
    <t>Xi'an Jiaotong-Liverpool University; Tianjin University; University of Strathclyde</t>
  </si>
  <si>
    <t>Zhao, Xiujie/0000-0003-3450-5480; Liu, Bin/0000-0002-3946-8124; /0000-0001-5331-0780</t>
  </si>
  <si>
    <t>National Natural Science Foundation of China [72002149, 72032005, 71971181]; Royal Society International Exchange Cost Share Project [IEC\NSFC\201401]; Guangdong Technology International Cooperation Project [2020A0505100024]</t>
  </si>
  <si>
    <t>National Natural Science Foundation of China(National Natural Science Foundation of China (NSFC)); Royal Society International Exchange Cost Share Project; Guangdong Technology International Cooperation Project</t>
  </si>
  <si>
    <t>This work was supported in part by the National Natural Science Foundation of China under grant numbers 72002149, 72032005 and 71971181 and in part by Royal Society International Exchange Cost Share Project (IEC\NSFC\201401), and Guangdong Technology International Cooperation Project (2020A0505100024).</t>
  </si>
  <si>
    <t>10.1080/24725854.2021.1973156</t>
  </si>
  <si>
    <t>3T8SA</t>
  </si>
  <si>
    <t>WOS:000707621800001</t>
  </si>
  <si>
    <t>Rivera-Gómez, H; Gharbi, A; Kenné, JP; Montaño-Arango, O; Corona-Armenta, JR</t>
  </si>
  <si>
    <t>Rivera-Gomez, Hector; Gharbi, Ali; Kenne, Jean-Pierre; Montano-Arango, Oscar; Ramon Corona-Armenta, Jose</t>
  </si>
  <si>
    <t>Joint optimization of production and maintenance strategies considering a dynamic sampling strategy for a deteriorating system</t>
  </si>
  <si>
    <t>Quality sampling plan; Deterioration; Production policy; Preventive maintenance; Simulation; Optimization</t>
  </si>
  <si>
    <t>QUALITY-CONTROL POLICY; PREVENTIVE MAINTENANCE; MANUFACTURING SYSTEMS; INTEGRATED MODEL; INSPECTION; DESIGN; REPAIR/REPLACEMENT; LINES</t>
  </si>
  <si>
    <t>This paper presents a control policy of integrated production, maintenance and quality control planning for a continuous production system subject to quality deterioration. The system under study is composed of an unreliable machine that produces one part type satisfying customers demand. The machine can fail at any time and is subject to quality deterioration, and so a preventive maintenance and quality control policies are proposed to decrease the rate of defectives and to increase the system availability. The proposed production policy incorporates production thresholds, which regulate the machine production rate. Traditional sampling inspections standards such as ANSI/ASQC Z1.4 and ISO 2859 have addressed a dynamic quality control level to face quality deterioration. However, these standards are based only on quality considerations, disregarding the economic aspects and the interactions with production and maintenance management in the design of sampling plans. Thus, the proposed integrated model analyses in detail the effect of such dynamic sampling strategy and relevant interactions with production and maintenance strategies. The main objective of the paper is to determine an appropriate production policy as well as the preventive maintenance and the quality control rates in order to minimize the expected average incurred cost and satisfy at the same time a quality constraint. Given the high flexibility and capacity to model complex manufacturing systems, a combination of simulation modeling and optimization techniques are used to determine a solution for this stochastic and constrained problem. In addition, numerical examples and an extensive sensitivity analysis are conducted to illustrate the proposed control approach. Furthermore, we compared the proposed integrated policy with three common policies from the literature. Such study serve us to highlight the effectiveness of the approach, since the proposed integrated policy led to considerable cost savings.</t>
  </si>
  <si>
    <t>[Rivera-Gomez, Hector; Montano-Arango, Oscar; Ramon Corona-Armenta, Jose] Autonomous Univ Hidalgo, Acad Area Engn, Pachuca Tulancingo Rd Km 4-5, Mineral De La Reforma 42184, Hgo, Mexico; [Gharbi, Ali] Univ Quebec, Ecole Technol Super, Syst Engn Dept, Prod Syst Design &amp; Control Lab, 1100 Notre Dame St West, Montreal, PQ H3C 1K3, Canada; [Kenne, Jean-Pierre] Univ Quebec, Ecole Technol Super, Mech Engn Dept, Lab Integrated Prod Tehcnol, 1100 Notre Dame St West, Montreal, PQ H3C 1K3, Canada</t>
  </si>
  <si>
    <t>University of Quebec; University of Quebec Montreal; Ecole de Technologie Superieure - Canada; University of Quebec; Ecole de Technologie Superieure - Canada; University of Quebec Montreal</t>
  </si>
  <si>
    <t>Gharbi, A (corresponding author), Univ Quebec, Ecole Technol Super, Syst Engn Dept, Prod Syst Design &amp; Control Lab, 1100 Notre Dame St West, Montreal, PQ H3C 1K3, Canada.</t>
  </si>
  <si>
    <t>ali.gharbi@etsmtl.ca; jean-pierre.kenne@etsmtl.ca; omontano@uaeh.edu.mx; jrcorona@uaeh.edu.mx</t>
  </si>
  <si>
    <t>Kenné, Jean-Pierre/P-3303-2017; Montaño, Oscar/AGE-6502-2022; Rivera, Hector/AGB-5099-2022; CORONA ARMENTA, JOSE RAMON/AFU-2419-2022</t>
  </si>
  <si>
    <t>Corona Armenta, Jose Ramon/0000-0001-7157-1634; Rivera-Gomez, Hector/0000-0002-2903-2909</t>
  </si>
  <si>
    <t>Natural Sciences and Engineering Research Council of Canada (NSERC) [RGPIN-2015-06026]</t>
  </si>
  <si>
    <t>This research has been supported by Natural Sciences and Engineering Research Council of Canada (NSERC) under grant number: RGPIN-2015-06026.</t>
  </si>
  <si>
    <t>10.1016/j.cie.2020.106273</t>
  </si>
  <si>
    <t>KO2ZN</t>
  </si>
  <si>
    <t>WOS:000515417800036</t>
  </si>
  <si>
    <t>Zhu, XY; Wang, J; Yuan, T</t>
  </si>
  <si>
    <t>Zhu Xiaoyan; Wang Jun; Yuan Tao</t>
  </si>
  <si>
    <t>Design and maintenance for the data storage system considering system rebuilding process</t>
  </si>
  <si>
    <t>Preventive maintenance; System reliability design; Data storage system; Data redundancy; k-out-of-n:F system; System rebuilding process</t>
  </si>
  <si>
    <t>OUT-OF-N; PREVENTIVE MAINTENANCE; RELIABILITY; REPLACEMENT; PERFORMANCE; FAILURES; ARRAYS; MODEL; RAID</t>
  </si>
  <si>
    <t>Considering the working and failure modes and maintenance process of a data storage system with data redundancy, we propose and study a reliability and maintenance model of a k-out-of-n:F system, in which the system experiences a rebuilding process with downgraded performance that follows preventive maintenance (PM) with replacement of failed components, and the system is subject to failure with different failure criteria during such rebuilding process. In addition, maintenance time is not negligible, and the external shocks would occur and possibly result in the failure of all the components. The maintenance of the k-out-of-n:F system with these characteristics has not been studied, and these characteristics bring in a new reliability and maintenance model and a new optimization problem that synthetically determine system reliability design and PM schedule. Such a problem is motivated by improving availability and efficiency of a data storage system running data redundancy technology. We conduct a numerical study in which the parameters of the models are set according to real data and practice considerations. In addition to demonstrating the established models and presenting optimal results, we also perform sensitivity analysis for the design and maintenance of data storage systems.</t>
  </si>
  <si>
    <t>[Zhu Xiaoyan; Wang Jun] Univ Chinese Acad Sci, Sch Econ &amp; Management, Beijing, Peoples R China; [Yuan Tao] Ohio Univ, Dept Ind &amp; Syst Engn, Athens, OH 45701 USA</t>
  </si>
  <si>
    <t>Chinese Academy of Sciences; University of Chinese Academy of Sciences, CAS; University System of Ohio; Ohio University</t>
  </si>
  <si>
    <t>Wang, J (corresponding author), Univ Chinese Acad Sci, Sch Econ &amp; Management, Beijing, Peoples R China.</t>
  </si>
  <si>
    <t>wangjun172@mails.ucas.ac.cn</t>
  </si>
  <si>
    <t>Wang, Jun/0000-0001-8261-1371</t>
  </si>
  <si>
    <t>National Natural Science Foundation of China (NSFC) [71571178]; NSFC [71731008]</t>
  </si>
  <si>
    <t>National Natural Science Foundation of China (NSFC)(National Natural Science Foundation of China (NSFC)); NSFC(National Natural Science Foundation of China (NSFC))</t>
  </si>
  <si>
    <t>This work was supported in part by the National Natural Science Foundation of China (NSFC) under grant #71571178 and NSFC under a key project grand #71731008.</t>
  </si>
  <si>
    <t>10.1016/j.ress.2019.106576</t>
  </si>
  <si>
    <t>WOS:000491685000040</t>
  </si>
  <si>
    <t>Hadian, SM; Farughi, H; Rasay, H</t>
  </si>
  <si>
    <t>Hadian, Seyed Mohammad; Farughi, Hiwa; Rasay, Hasan</t>
  </si>
  <si>
    <t>Joint planning of maintenance, buffer stock and quality control for unreliable, imperfect manufacturing systems</t>
  </si>
  <si>
    <t>Deteriorating process; Preventive maintenance; Production control; Safety stock; Control chart</t>
  </si>
  <si>
    <t>STATISTICAL PROCESS-CONTROL; INTEGRATED MODEL; OPTIMIZATION; POLICY</t>
  </si>
  <si>
    <t>A stochastic model is developed in this study for joint planning of maintenance, production and quality control in manufacturing systems. The process may deteriorate during the production and the process state may transit from an in-control to an out-of-control. The state transition time follows a general distribution. Sampling inspections are conducted on the process during the production run and the collected information is plotted on a proper control chart to monitor the process. With respect to the process state, PM action or CM action is conducted on the process. The time duration to conduct maintenance actions was considered as a continuous random variable. During conducting maintenance action the production process is interrupted and the demand is satisfied from a safety stock. The aim of the model is to integrate the decisions on the sampling inspections, control chart design, maintenance schedule and stock level determination to minimize the total cost. A numerical study was conducted and the sensitivity of the model was analyzed for important parameters. A genetic algorithm was applied for optimization and finally, the integrated model of three aspects and the mathematical model of maintenance and production were compared to investigate the impact of joint planning of these aspects on the management of manufacturing systems.</t>
  </si>
  <si>
    <t>[Hadian, Seyed Mohammad; Farughi, Hiwa] Univ Kurdistan, Fac Engn, Dept Ind Engn, Sanandaj, Iran; [Rasay, Hasan] Kermanshah Univ Technol, Dept Ind Engn, Kermanshah, Iran</t>
  </si>
  <si>
    <t>University of Kurdistan; Kermanshah University of Technology</t>
  </si>
  <si>
    <t>Farughi, H (corresponding author), Univ Kurdistan, Fac Engn, Dept Ind Engn, Sanandaj, Iran.</t>
  </si>
  <si>
    <t>M.hadian@eng.uok.ac.ir; h.farughi@uok.ac.ir; Hasan.Rassay@gmail.com</t>
  </si>
  <si>
    <t>Farughi, Hiwa/ACJ-1500-2022; Rasay, Hasan/IAR-8269-2023</t>
  </si>
  <si>
    <t>Rasay, Hasan/0000-0001-9774-5671</t>
  </si>
  <si>
    <t>10.1016/j.cie.2021.107304</t>
  </si>
  <si>
    <t>WOS:000659146800002</t>
  </si>
  <si>
    <t>Qiu, QA; Cui, LR; Kong, DJ</t>
  </si>
  <si>
    <t>Qiu, Qingan; Cui, Lirong; Kong, Dejing</t>
  </si>
  <si>
    <t>Availability and maintenance modeling for a two-component system with dependent failures over a finite time horizon</t>
  </si>
  <si>
    <t>Failure dependence; reliability; availability; optimal maintenance; finite time horizon</t>
  </si>
  <si>
    <t>PERIODICALLY INSPECTED SYSTEM; PREVENTIVE MAINTENANCE; RELIABILITY; SUBJECT; POLICY; PROBABILITY; DEGRADATION; REPAIR</t>
  </si>
  <si>
    <t>This article studies the availability and optimal maintenance policy for a two-component system with failure interaction over a finite time horizon. Failure of component 1 is soft and can only be detected by inspections. Failure of component 2 is hard and self-announcing. Each hard failure acts as a shock to the first component and increases its hazard rate. Periodic and opportunistic inspections (offered by failures of component 2) are used to reveal the failure of component 1 and followed by replacement decisions. Furthermore, age-based preventive replacement is performed for component 1. Under this maintenance policy, a recursive method is developed to obtain the availability measure of component 1. Furthermore, the total maintenance cost of component 1 over a finite time horizon is analyzed. The objective is to find the optimal maintenance policy for component 1 such that the expected total cost is minimized. A case study on electrical distribution system is provided to validate the effectiveness of the adopted approach.</t>
  </si>
  <si>
    <t>[Qiu, Qingan; Cui, Lirong] Beijing Inst Technol, Sch Management &amp; Econ, 5,Zhongguancun South St, Beijing 100081, Peoples R China; [Kong, Dejing] China Shipbldg Informat Ctr, Beijing, Peoples R China</t>
  </si>
  <si>
    <t>Qiu, QA (corresponding author), Beijing Inst Technol, Sch Management &amp; Econ, 5,Zhongguancun South St, Beijing 100081, Peoples R China.</t>
  </si>
  <si>
    <t>The author(s) disclosed receipt of the following financial support for the research, authorship, and/or publication of this article: The research in this article was supported by National Natural Science Foundation of China under grant No. 71631001.</t>
  </si>
  <si>
    <t>10.1177/1748006X18768713</t>
  </si>
  <si>
    <t>HR3KS</t>
  </si>
  <si>
    <t>WOS:000463036500008</t>
  </si>
  <si>
    <t>Liu, YP; Liu, BY; Yang, HD; Luo, K</t>
  </si>
  <si>
    <t>Liu, Yanping; Liu, Biyu; Yang, Haidong; Luo, Kai</t>
  </si>
  <si>
    <t>Optimal production and maintenance strategies for manufacturing/ remanufacturing leasing system considering uncertain quality and carbon emission</t>
  </si>
  <si>
    <t>Production and maintenance; Remanufacturing; Leasing; Carbon emission; Quality uncertainty</t>
  </si>
  <si>
    <t>PREVENTIVE MAINTENANCE; OPTIMIZATION; INVENTORY; ALGORITHM; EQUIPMENT; WARRANTY; POLICIES; MODEL</t>
  </si>
  <si>
    <t>In a manufacturing/remanufacturing leasing system, quality of collected end-of-life leased products is uncertain due to lessees-differentiated demands. Quality affects remanufacturing cost and degradation level of remanufacturing equipment, which in turn affects production and maintenance decisions of equipment and carbon emissions during manufacturing/remanufacturing. A production and maintenance decision-making model is proposed to maximise lessor's profit by considering production, maintenance, carbon emission costs of manufacturing/remanufacturing equipment, inventory and maintenance costs of leased products. The optimal production quantity and preventive maintenance (PM) period for manufacturing/remanufacturing equipment, and remanufacturing cost threshold of leased products are obtained by solving the model with particle swarm optimisation algorithm. The impacts of lease period and PM period for leased products on the decision-makings, lessor's profit and carbon emissions are analysed. The results show: (1) as remanufacturing cost threshold rises, more remanufactured products shall replace new products, and PM period for remanufacturing equipment is significantly shortened; (2) lessor's profit increases first and then decreases as remanufacturing cost threshold increases, while carbon emissions during manufacturing/remanufacturing always decrease; (3) remanufacturing cost threshold shall be set within a moderate range to balance the production and maintenance costs of manufacturing/remanufacturing equipment; (4) extending the lease period and adopting the optimal PM period for the leased products can improve lessor's profit. Strengthening PM for manufacturing/remanufacturing equipment can reduce carbon emissions.</t>
  </si>
  <si>
    <t>[Liu, Yanping; Liu, Biyu; Yang, Haidong] Fuzhou Univ, Sch Econ &amp; Management, Fuzhou, Peoples R China; [Liu, Biyu] Fuzhou Univ, Logist Res Ctr, Fujian Social Sci Res Base, Fuzhou, Peoples R China; [Luo, Kai] Paris Sch Business, 59 Rue Natl, F-75013 Paris, France</t>
  </si>
  <si>
    <t>Liu, BY (corresponding author), 2 Xue Yuan Rd Univ Town 18558619862, Fuzhou 350108, Fujian, Peoples R China.</t>
  </si>
  <si>
    <t>1024474023@qq.com; jasperseu@fzu.edu.cn; yanghaidong@fzu.edu.cn; k.luo@psbedu.paris</t>
  </si>
  <si>
    <t>Humanities and Social Sciences Fund Planning Project of Chinese Ministry of Education [71971064, 71801045]; Fujian Province Young Eagle Program Top Talents Program [24YJAZH085]; [2023J01394]; [2024J01249]</t>
  </si>
  <si>
    <t>Humanities and Social Sciences Fund Planning Project of Chinese Ministry of Education; Fujian Province Young Eagle Program Top Talents Program; ;</t>
  </si>
  <si>
    <t>Funding This work was supported by the National Natural Science Foundation</t>
  </si>
  <si>
    <t>10.1016/j.ijpe.2024.109489</t>
  </si>
  <si>
    <t>Q6U6Q</t>
  </si>
  <si>
    <t>WOS:001386007600001</t>
  </si>
  <si>
    <t>Wakiru, J; Pintelon, L; Muchiri, PN; Chemweno, PK</t>
  </si>
  <si>
    <t>Wakiru, James; Pintelon, Liliane; Muchiri, Peter N.; Chemweno, Peter K.</t>
  </si>
  <si>
    <t>Integrated remanufacturing, maintenance and spares policies towards life extension of a multi-component system</t>
  </si>
  <si>
    <t>Remanufacturing; Life extension; Obsolescence; Maintenance; Spares; Circular economy</t>
  </si>
  <si>
    <t>OPTIMIZATION; END; SIMULATION; MODEL; FAILURE; REPAIR; PARTS; TOOL</t>
  </si>
  <si>
    <t>The decision for remanufacturing as a life extension solution for ageing equipment approaching their end of life (EOL), has marginalized the active role of the end-users and maintenance functions, by predominantly considering the remanufacturers (OEM/R) context. However, the decisions influencing the immediate core (used item/part of its component) condition like corrective maintenance actions used, and when to return a core for remanufacturing or exchange with a remanufactured part, are often the end-users responsibility. Factors like remanufacturing cost, alternative maintenance and spare strategies, introduce conflicting preferences, hence an asymmetric relationship between the end-user and the remanufacturer. This paper develops an integrated methodology to optimize maintenance, remanufacturing, and multiple spare strategies (new and remanufactured exchange) jointly, for life extension of an ageing multi-component system with dependencies. The model inculcates the asymmetric relationship to assist the end-user to derive decision support on optimal maintenance and remanufacturing strategies while minimizing the costs. A case study of an ageing turbine rotor assembly of a turbocharger with spare obsolescence demonstrates the utility of the proposed model. The study shows that the approach offers robust decision support, and further demonstrates the significance of the maintenance function and end-user influence in the remanufacturing decision making.</t>
  </si>
  <si>
    <t>[Wakiru, James; Pintelon, Liliane] Katholieke Univ Leuven, Ctr Ind Management Traff &amp; Infrastruct, Celestijnenlaan 300, B-3001 Heverlee, Belgium; [Wakiru, James; Muchiri, Peter N.] Dedan Kimathi Univ Technol, Dept Mech Engn, Nyeri, Kenya; [Chemweno, Peter K.] Univ Twente, Dept Design Prod &amp; Management, Drienerlohaan 5, NL-7522 NB Enschede, Netherlands</t>
  </si>
  <si>
    <t>Wakiru, J (corresponding author), Katholieke Univ Leuven, Ctr Ind Management Traff &amp; Infrastruct, Celestijnenlaan 300, B-3001 Heverlee, Belgium.</t>
  </si>
  <si>
    <t>james.wakiru@dkut.ac.ke</t>
  </si>
  <si>
    <t>Wakiru, James/0000-0002-3645-1271</t>
  </si>
  <si>
    <t>10.1016/j.ress.2021.107872</t>
  </si>
  <si>
    <t>WOS:000690283800059</t>
  </si>
  <si>
    <t>Xu, W; Wan, Y; Zuo, TY; Sha, XM</t>
  </si>
  <si>
    <t>Xu, Wei; Wan, Yi; Zuo, Tian-Yu; Sha, Xin-Mei</t>
  </si>
  <si>
    <t>Research on Information Fusion for Machine Potential Fault Operation and Maintenance</t>
  </si>
  <si>
    <t>SYMMETRY-BASEL</t>
  </si>
  <si>
    <t>sensor; information fusion; operation and maintenance; decision-making; D-S evidence theory</t>
  </si>
  <si>
    <t>GREY-FUZZY LOGIC; BIG DATA; SYSTEMS</t>
  </si>
  <si>
    <t>In recent years, the development of sensor technology in industry has profoundly changed the way of operation and management in manufacturing enterprises. Due to the popularization and promotion of sensors, the maintenance of machines on the production line are also changing from the subjective experience-based machine maintenance to objective data-driven maintenance decision-making. Therefore, more and more data decision model has been developed through AI technology and intelligence algorithms. Equally important, the information fusion between decision results, which got by data decision model, has also received widespread attention. Information fusion is performed on symmetric data structures. The asymmetric data under the symmetric structure leads to the difference in information fusion results. Therefore, fully considering the potential differences of asymmetric data under a symmetric structure is an important content of information fusion. In view of the above, this paper studies how to make information fusion between different decision results through the framework of D-S evidence theory and discusses the deficiency of D-S evidence theory in detail. Based on D-S evidence theory, then a comprehensive evidence method for information fusion is proposed in this paper. We illustrate the rationality and effectiveness of our method through analysis of experiment case. And, this method is applied to a real case from industry. Finally, the irrationality of the traditional D-S method in the comprehensive decision-making results of machine operation and maintenance was solved by our novel method.</t>
  </si>
  <si>
    <t>[Xu, Wei; Zuo, Tian-Yu; Sha, Xin-Mei] Sanjiang Univ, Sch Mech &amp; Elect Engn, Nanjing 210012, Peoples R China; [Wan, Yi] NanJing XiaoZhuang Univ, Sch Environm Sci, Nanjing 211171, Peoples R China; [Wan, Yi] Jiangsu Shentong Valve Co Ltd, Nantong 226232, Peoples R China</t>
  </si>
  <si>
    <t>Sanjiang University; Nanjing Xiaozhuang University</t>
  </si>
  <si>
    <t>Wan, Y (corresponding author), NanJing XiaoZhuang Univ, Sch Environm Sci, Nanjing 211171, Peoples R China.;Wan, Y (corresponding author), Jiangsu Shentong Valve Co Ltd, Nantong 226232, Peoples R China.</t>
  </si>
  <si>
    <t>xwcontrol@163.com; wan_sju@163.com; tian_yu_zuo@163.com; cwaq.sxm@126.com</t>
  </si>
  <si>
    <t>Wan, Yi/AAR-1743-2020</t>
  </si>
  <si>
    <t>Xu, Wei/0000-0003-2429-2258</t>
  </si>
  <si>
    <t>Natural Science Foundation of the Jiangsu Higher Education Institutions of China [19KJB460006, 17KJB460011]; China Postdoctoral Science Foundation [2019M651642]</t>
  </si>
  <si>
    <t>Natural Science Foundation of the Jiangsu Higher Education Institutions of China(National Natural Science Foundation of China (NSFC)); China Postdoctoral Science Foundation(China Postdoctoral Science Foundation)</t>
  </si>
  <si>
    <t>The author would like to thank the Natural Science Foundation of the Jiangsu Higher Education Institutions of China (Grant Nos. 19KJB460006, 17KJB460011) and the China Postdoctoral Science Foundation (Grant No. 2019M651642) for the funding support to this research.</t>
  </si>
  <si>
    <t>MDPI</t>
  </si>
  <si>
    <t>BASEL</t>
  </si>
  <si>
    <t>ST ALBAN-ANLAGE 66, CH-4052 BASEL, SWITZERLAND</t>
  </si>
  <si>
    <t>2073-8994</t>
  </si>
  <si>
    <t>Symmetry-Basel</t>
  </si>
  <si>
    <t>10.3390/sym12030375</t>
  </si>
  <si>
    <t>LD1XG</t>
  </si>
  <si>
    <t>WOS:000525824300050</t>
  </si>
  <si>
    <t>Zhang, C; Zeng, Q; Dui, H; Chen, RT; Wang, SP</t>
  </si>
  <si>
    <t>Zhang, Chao; Zeng, Qi; Dui, Hongyan; Chen, Rentong; Wang, Shaoping</t>
  </si>
  <si>
    <t>Reliability model and maintenance cost optimization of wind-photovoltaic hybrid power systems</t>
  </si>
  <si>
    <t>System reliability; Maintenance cost; Failure analysis; Power system; Energy complementarity</t>
  </si>
  <si>
    <t>Power systems are becoming the backbone for replacing fossil energy sources in powering human life, including wind, solar, hydropower, and nuclear energy. However, a power system is intermittent, while the integration of multiple systems allows to reduce the impact of intermittency and to increase the reliability. This paper studies the wind-photovoltaic hybrid power system and its complementary strategy and maintenance cost under different failure modes and scenarios. A reliability model of the wind-photovoltaic power system is developed based on the critical wind turbine components and the topological structure of photovoltaic (PV) systems. A maintenance cost model is then derived while considering the corrective maintenance and preventive maintenance. Afterward, a maintenance optimization model is developed while incorporating some strategies of energy complementarity. Finally, a case study in Zhejiang Province, China is adopted to verify the efficiency of the proposed method, the minimum number for proper work of the PV power subsystem, and the energy complementarity between wind and PV power system.</t>
  </si>
  <si>
    <t>[Zhang, Chao; Chen, Rentong; Wang, Shaoping] Beihang Univ, Sch Automat Sci &amp; Elect Engn, Beijing 100191, Peoples R China; [Zeng, Qi] Tsinghua Univ, Sch Safety Sci, Beijing 100084, Peoples R China; [Dui, Hongyan] Zhengzhou Univ, Sch Management, Zhengzhou 450001, Peoples R China</t>
  </si>
  <si>
    <t>Beihang University; Tsinghua University; Zhengzhou University</t>
  </si>
  <si>
    <t>National Natural Science Foundation of China [52375036, U2233212]; Postdoctoral Fellowship Program of CPSF [GZC20242158]</t>
  </si>
  <si>
    <t>National Natural Science Foundation of China(National Natural Science Foundation of China (NSFC)); Postdoctoral Fellowship Program of CPSF</t>
  </si>
  <si>
    <t>The authors gratefully acknowledge the financial support for this research from the National Natural Science Foundation of China (Nos. 52375036, U2233212) , and the Postdoctoral Fellowship Program of CPSF (No. GZC20242158) .</t>
  </si>
  <si>
    <t>10.1016/j.ress.2024.110673</t>
  </si>
  <si>
    <t>O0C2H</t>
  </si>
  <si>
    <t>WOS:001367900200001</t>
  </si>
  <si>
    <t>Yang, A; Qiu, QG; Zhu, MR; Cui, LR; Chen, WL; Chen, JH</t>
  </si>
  <si>
    <t>Yang, Ao; Qiu, Qingan; Zhu, Mingren; Cui, Lirong; Chen, Weilin; Chen, Jianhui</t>
  </si>
  <si>
    <t>Condition-based maintenance strategy for redundant systems with arbitrary structures using improved reinforcement learning</t>
  </si>
  <si>
    <t>Redundant systems; Condition based maintenance; Markov decision process; Dynamic maintenance strategy; Q learning; Deep Q learning</t>
  </si>
  <si>
    <t>MULTICOMPONENT SYSTEMS; RELIABILITY-ANALYSIS; COMPETING FAILURES; POLICY; OPERATION; SUBJECT</t>
  </si>
  <si>
    <t>The condition-based maintenance (CBM) decision-making for redundant systems has attracted increasing attention. Most existing studies are dedicated to k-out-of -n redundant systems and the search of the optimal maintenance policy is efficient for low-dimensional CBM. In practical applications, complex system structures and failure criteria are commonly observed, posing challenges for searching the optimal CBM policy. This paper studies the optimal CBM strategy for redundant systems with arbitrary system structures using improved reinforcement learning, considering failure and economic dependences. The decisions of imperfect repair and replacement of failed components are considered dynamically, and an efficient solution method of dynamic maintenance strategy is investigated via improved reinforcement learning incorporating re-learning and pre learning processes. Numerical studies are conducted and the results indicate that the proposed method is effective in reducing the maintenance cost and efficient in searching the optimal CBM strategy for redundant systems.</t>
  </si>
  <si>
    <t>[Yang, Ao; Chen, Weilin] AVIC China Aeropolytechnol Estab, Beijing, Peoples R China; [Qiu, Qingan] Beijing Inst Technol, Sch Management &amp; Econ, Beijing, Peoples R China; [Zhu, Mingren] Beijing Inst Technol, Sch Mech Engn, Beijing, Peoples R China; [Cui, Lirong] Qingdao Univ, Coll Qual &amp; Standardizat, Qingdao, Peoples R China; [Chen, Jianhui] China North Standardizat Ctr, Beijing, Peoples R China</t>
  </si>
  <si>
    <t>Aviation Industry Corporation of China (AVIC); Beijing Institute of Technology; Beijing Institute of Technology; Qingdao University</t>
  </si>
  <si>
    <t>Cui, Lirong/JHU-9897-2023; Chen, Jianhui/I-7286-2016; , Qingan/AEV-3558-2022</t>
  </si>
  <si>
    <t>, Qingan/0000-0001-8741-0536; Cui, Lirong/0000-0002-8987-4307</t>
  </si>
  <si>
    <t>National Natural Science Foundation of China [72001026, 72131002, 71631001, 71801198]</t>
  </si>
  <si>
    <t>We are grateful to the editor and reviewers for their constructive comments which led to the improvement of the paper. This research is supported by National Natural Science Foundation of China (No. 72001026, 72131002, 71631001, 71801198) .</t>
  </si>
  <si>
    <t>10.1016/j.ress.2022.108643</t>
  </si>
  <si>
    <t>2S7WC</t>
  </si>
  <si>
    <t>WOS:000821999100006</t>
  </si>
  <si>
    <t>Putnik, GD; Varela, L; Pinheiro, P; Maia, S; Alves, C</t>
  </si>
  <si>
    <t>Putnik, Goran D.; Varela, Leonilde; Pinheiro, Pedro; Maia, Sara; Alves, Catia</t>
  </si>
  <si>
    <t>IDENTIFICATION OF THE MAJOR TRENDS IN CURRENT MAINTENANCE POLICIES USING LDA METHODOLOGY FOR SEMANTIC ANALYSIS OF THE PUBLISHED RESEARCH RESULTS</t>
  </si>
  <si>
    <t>INTERNATIONAL JOURNAL FOR QUALITY RESEARCH</t>
  </si>
  <si>
    <t>Maintenance Policies; Semantic analysis; Latent; Dirichlet Allocation (LDA) methodology</t>
  </si>
  <si>
    <t>REALIZING PRESCRIPTIVE MAINTENANCE; PREDICTIVE MAINTENANCE; INDUSTRY 4.0; QUALITY; SYSTEM; INTEGRATION; MANAGEMENT; MODEL</t>
  </si>
  <si>
    <t>This paper presents a semantic analysis of a collection of articles on maintenance policies through the comprises two periods. The first, from 2000 and 2018, aims to reveal the habits of organizational maintenance policies before the second period, from 2019 to 2023, and verify the differences in current trends in maintenance policies compared to the past. With technologies associated with cyber-physical systems and Industry 4.0, a change in organizational models and maintenance policies is expected. The results obtained through the LDA methodology show changes in the maintenance design, namely the intensification of the maintainability concept, schedule optimization, and the integration of technologies enablers of smart production.</t>
  </si>
  <si>
    <t>[Putnik, Goran D.; Varela, Leonilde] Univ Minho, Portugal ALGORITMI Res Ctr, Dept Prod &amp; Syst, LASI, Braga, Portugal; [Pinheiro, Pedro; Maia, Sara] Univ Minho, ALGORITMI Res Ctr, LASI, Guimaraes, Portugal; [Alves, Catia] Univ Minho, ALGORITMI Res Ctr, LASI, Guimaraes, Portugal; [Alves, Catia] 2Ai Sch Technol, Portugal LASI Associate Lab Intelligent Syst, IPCA, Guimaraes, Portugal</t>
  </si>
  <si>
    <t>Universidade do Minho; Universidade do Minho; Universidade do Minho; Instituto Politecnico do Cavado e do Ave - IPCA</t>
  </si>
  <si>
    <t>Putnik, GD (corresponding author), Univ Minho, Portugal ALGORITMI Res Ctr, Dept Prod &amp; Syst, LASI, Braga, Portugal.</t>
  </si>
  <si>
    <t>putnikgd@dps.uminho.pt</t>
  </si>
  <si>
    <t>Putnik, Goran/B-1428-2014; Rocha Varela, Maria Leonilde/M-7580-2013</t>
  </si>
  <si>
    <t>Maia, Sara/0009-0001-7072-7446; Pinheiro, Pedro/0000-0001-7849-4109; Rocha Varela, Maria Leonilde/0000-0002-2299-1859</t>
  </si>
  <si>
    <t>FCT - Fundacao para a Ciencia e Tecnologia [UIDB/00319/2020, EXPL/EMESIS/1224/2021]</t>
  </si>
  <si>
    <t>FCT - Fundacao para a Ciencia e Tecnologia(Fundacao para a Ciencia e a Tecnologia (FCT))</t>
  </si>
  <si>
    <t>The project is funded by the FCT - Fundacao para a Ciencia e Tecnologia through the R&amp;D Units Project Scope: UIDB/00319/2020, and EXPL/EMESIS/1224/2021.</t>
  </si>
  <si>
    <t>Fac Engineering, Univ Kragujevac</t>
  </si>
  <si>
    <t>KRAGUJEVAC</t>
  </si>
  <si>
    <t>Mihaila Ivee 1/2-11, SESTRE JANJI 6, KRAGUJEVAC, SERBIA</t>
  </si>
  <si>
    <t>1800-6450</t>
  </si>
  <si>
    <t>1800-7473</t>
  </si>
  <si>
    <t>INT J QUAL RES</t>
  </si>
  <si>
    <t>Int. J. Qual. Res.</t>
  </si>
  <si>
    <t>10.24874/IJQR18.02-17</t>
  </si>
  <si>
    <t>UC0U5</t>
  </si>
  <si>
    <t>WOS:001245753300017</t>
  </si>
  <si>
    <t>Zou, G; Banisoleiman, K; Gonzalez, A</t>
  </si>
  <si>
    <t>Zou, Guang; Banisoleiman, Kian; Gonzalez, Arturo</t>
  </si>
  <si>
    <t>Bayesian maintenance decision optimisation based on computing the information value from condition inspections</t>
  </si>
  <si>
    <t>Value of information; Bayesian decision optimisation; maintenance optimisation; risk analysis; life cycle assessment</t>
  </si>
  <si>
    <t>A challenge in marine and offshore engineering is structural integrity management (SIM) of assets such as ships, offshore structures, mooring systems, etc. Due to harsh marine environments, fatigue cracking and corrosion present persistent threats to structural integrity. SIM for such assets is complicated because of a very large number of rewelded plates and joints, for which condition inspections and maintenance are difficult and expensive tasks. Marine SIM needs to take into account uncertainty in material properties, loading characteristics, fatigue models, detection capacities of inspection methods, etc. Optimising inspection and maintenance strategies under uncertainty is therefore vital for effective SIM and cost reductions. This paper proposes a value of information (VoI) computation and Bayesian decision optimisation (BDO) approach to optimal maintenance planning of typical fatigue-prone structural systems under uncertainty. It is shown that the approach can yield optimal maintenance strategies reliably in various maintenance decision making problems or contexts, which are characterized by different cost ratios. It is also shown that there are decision making contexts where inspection information doesn't add value, and condition based maintenance (CBM) is not cost-effective. The CBM strategy is optimal only in the decision making contexts where VoI &gt; 0. The proposed approach overcomes the limitation of CBM strategy and highlights the importance of VoI computation (to confirm VoI &gt; 0) before adopting inspections and CBM.</t>
  </si>
  <si>
    <t>[Zou, Guang; Banisoleiman, Kian] Lloyds Register Grp Ltd, Lloyds Register Global Technol Ctr, Burgess Rd, Southampton SO16 7QF, Hants, England; [Gonzalez, Arturo] Univ Coll Dublin, Sch Civil Engn, Dublin, Ireland</t>
  </si>
  <si>
    <t>University College Dublin</t>
  </si>
  <si>
    <t>Zou, G (corresponding author), Lloyds Register Grp Ltd, Lloyds Register Global Technol Ctr, Burgess Rd, Southampton SO16 7QF, Hants, England.</t>
  </si>
  <si>
    <t>guang.zou2019@gmail.com</t>
  </si>
  <si>
    <t>Gonzalez, Arturo/0000-0003-4942-1255</t>
  </si>
  <si>
    <t>European Union [642453]</t>
  </si>
  <si>
    <t>European Union(European Union (EU))</t>
  </si>
  <si>
    <t>The authors would like to express their gratitude to the European Union's Horizon 2020 research and innovation programme for their funding towards this project under the Marie Sklodowska-Curie grant agreement No. 642453 (http://trussitn.eu).</t>
  </si>
  <si>
    <t>1748006X20978127</t>
  </si>
  <si>
    <t>10.1177/1748006X20978127</t>
  </si>
  <si>
    <t>TB2IJ</t>
  </si>
  <si>
    <t>WOS:000637132500001</t>
  </si>
  <si>
    <t>Jia, XS; Cao, WB; Hu, QW</t>
  </si>
  <si>
    <t>Jia, Xisheng; Cao, Wenbin; Hu, Qiwei</t>
  </si>
  <si>
    <t>Selective maintenance optimization for random phased-mission systems subject to random common cause failures</t>
  </si>
  <si>
    <t>Selective maintenance; random phased-mission system; random common cause failure; imperfect maintenance; Monte Carlo Simulation; analytic modeling</t>
  </si>
  <si>
    <t>SERIES-PARALLEL SYSTEMS; RELIABILITY-ANALYSIS; MULTISTATE SYSTEMS; MODEL; BREAKS</t>
  </si>
  <si>
    <t>In both industrial and military fields, there is such a kind of complicated system termed as phased-mission system, which executes missions composed of several different phases in sequence. The structure, failure behavior, and working conditions of such a system may change from phase to phase. The duration of each phase of such a system involved is random and follows a probability distribution, and the system may suffer some events resulting in simultaneous failures of different elements with different probabilities. In order to guarantee such a system completes the phased-mission successfully, a selective maintenance model for random phased-mission systems subject to random common cause failures is proposed to optimally identify a subset of maintenance activities to be performed on some elements of the system. Thereinto, a novel analytic model is developed to estimate the probability of the maintained random phased-mission system successfully completing the phased-mission, and we compare it with a well-known Monte Carlo Simulation approach. Finally, the proposed selective maintenance model has been successfully applied to an artillery weapon system. Comparative analysis is carried out to compare the proposed model with the traditional ones, including selective maintenance models for deterministic phased-mission systems and deterministic single-phase mission systems. The results show that ignoring some mission properties (e.g. randomness and multiple phases) in selective maintenance optimization will lead to (1) incorrect system and mission modeling, (2) incorrect computation of the probability of the random phased-mission system successfully completing a mission, and/or (3) nonoptimal selective maintenance options.</t>
  </si>
  <si>
    <t>[Jia, Xisheng; Cao, Wenbin; Hu, Qiwei] Mech Engn Coll, Dept Management Engn, 97 Heping West Rd, Shijiazhuang 050003, Hebei, Peoples R China; [Cao, Wenbin] Command Coll Peoples Armed Police, Dept Serv Support, 187 Weiguo Rd, Tianjin 300100, Peoples R China</t>
  </si>
  <si>
    <t>Hu, QW (corresponding author), Mech Engn Coll, Dept Management Engn, 97 Heping West Rd, Shijiazhuang 050003, Hebei, Peoples R China.;Cao, WB (corresponding author), Command Coll Peoples Armed Police, Dept Serv Support, 187 Weiguo Rd, Tianjin 300100, Peoples R China.</t>
  </si>
  <si>
    <t>hu, Jack/AAH-5651-2019</t>
  </si>
  <si>
    <t>Cao, Wenbin/0000-0003-0655-0030</t>
  </si>
  <si>
    <t>National Natural Science Foundation of China [71401173]</t>
  </si>
  <si>
    <t>The author(s) disclosed receipt of the following financial support for the research, authorship, and/or publication of this article: This work was supported through grant by the National Natural Science Foundation of China under contract number 71401173.</t>
  </si>
  <si>
    <t>10.1177/1748006X18791724</t>
  </si>
  <si>
    <t>WOS:000471160800007</t>
  </si>
  <si>
    <t>Zhou, Y; Zheng, R</t>
  </si>
  <si>
    <t>Zhou, Yu; Zheng, Ran</t>
  </si>
  <si>
    <t>Capacity-based daily maintenance optimization of urban bus with multi-objective failure priority ranking</t>
  </si>
  <si>
    <t>maintenance decision; operational failure; multi -criteria decision -making; bus capacity</t>
  </si>
  <si>
    <t>DECISION-MAKING; SYSTEMS</t>
  </si>
  <si>
    <t>There is a specific correlation between bus operational failures and work intensity. The hysteresis effect identified the correlation between the number of repairs and the bus capacity of urban bus fleets. Therefore, administrators can determine whether to perform maintenance on a specific bus based on the severity of detected potential failures. At this stage, administrators should make a maintenance decision after considering maintenance costs, operational losses, and bus capacity. As a result, we propose a model for optimizing maintenance decisions with multi-objective failure priority ranking in this article. We employ the TOPSIS to prioritize the maintenance of failed buses based on indicators such as transport capacity loss, downtime, and maintenance cost. Finally, the study verifies the model's validity by utilizing real data from urban bus operation and maintenance data in China. The outcomes of the case study indicate that implementing the model can reduce operating expenses by 18.8143% when considering a corrective maintenance cost of 300. The model adoption provides a significant reduction in operating costs.</t>
  </si>
  <si>
    <t>[Zhou, Yu; Zheng, Ran] Inner Mongolia Univ, Sch Econ &amp; Management, Hohhot 010021, Inner Mongolia, Peoples R China</t>
  </si>
  <si>
    <t>Inner Mongolia University</t>
  </si>
  <si>
    <t>Zhou, Y (corresponding author), Inner Mongolia Univ, Sch Econ &amp; Management, Hohhot 010021, Inner Mongolia, Peoples R China.</t>
  </si>
  <si>
    <t>zhouyu@imu.edu.cn</t>
  </si>
  <si>
    <t>National Natural Science Founda- tion of China [71961025, 72361028]; Natural Science Foundation of Inner Mongolia Autonomous Region [2023MS07005]</t>
  </si>
  <si>
    <t>National Natural Science Founda- tion of China(National Natural Science Foundation of China (NSFC)); Natural Science Foundation of Inner Mongolia Autonomous Region</t>
  </si>
  <si>
    <t>This study was supported by the National Natural Science Founda- tion of China (grant number 71961025, 72361028) , the Natural Science Foundation of Inner Mongolia Autonomous Region (grant number 2023MS07005) .</t>
  </si>
  <si>
    <t>10.1016/j.ress.2024.109948</t>
  </si>
  <si>
    <t>JA6Z7</t>
  </si>
  <si>
    <t>WOS:001170484700001</t>
  </si>
  <si>
    <t>Qiu, QG; Cui, LR; Dong, QL</t>
  </si>
  <si>
    <t>Qiu, Qingan; Cui, Lirong; Dong, Qinglai</t>
  </si>
  <si>
    <t>Preventive maintenance policy of single-unit systems based on shot-noise process</t>
  </si>
  <si>
    <t>external shock; imperfect repair; maintenance; reliability; shot-noise process</t>
  </si>
  <si>
    <t>RELIABILITY-ANALYSIS; FAILURE PROCESSES; REPAIRABLE SYSTEMS; SUBJECT; MODEL; DETERIORATION; HARD</t>
  </si>
  <si>
    <t>This paper develops reliability and maintenance models for a single-unit system subject to hard failures under random environment of external shocks. Motivated by the observations of shot-noise process in practice, the impact of shock damage on system failure behavior is characterized by random hazard rate increments. To remove such negative impact, imperfect preventive repair is performed periodically, and preventive replacement is performed after several repairs. Considering the joint effects of both random shocks and imperfect repair on the system hazard rate, we derive recursive equations for the system reliability function. Furthermore, we investigate the optimal maintenance policy that minimizes the expected cost per unit time of the system. The applicability of the reliability and maintenance model is validated by a case study on a wind turbine system.</t>
  </si>
  <si>
    <t>[Qiu, Qingan; Cui, Lirong; Dong, Qinglai] Beijing Inst Technol, Sch Management &amp; Econ, Beijing, Peoples R China; [Dong, Qinglai] Yanan Univ, Sch Math &amp; Comp Sci, Yanan, Shaanxi, Peoples R China</t>
  </si>
  <si>
    <t>Beijing Institute of Technology; Yanan University</t>
  </si>
  <si>
    <t>National Natural Science Foundation of China, Grant/Award Number: 71631001</t>
  </si>
  <si>
    <t>10.1002/qre.2420</t>
  </si>
  <si>
    <t>HK9UC</t>
  </si>
  <si>
    <t>WOS:000458336400005</t>
  </si>
  <si>
    <t>Peng, R; He, XF; Zhong, C; Kou, G; Xiao, H</t>
  </si>
  <si>
    <t>Peng, Rui; He, Xiaofeng; Zhong, Chao; Kou, Gang; Xiao, Hui</t>
  </si>
  <si>
    <t>Preventive maintenance for heterogeneous parallel systems with two failure modes</t>
  </si>
  <si>
    <t>Delay-time concept; Inspection; Maintenance; Multiple failure modes; Parallel system</t>
  </si>
  <si>
    <t>OPTIMAL INSPECTION; JOINT OPTIMIZATION; MULTISTATE SYSTEMS; REPLACEMENT POLICY; BUDGET ALLOCATION; SUBJECT; RELIABILITY</t>
  </si>
  <si>
    <t>The parallel structure in the reliability engineering is widely used in many industrial systems such as power generation systems, pump systems, production systems and computing systems. Designing the optimal maintenance policies for these parallel systems can minimize the operation cost while achieving a satisfying system availability. Previous studies have studied various maintenance optimization for parallel systems. However, little research has considered the multiple failure modes that widely exist in many real industrial systems. This research considers a parallel system that consists of heterogeneous components subject to two types of competing failures: a one-stage catastrophic failure and a two-stage delay-time failure. Inspections are conducted periodically to identify the state of each component. Three maintenance policies are proposed in this research. To find the optimal inspection interval, we analyze the renewal process of the system to minimize the long-term expected cost per unit time. A simulation procedure is proposed to evaluate the long-term expected cost per unit time. Numerical experiments are carried out to illustrate the applications of the proposed maintenance policies. The discussion provides useful insights on choosing the best policy under different system performance requirements.</t>
  </si>
  <si>
    <t>[Peng, Rui] Beijing Univ Technol, Sch Econ &amp; Management, Beijing 100124, Peoples R China; [He, Xiaofeng; Zhong, Chao; Xiao, Hui] Southwestern Univ Finance &amp; Econ, Sch Stat, Chengdu 611130, Peoples R China; [Kou, Gang] Southwestern Univ Finance &amp; Econ, Fac Business Adm, Sch Business Adm, Chengdu 611130, Peoples R China</t>
  </si>
  <si>
    <t>Beijing University of Technology; Southwestern University of Finance &amp; Economics - China; Southwestern University of Finance &amp; Economics - China</t>
  </si>
  <si>
    <t>Xiao, H (corresponding author), Southwestern Univ Finance &amp; Econ, Sch Stat, Chengdu 611130, Peoples R China.</t>
  </si>
  <si>
    <t>pengrui1988@bjut.edu.cn; kougang@swufe.edu.cn; msxh@swufe.edu.cn</t>
  </si>
  <si>
    <t>Xiao, Hui/N-9777-2015; He, Xiaofeng/GXG-5467-2022; Kou, Gang/G-3869-2010; Peng, Rui/AAL-7506-2020; Zhong, Chao/F-3484-2010</t>
  </si>
  <si>
    <t>National Natural Science Foundation of China [71971176, 72071005, 71725001, 71910107002]; Fundamental Research Funds for the Central Universities [JBK2103010]</t>
  </si>
  <si>
    <t>This work was supported by the National Natural Science Foundation of China under Grant Nos 71971176, 72071005, 71725001 and 71910107002, and the Fundamental Research Funds for the Central Universities under Grant JBK2103010.</t>
  </si>
  <si>
    <t>10.1016/j.ress.2021.108310</t>
  </si>
  <si>
    <t>WOS:000760343700029</t>
  </si>
  <si>
    <t>Rasay, H; Azizi, F; Salmani, M; Naderkhani, F</t>
  </si>
  <si>
    <t>Rasay, Hasan; Azizi, Fariba; Salmani, Mehrnaz; Naderkhani, Farnoosh</t>
  </si>
  <si>
    <t>Joint Optimization of Condition-Based Maintenance and Production Rate Using Reinforcement Learning Algorithms</t>
  </si>
  <si>
    <t>condition-based maintenance; condition-based production; Markov decision process; machine learning; reinforcement learning</t>
  </si>
  <si>
    <t>Maintenance has always been a crucial aspect of the manufacturing and industrial sectors. There is a recent surge of interest in utilizing advanced machine learning, and reinforcement learning models to enhance maintenance strategies. In this regard, this paper focuses on the development of a joint optimization model of maintenance and production for a special type of production system that has an adjustable production rate, where the system's deterioration is closely related to the production rate. When the production rate is increased, the expected deterioration of the system also increases. To control the deterioration of the system, the paper proposes two main actions or policies: maintenance policy and production policy. These policies involve scheduling and conducting maintenance actions on the system and adjusting the production rate, respectively. To solve the optimization problem of minimizing the expected costs of the system during a finite planning horizon, the paper develops a Markov decision process and employs reinforcement learning algorithms such as Q-learning and SARSA. The hyperparameters of the algorithms are tuned using a value-iteration algorithm of dynamic programming. The developed optimal actions given the state of the system ensure efficient management of the production system while controlling the deterioration of the system.</t>
  </si>
  <si>
    <t>[Rasay, Hasan] Kermanshah Univ Technol, Kermanshah, Iran; [Azizi, Fariba] Alzahra Univ, Fac Math Sci, Dept Stat, Tehran, Iran; [Salmani, Mehrnaz; Naderkhani, Farnoosh] Concordia Univ, Concordia Inst Informat Syst Engn CIISE, Montreal, PQ, Canada</t>
  </si>
  <si>
    <t>Kermanshah University of Technology; Alzahra University; Concordia University - Canada</t>
  </si>
  <si>
    <t>Rasay, H (corresponding author), Kermanshah Univ Technol, Kermanshah, Iran.</t>
  </si>
  <si>
    <t>Azizi, Fariba/ABH-4798-2020</t>
  </si>
  <si>
    <t>Kermanshah University of Technology; [S/P/T/1475]</t>
  </si>
  <si>
    <t>Kermanshah University of Technology;</t>
  </si>
  <si>
    <t>The authors would like to acknowledge the financial support of Kermanshah University of Technology for this research under grant number S/P/T/1475.</t>
  </si>
  <si>
    <t>10.1002/qre.3714</t>
  </si>
  <si>
    <t>Y9V8X</t>
  </si>
  <si>
    <t>WOS:001382406000001</t>
  </si>
  <si>
    <t>Zhang, J; Zhao, X; Song, YB; Qiu, QG</t>
  </si>
  <si>
    <t>Zhang, Jing; Zhao, Xian; Song, Yanbo; Qiu, Qingan</t>
  </si>
  <si>
    <t>Joint optimization of condition-based maintenance and spares inventory for a series-parallel system with two failure modes</t>
  </si>
  <si>
    <t>Joint optimization; Condition-based maintenance; Opportunistic inspection; Spares inventory control policy; Multiple failure modes</t>
  </si>
  <si>
    <t>OPPORTUNISTIC MAINTENANCE; POLICY; REDUNDANCY</t>
  </si>
  <si>
    <t>In the field of industrial engineering, the joint optimization of maintenance and spares inventory has attracted more and more attention because it can better balance system availability and cost. However existing studies are usually restricted to a single failure mode and a simple maintenance strategy of the single component systems. To bridge these gaps, this paper investigates the joint optimization of condition-based maintenance and spares inventory for a general series-parallel system with two failure modes. Hard failures are self-announcing, and soft failures are generally caused by the degradation of components and only be discovered through inspection. At the time of each periodic inspection, the corresponding corrective maintenance, preventive maintenance and spare parts ordering policy are determined. Upon a hard failure occurs, an opportunistic inspection will be performed, and it will be determined whether to perform maintenance actions based on the degradation level of the components and spares inventory level. Furthermore, the state transition probability and the expected sojourn time can be derived by the formulated semi-Markov decision process. To minimize the expected average cost per unit time, the optimal preventive maintenance and the spares inventory control policies are jointly determined by applying a simulation method. Finally, a numerical experiment is presented to demonstrate the effectiveness and superiority of the proposed joint optimization model.</t>
  </si>
  <si>
    <t>[Zhang, Jing; Zhao, Xian; Song, Yanbo; Qiu, Qingan] Beijing Inst Technol, Sch Management &amp; Econ, Beijing 100081, Peoples R China</t>
  </si>
  <si>
    <t>3120195802@bit.edu.cn; zhaoxian@bit.edu.cn; 361277893@qq.com; qiu_qingan@163.com</t>
  </si>
  <si>
    <t>song, yanbo/GSE-0862-2022; , Qingan/AEV-3558-2022</t>
  </si>
  <si>
    <t>Zhang, Jing/0000-0002-7466-7460; , Qingan/0000-0001-8741-0536</t>
  </si>
  <si>
    <t>National Natural Science Foundation of China [72131002, 71971026, 72001026]; Beijing Social Foundation [20GLC052]</t>
  </si>
  <si>
    <t>National Natural Science Foundation of China(National Natural Science Foundation of China (NSFC)); Beijing Social Foundation</t>
  </si>
  <si>
    <t>Acknowledgments This work is supported by the National Natural Science Foundation of China (72131002, 71971026, 72001026) and the Beijing Social Foundation (Grant No. 20GLC052) .</t>
  </si>
  <si>
    <t>10.1016/j.cie.2022.108094</t>
  </si>
  <si>
    <t>1V0VS</t>
  </si>
  <si>
    <t>WOS:000805819000005</t>
  </si>
  <si>
    <t>Li, L; Liu, M; Shen, WM; Cheng, GQ</t>
  </si>
  <si>
    <t>Li, Ling; Liu, Min; Shen, Weiming; Cheng, Guoqing</t>
  </si>
  <si>
    <t>A novel performance evaluation model for MRO management indicators of high-end equipment</t>
  </si>
  <si>
    <t>MRO management indicators; high-end equipment; evaluation model; interdependence; innovation management; engineering management</t>
  </si>
  <si>
    <t>MANUFACTURING SYSTEM; DEFECT RATE; MEAN TIME; MAINTENANCE; FAILURE; POLICY</t>
  </si>
  <si>
    <t>High-end equipment oriented maintenance, repair and operation (MRO) management is crucial for asset intensive industries. The existing works mainly focus on providing the best possible joint optimisation for production and maintenance management without aiming at the complicated relationships among them. In the intelligence-connected era, the rapid development of Internet of things and big data technologies enables us to access, collect, and store the industrial big data, which is especially necessary for MRO management indicator evaluation, and so we try to apply big data analysis to visualise the system structure of complicated relationships among MRO indicators at different management levels. In this paper, the decision-making trial and evaluation laboratory (DEMATEL) and improved analytical network process (ANP) are applied to build the performance evaluation model for MRO management indicators, in which DEMATEL is utilised to quantify the system structure of different management levels, and the improved ANP is introduced to calculate relative weights of corresponding indicators. The results point out to managers which indicators should deserve more attention in MRO management decision-making as well as joint optimisation for production and maintenance management. A case study illustrates the feasibility and practicality of the proposed model.</t>
  </si>
  <si>
    <t>[Li, Ling] Shanghai Lixin Univ Accounting &amp; Finance, Sch Stat &amp; Math, Shanghai, Peoples R China; [Li, Ling; Liu, Min; Shen, Weiming] Tongji Univ, Sch Elect &amp; Informat Engn, Shanghai, Peoples R China; [Cheng, Guoqing] Shanghai Ocean Univ, Coll Engn Sci &amp; Technol, Shanghai, Peoples R China</t>
  </si>
  <si>
    <t>Shanghai Lixin University of Accounting &amp; Finance; Tongji University; Shanghai Ocean University</t>
  </si>
  <si>
    <t>Liu, M (corresponding author), Tongji Univ, Sch Elect &amp; Informat Engn, Shanghai, Peoples R China.</t>
  </si>
  <si>
    <t>lmin@tongji.edu.cn</t>
  </si>
  <si>
    <t>Shen, Weiming/B-7400-2013</t>
  </si>
  <si>
    <t>Shen, Weiming/0000-0001-5204-7992</t>
  </si>
  <si>
    <t>10.1080/00207543.2019.1566654</t>
  </si>
  <si>
    <t>JE0VO</t>
  </si>
  <si>
    <t>WOS:000490412500010</t>
  </si>
  <si>
    <t>Cruz, AM; Haugan, GL</t>
  </si>
  <si>
    <t>Cruz, Antonio Miguel; Haugan, Gregory L.</t>
  </si>
  <si>
    <t>Determinants of maintenance performance: A resource-based view and agency theory approach</t>
  </si>
  <si>
    <t>JOURNAL OF ENGINEERING AND TECHNOLOGY MANAGEMENT</t>
  </si>
  <si>
    <t>Resource-based view theory; Agency theory; Outsourcing; Maintenance; Clinical engineering; Healthcare</t>
  </si>
  <si>
    <t>TRANSACTION-COST ECONOMICS; PLANNING ERP; CONTRACT; FIRM; LESSONS; MODELS</t>
  </si>
  <si>
    <t>This study aims to examine the effects of maintenance service firms' resources and capabilities on maintenance performance, measured by the turnaround time of medical devices (TAT). The theoretical framework used in this study is based on the resource-based view (RBV) and agency theory (AT). The hypotheses were tested using information on 764 medical devices and 60 maintenance service providers, resulting in 1403 maintenance transactions. As such, our data sample is significantly larger than those used in previous studies in this area. For this study we used a variation of the proportional hazards model, the conditional frailty gap time hazards model. The empirical analysis of this research is among the first to quantify how the performance of maintenance providers is affected by the core constructs of both the resource-based view and agency theory, using statistical evidence.</t>
  </si>
  <si>
    <t>[Cruz, Antonio Miguel] Univ Alberta, Glenrose Rehabil Hosp, 8205 114St 2-64,Corbett Hall, Edmonton, AB T6G 2G4, Canada; [Haugan, Gregory L.] Univ Rosario, Sch Med &amp; Hlth Sci, Calle 63D 24-31,7 Agosto, Bogota, DC, Colombia</t>
  </si>
  <si>
    <t>University of Alberta; Universidad del Rosario</t>
  </si>
  <si>
    <t>Cruz, AM (corresponding author), Univ Alberta, Glenrose Rehabil Hosp, 8205 114St 2-64,Corbett Hall, Edmonton, AB T6G 2G4, Canada.</t>
  </si>
  <si>
    <t>miguelcr@ualberta.ca; haugangl@gmail.com</t>
  </si>
  <si>
    <t>COLCIENCIAS [459/08]; University Hospital La Samaritana</t>
  </si>
  <si>
    <t>COLCIENCIAS(Departamento Administrativo de Ciencia, Tecnologia e Innovacion Colciencias); University Hospital La Samaritana</t>
  </si>
  <si>
    <t>We would like to thank COLCIENCIAS for the resources provided in Grant Announcement 459/08, which financed this study. Thanks go to Sandra Usaquen Perilla and Nidia Nelly Vanegas Pabon, who helped in the data collection phase of our research. Thanks also go to University Hospital La Samaritana for its support and collaboration in completing this study. Finally, thanks go to Milciades Ibanez Pinilla for his advice on the statistical model selection during the beginning stages of this project.</t>
  </si>
  <si>
    <t>ELSEVIER SCIENCE BV</t>
  </si>
  <si>
    <t>PO BOX 211, 1000 AE AMSTERDAM, NETHERLANDS</t>
  </si>
  <si>
    <t>0923-4748</t>
  </si>
  <si>
    <t>1879-1719</t>
  </si>
  <si>
    <t>J ENG TECHNOL MANAGE</t>
  </si>
  <si>
    <t>J. Eng. Technol. Manage.</t>
  </si>
  <si>
    <t>JAN-MAR</t>
  </si>
  <si>
    <t>10.1016/j.jengtecman.2019.03.001</t>
  </si>
  <si>
    <t>IH5AW</t>
  </si>
  <si>
    <t>WOS:000474504600005</t>
  </si>
  <si>
    <t>Meng, HX; Liu, X; Xing, JD; Zio, E</t>
  </si>
  <si>
    <t>Meng, Huixing; Liu, Xuan; Xing, Jinduo; Zio, Enrico</t>
  </si>
  <si>
    <t>A method for economic evaluation of predictive maintenance technologies by integrating system dynamics and evolutionary game modelling</t>
  </si>
  <si>
    <t>Predictive maintenance technology; Economic evaluation; Strategy optimisation; System dynamics; Evolutionary game; Lithium-ion battery</t>
  </si>
  <si>
    <t>COST-BENEFIT-ANALYSIS; MANAGEMENT; PROGNOSTICS; RETURN; IMPLEMENTATION; DESIGN</t>
  </si>
  <si>
    <t>Predictive maintenance technologies can be employed for failure prediction and system health management. Nevertheless, the additional cost involved in establishing the predictive maintenance system can be an obstacle to its widespread application. The decision on the predictive maintenance technology adoption can be made through the computation of the return on investment. To investigate the mechanisms of dynamic game between stakeholders involved in predictive maintenance, we establish the SD-EGT model from the perspective of systems engineering. This paper aims to propose an integrated method for the economic evaluation of predictive maintenance technologies by considering the incremental costs and benefits associated with its deployment. As an exemplary case, we take the Lithium-ion batteries whose failures have led to unexpected safety accidents. Firstly, we construct a quantitative relationship model between the failure modes and the predictive benefits of Lithium-ion battery systems to quantify the incremental benefits. Then, we establish a cost-benefit analysis (CBA) model by using system dynamics (SD) to make decisions about cost-effectiveness. Secondly, to optimize the cost investment strategy for the predictive maintenance technology, we develop an enterprise-government evolutionary game model, considering the information asymmetry between players. Eventually, we conduct a sensitivity analysis of the static subsidy strategy. The proposed methodology is serviceable to optimize the decision-making of predictive maintenance technology investment, which is a difficult yet very important task in industrial practice.</t>
  </si>
  <si>
    <t>[Meng, Huixing; Liu, Xuan] Beijing Inst Technol, State Key Lab Explos Sci &amp; Technol, Beijing 100081, Peoples R China; [Xing, Jinduo] Beijing Univ Civil Engn &amp; Architecture, Sch Mech Elect &amp; Vehicle Engn, Beijing 100044, Peoples R China; [Zio, Enrico] Mines ParisTech PSL Univ Paris, Ctr Rech Risques &amp; Crises CRC, Sophia Antipolis, France; [Zio, Enrico] Politecn Milan, Dept Energy, Milan, Italy; [Zio, Enrico] Kyung Hee Univ, Dept Nucl Engn, Seoul, South Korea</t>
  </si>
  <si>
    <t>Beijing Institute of Technology; Beijing University of Civil Engineering &amp; Architecture; Universite PSL; MINES ParisTech; Polytechnic University of Milan; Kyung Hee University</t>
  </si>
  <si>
    <t>Meng, HX (corresponding author), Beijing Inst Technol, State Key Lab Explos Sci &amp; Technol, Beijing 100081, Peoples R China.</t>
  </si>
  <si>
    <t>huixing.meng@bit.edu.cn; 3220210196@bit.edu.cn; xingjinduo@bucea.edu.cn; enrico.zio@polimi.it</t>
  </si>
  <si>
    <t>Meng, Huixing/AAP-6652-2020</t>
  </si>
  <si>
    <t>National Natural Science Foundation of China [52004030]; Beijing Institute of Technology Research Fund Program for Young Scholars [XSQD202002007]; Fundamental Research Funds for Beijing University of Civil Engineering and Architecture [X21056]; Open Research Fund Program of Beijing Key Laboratory of Performance Guarantee on Urban Rail Transit Vehicles [PGU2020K007]</t>
  </si>
  <si>
    <t>National Natural Science Foundation of China(National Natural Science Foundation of China (NSFC)); Beijing Institute of Technology Research Fund Program for Young Scholars; Fundamental Research Funds for Beijing University of Civil Engineering and Architecture; Open Research Fund Program of Beijing Key Laboratory of Performance Guarantee on Urban Rail Transit Vehicles</t>
  </si>
  <si>
    <t>This work is supported by the National Natural Science Foundation of China (Grant No. 52004030), Beijing Institute of Technology Research Fund Program for Young Scholars (Grant No. XSQD202002007), The Fundamental Research Funds for Beijing University of Civil Engineering and Architecture (Grant No. X21056) and the Open Research Fund Program of Beijing Key Laboratory of Performance Guarantee on Urban Rail Transit Vehicles (Grant No. PGU2020K007).</t>
  </si>
  <si>
    <t>10.1016/j.ress.2022.108424</t>
  </si>
  <si>
    <t>WOS:000771562000038</t>
  </si>
  <si>
    <t>Wang, YK; Liu, YL; Zhang, AB</t>
  </si>
  <si>
    <t>Wang, Yukun; Liu, Yiliu; Zhang, Aibo</t>
  </si>
  <si>
    <t>Preventive maintenance optimization for repairable products considering two-dimensional warranty and customer satisfaction</t>
  </si>
  <si>
    <t>Preventive maintenance; two-dimensional warranty; customer satisfaction; cost analysis</t>
  </si>
  <si>
    <t>EXTENDED WARRANTY; IMPERFECT REPAIR; REPLACE STRATEGY; POLICY; SOLD; MODELS; REDUCTION; EQUIPMENT; COST</t>
  </si>
  <si>
    <t>Customer satisfaction with a purchased product is closely related to the product performance within the warranty region and even the performance during the remainder of its useful life. Every satisfied customer may boost the future sales of the same product with positive evaluations and recommendations to others, and thus will create more profits for the manufacturer. During the useful life of the product, the expected cost to the manufacturer normally depends on the warranty policy, product reliability and specific servicing strategies implemented. In this article, considering the effect of customer satisfaction on the manufacturer's incurred cost, we investigate a periodic and imperfect preventive maintenance strategy for repairable products sold with a two-dimensional warranty policy. The customer satisfaction is measured with the probability of the customer making a repeat purchase from the same manufacturer. In the proposed model, the number of preventive maintenance actions and corresponding maintenance level are jointly derived with the objective of minimizing the expected total cost per product to the manufacturer. The performance of the proposed preventive maintenance strategy is compared with that of minimal repair corrective maintenance strategy in a numerical example, so as to illustrate its applicability. In addition, some practical implications from a detailed sensitivity analysis are elaborated.</t>
  </si>
  <si>
    <t>[Wang, Yukun] Tianjin Chengjian Univ, Sch Econ &amp; Management, Tianjin 300384, Peoples R China; [Wang, Yukun; Liu, Yiliu; Zhang, Aibo] Norwegian Univ Sci &amp; Technol, Dept Mech &amp; Ind Engn, Trondheim, Norway</t>
  </si>
  <si>
    <t>Tianjin Chengjian University; Norwegian University of Science &amp; Technology (NTNU)</t>
  </si>
  <si>
    <t>Wang, YK (corresponding author), Tianjin Chengjian Univ, Sch Econ &amp; Management, Tianjin 300384, Peoples R China.</t>
  </si>
  <si>
    <t>yukunwang89@gmail.com</t>
  </si>
  <si>
    <t>Zhang, Aibo/MFJ-4757-2025; Wang, Yukun/AAO-1651-2020; Liu, Yiliu/AAY-2097-2021</t>
  </si>
  <si>
    <t>Liu, Yiliu/0000-0002-0612-2231; wang, yukun/0000-0003-0318-2471; Zhang, Aibo/0000-0002-1253-2579</t>
  </si>
  <si>
    <t>The author(s) disclosed receipt of the following financial support for the research, authorship, and/or publication of this article: This work was supported by the National Natural Science Foundation of China (No. 71801171).</t>
  </si>
  <si>
    <t>10.1177/1748006X18804463</t>
  </si>
  <si>
    <t>IN3TG</t>
  </si>
  <si>
    <t>WOS:000478598600004</t>
  </si>
  <si>
    <t>Zheng, R; Fang, HJ; Hu, CM</t>
  </si>
  <si>
    <t>Zheng, Rui; Fang, Haojun; Hu, Chaoming</t>
  </si>
  <si>
    <t>Joint optimization of inspection and condition-based maintenance for a deteriorating product under extended warranty</t>
  </si>
  <si>
    <t>Condition-based maintenance; Extended warranty; Joint optimization; Gamma process; Dynamic programming</t>
  </si>
  <si>
    <t>IMPERFECT MAINTENANCE; POLICY; RELIABILITY; SUBJECT; DESIGN; MODELS; PRICE</t>
  </si>
  <si>
    <t>Condition-based maintenance (CBM) has been widely applied in engineering practice, but it has been rarely integrated into extended warranty policies. When the inspection cost is high, it becomes important to schedule the inspection plan when making CBM decisions. This paper jointly optimizes inspection and CBM for a deteriorating product under extended warranty. The deterioration of the product is characterized as a nonstationary gamma process. At each inspection epoch, the decision maker needs to determine whether to repair the product and when to perform the next inspection. The objective is to simultaneously optimize the inspection policy and the maintenance policy that minimize the warranty servicing cost. The joint optimization problem is formulated by stochastic dynamic programming. The optimal policy is proven to be of a control -limit form. A backward induction algorithm integrating the obtained structural properties is proposed to find the optimization results. A numerical example is conducted to illustrate the effectiveness of the proposed approach. A graphical representation of the obtained policy is provided to support practical maintenance implementation. The comparison with a popular CBM policy confirms the superiority of the proposed policy.</t>
  </si>
  <si>
    <t>[Zheng, Rui; Fang, Haojun; Hu, Chaoming] Hefei Univ Technol, Sch Management, Hefei 230009, Peoples R China; [Zheng, Rui] Hefei Univ Technol, Minist Educ, Key Lab Proc Optimizat &amp; Intelligent Decis Making, Hefei 230009, Peoples R China; [Hu, Chaoming] Minist Educ, Engn Res Ctr Intelligent Decis Making &amp; Informat S, Hefei 230009, Peoples R China</t>
  </si>
  <si>
    <t>Zheng, R (corresponding author), Hefei Univ Technol, Sch Management, Hefei 230009, Peoples R China.</t>
  </si>
  <si>
    <t>Hu, Chaoming Hu/IZE-5604-2023</t>
  </si>
  <si>
    <t>Acknowledgments This work is supported by the National Natural Science Founda-tion of China (72371095) and by Anhui Provincial Natural Science Foundation (2308085MG225) .</t>
  </si>
  <si>
    <t>10.1016/j.ress.2024.110043</t>
  </si>
  <si>
    <t>NK0Y8</t>
  </si>
  <si>
    <t>WOS:001200242400001</t>
  </si>
  <si>
    <t>Niu, YF</t>
  </si>
  <si>
    <t>Niu, Yi-Feng</t>
  </si>
  <si>
    <t>Performance measure of a multi-state flow network under reliability and maintenance cost considerations</t>
  </si>
  <si>
    <t>Multi-state flow network; Reliability; Maintenance cost; Capacity vector</t>
  </si>
  <si>
    <t>STATE-SPACE DECOMPOSITION; STOCHASTIC-FLOW; SYSTEM RELIABILITY; D-MPS; MANUFACTURING NETWORK; EFFICIENT ALGORITHM; MINIMAL CUTS; TERMS; EVALUATE</t>
  </si>
  <si>
    <t>In this paper, each edge in a multi-state flow network is characterized by both multi-valued capacities and a maintenance cost. Accordingly, the performance of a multi-state flow network is measured by capacity reliability as well as maintenance budget limit. An integrated performance indicator MR(d,b) is defined as the probability that a multi-state flow network can provide the required capacity level d while satisfying the maintenance budget limit b. An algorithm is developed to calculate MR(d,b) exactly. Unlike the exhaustive algorithm that enumerates each capacity vector one by one, the developed algorithm iteratively separates capacity vectors satisfying the required capacity level d from the universal space, and then checks whether they meet the maintenance budget limit b. Furthermore, the efficiency of the developed algorithm is validated via numerical experiments.</t>
  </si>
  <si>
    <t>[Niu, Yi-Feng] Chongqing Univ Posts &amp; Telecommun, Sch Econ &amp; Management, Chongqing 400065, Peoples R China</t>
  </si>
  <si>
    <t>Chongqing University of Posts &amp; Telecommunications</t>
  </si>
  <si>
    <t>Niu, YF (corresponding author), Chongqing Univ Posts &amp; Telecommun, Sch Econ &amp; Management, Chongqing 400065, Peoples R China.</t>
  </si>
  <si>
    <t>ifeng021@gmail.com</t>
  </si>
  <si>
    <t>National Natural Science Foundation of China [71601072, 61872126]; Scientific and Technological Research Program of Chongqing Municipal Education Commission [KJQN201900634, KJQN201900649]; Doctoral Project of Chongqing Federation of Social Science Circles [2019BS064]; Planning Project of Human Social Science of Chongqing Municipal Education Commission [20SKGH069, 20SKGH061, 20SKGH063]</t>
  </si>
  <si>
    <t>National Natural Science Foundation of China(National Natural Science Foundation of China (NSFC)); Scientific and Technological Research Program of Chongqing Municipal Education Commission; Doctoral Project of Chongqing Federation of Social Science Circles; Planning Project of Human Social Science of Chongqing Municipal Education Commission</t>
  </si>
  <si>
    <t>This work is jointly supported by the National Natural Science Foundation of China (Grant Nos. 71601072, 61872126), the Scientific and Technological Research Program of Chongqing Municipal Education Commission (Grant Nos. KJQN201900634, KJQN201900649), the Doctoral Project of Chongqing Federation of Social Science Circles (Grant No. 2019BS064), and the Planning Project of Human Social Science of Chongqing Municipal Education Commission (Grant Nos. 20SKGH069, 20SKGH061, 20SKGH063).</t>
  </si>
  <si>
    <t>10.1016/j.ress.2021.107822</t>
  </si>
  <si>
    <t>WOS:000690283800028</t>
  </si>
  <si>
    <t>Zhao, X; Liu, HR; Han, H; Qiu, Q</t>
  </si>
  <si>
    <t>Zhao, Xian; Liu, Haoran; Han, He; Qiu, Qingan</t>
  </si>
  <si>
    <t>Joint Optimization of Mode Switching, Loading Level, and Maintenance for Production Systems With Dynamic Tasks</t>
  </si>
  <si>
    <t>Task analysis; Switches; Maintenance; Costs; Loading; Optimization; Preventive maintenance; Dynamic tasks; loading level; mode switching; preventive maintenance; queue capacity</t>
  </si>
  <si>
    <t>POLICY</t>
  </si>
  <si>
    <t>In engineering practice, mode switching, loading adjustment, and preventive maintenance are widely recognized as effective methods for enhancing system availability and reducing operational costs. Simultaneously considering these strategies can enhance the overall system performance, especially in scenarios with stochastic task arrivals. This article explores the integrated optimization of mode switching, loading levels, and maintenance for systems involved in processing dynamic tasks. Dynamic switching between working, idle, and offline modes is considered, leading to different cost items and failure risk. Therefore, mode switching decisions are optimized. An arrival task will be lost when the task queue is full. Then, the optimal loading level, i.e., processing rate, is investigated jointly with mode switching to balance different types of costs. Additionally, age-based preventive maintenance is optimized to strike a balance between system reliability and maintenance costs. The expected total cost under the optimization model is derived using a recursive formula. The numerical example demonstrates the superiority of the proposed joint optimization model.</t>
  </si>
  <si>
    <t>[Zhao, Xian; Han, He] Beijing Inst Technol, Sch Econ, Beijing 100081, Peoples R China; [Zhao, Xian] Minist Ind &amp; Informat Technol, Digital Econ &amp; Policy Intelligentizat, Key Lab, Beijing 100081, Peoples R China; [Liu, Haoran; Qiu, Qingan] Beijing Inst Technol, Sch Management, Beijing 100081, Peoples R China</t>
  </si>
  <si>
    <t>Beijing Institute of Technology; Beijing Institute of Technology</t>
  </si>
  <si>
    <t>Qiu, QG (corresponding author), Beijing Inst Technol, Sch Management, Beijing 100081, Peoples R China.</t>
  </si>
  <si>
    <t>zhaoxian@bit.edu.cn; 1796703324@qq.com; hanhe@bit.edu.cn; qiu_qingan@bit.edu.cn</t>
  </si>
  <si>
    <t>liu, haoran/JMP-8256-2023; , Qingan/AEV-3558-2022</t>
  </si>
  <si>
    <t>National Natural Science Foundation of China</t>
  </si>
  <si>
    <t>No Statement Available</t>
  </si>
  <si>
    <t>10.1109/TII.2024.3409439</t>
  </si>
  <si>
    <t>J9H2M</t>
  </si>
  <si>
    <t>WOS:001248119500001</t>
  </si>
  <si>
    <t>Sharafali, M; Tarakci, H; Kulkarni, S; Hameed, RARS</t>
  </si>
  <si>
    <t>Sharafali, Moosa; Tarakci, Hakan; Kulkarni, Shailesh; Hameed, Raja Abdul Razack Shahul</t>
  </si>
  <si>
    <t>Optimal delivery due date for a supplier with an unreliable machine under outsourced maintenance</t>
  </si>
  <si>
    <t>Maintenance; Reliability; Availability; Outsourcing; Channel coordination; Game theory; Nash and stackelberg equilibria</t>
  </si>
  <si>
    <t>PREVENTIVE MAINTENANCE; TIME; CONTRACTS; POLICIES; MODELS; GAME; COORDINATION; MANAGEMENT; DECISIONS; EQUIPMENT</t>
  </si>
  <si>
    <t>In this paper, we analyse the due-date-to-promise problem for a supplier who supplies parts to his customer. The parts are produced on an unreliable machine with constant production rate. The machine is leased from a contractor who is also entrusted with its maintenance. The supplier's decision is the optimal due date to promise to his customer, taking into account the holding and tardiness costs on the customer side, as well as the transfer payment to the contractor for the lease and maintenance of the equipment. The contractor in turn has to decide on the frequency of pre-ventive maintenance. Both maximize their own profits. For this finite horizon optimization problem, we employ a Non-Renewal-Theory based approach from the literature to derive the performance characteristics in the transient regime - first for a general setting involving general distributions and then, for a special case. We then use Game Theory to analyse the underlying two-member game for both the non-cooperative and cooperative cases. A numerical example drawn from the literature is used to illustrate the special case. We show that for the special case, the game has a unique Nash equilibrium. Another significant result is that the Nash solution dominates the Stackelberg solution when the supplier is the leader. The supplier is worse off when the contractor is the leader. The example further shows that the supplier and the contractor stand to gain under cooperation which is well documented in the literature. We point to relevant literature for strategies to enforce this cooperation.</t>
  </si>
  <si>
    <t>[Sharafali, Moosa] 348 Clementi Ave 5,11-48, Singapore 120348, Singapore; [Tarakci, Hakan; Kulkarni, Shailesh] Univ North Texas, Dept ITDS, Coll Business, 1155 Union Circle 311160, Denton, TX 76203 USA; [Hameed, Raja Abdul Razack Shahul] Univ Texas Dallas, Naveen Jindal Sch Management, 800 West Campbell Rd, Richardson, TX 75080 USA</t>
  </si>
  <si>
    <t>University of North Texas System; University of North Texas Denton; University of Texas System; University of Texas Dallas</t>
  </si>
  <si>
    <t>Tarakci, H (corresponding author), Univ North Texas, Dept ITDS, Coll Business, 1155 Union Circle 311160, Denton, TX 76203 USA.</t>
  </si>
  <si>
    <t>Hakan.Tarakci@unt.edu</t>
  </si>
  <si>
    <t>University of North Texas</t>
  </si>
  <si>
    <t>One of the authors (MS) would like to thank Prof. Parlar, M., McMaster University, for the many fruitful discussions he had with him on this paper. Another author (HT) would like to acknowledge the summer research grant (Junior Faculty Summer Research Fellowship) he received from the University of North Texas to work on this project.</t>
  </si>
  <si>
    <t>10.1016/j.ijpe.2018.11.019</t>
  </si>
  <si>
    <t>HK4SB</t>
  </si>
  <si>
    <t>WOS:000457952300005</t>
  </si>
  <si>
    <t>Li, MY; Wu, B</t>
  </si>
  <si>
    <t>Li, Meiyan; Wu, Bei</t>
  </si>
  <si>
    <t>Optimal condition-based opportunistic maintenance policy for two-component systems considering common cause failure</t>
  </si>
  <si>
    <t>Common cause failure; Opportunistic maintenance; Semi-markov decision process; Reliability</t>
  </si>
  <si>
    <t>MULTICOMPONENT SYSTEMS; OPTIMIZATION; RELIABILITY; SUBJECT; MODEL; COST</t>
  </si>
  <si>
    <t>This paper introduces a maintenance optimization model designed for a system comprising two distinct components that are arranged in series and susceptible to common cause failure. Both the components undergo dependent degradation and shock processes whose performance levels are periodically inspected. A condition-based opportunistic maintenance policy is considered, indicating that either preventive or corrective maintenance may be conducted depending on the deterioration state observed during inspections. Meanwhile, when maintenance is performed on one component, the other can be opportunistically maintained. An optimization problem is then formulated under the framework of semi-Markov decision processes, in order to find the optimal preventive and opportunistic maintenance thresholds for the two components. Three algorithms are introduced to address this problem, namely the improved genetic algorithm, the cyclic coordinate search algorithm, and the enumeration algorithm. Their effectiveness is demonstrated through a case study focusing on offshore wind turbines. The result shows that the efficiency of the improved genetic algorithm is significantly superior to the other two algorithms.</t>
  </si>
  <si>
    <t>[Li, Meiyan; Wu, Bei] Northwestern Polytech Univ, Sch Management, Xian 710072, Peoples R China</t>
  </si>
  <si>
    <t>National Natural Science Foundation of China [72101205]</t>
  </si>
  <si>
    <t>The study is supported by the National Natural Science Foundation of China under grant 72101205.</t>
  </si>
  <si>
    <t>10.1016/j.ress.2024.110269</t>
  </si>
  <si>
    <t>XB4D5</t>
  </si>
  <si>
    <t>WOS:001259201500001</t>
  </si>
  <si>
    <t>Carpitella, S; Mzougui, I; Benítez, J; Carpitella, F; Certa, A; Izquierdo, J; La Cascia, M</t>
  </si>
  <si>
    <t>Carpitella, Silvia; Mzougui, Ilyas; Benitez, Julio; Carpitella, Fortunato; Certa, Antonella; Izquierdo, Joaquin; La Cascia, Marco</t>
  </si>
  <si>
    <t>A risk evaluation framework for the best maintenance strategy: The case of a marine salt manufacture firm</t>
  </si>
  <si>
    <t>Maintenance policy selection; Risk evaluation; ANP; ELECTRE III</t>
  </si>
  <si>
    <t>DECISION-MAKING; PREVENTIVE MAINTENANCE; AHP APPROACH; ELECTRE III; SELECTION; POLICY; SYSTEM; MODEL; HIERARCHY; CRITERIA</t>
  </si>
  <si>
    <t>This paper intends to contribute with a multi-criteria decision-making (MCDM) framework to support risk evaluation for maintenance activities carried out on critical systems in industry. We propose to first select the best maintenance strategy tailored to companies' requirements and systems' features, and second to perform a risk prioritisation aimed at highlighting priorities of intervention. The Analytic Network Process (ANP) is suggested to select the maintenance policy representing the best trade-off considering the complex and varied interdependencies amongst a diversity of clustered elements characterising the system. Then, the main risks related to the interventions associated to the selected maintenance policy are ranked using the ELimination Et Choix Traduisant la REalite III (ELECTRE III) method, using the same criteria weighted by the previous ANP application. This hybrid MCDM framework is applied to a core subsystem of a real-world marine salt manufacture firm.</t>
  </si>
  <si>
    <t>[Carpitella, Silvia] Czech Acad Sci, Dept Decis Making Theory, Inst Informat Theory &amp; Automat, Prague, Czech Republic; [Mzougui, Ilyas] Abdelmalek Essaadi Univ, Fac Sci &amp; Technol, Tangier, Morocco; [Benitez, Julio; Izquierdo, Joaquin] Univ Politecn Valencia, Inst Matemat Multidisciplinar, Valencia, Spain; [Carpitella, Fortunato; Izquierdo, Joaquin] Univ Politecn Valencia, FluIng, Valencia, Spain; [Carpitella, Fortunato] Studio Ingn Carpitella Management Consulting Trap, Trapani, Italy; [Certa, Antonella; La Cascia, Marco] Univ Palermo, Dipartimento Ingn, Palermo, Italy</t>
  </si>
  <si>
    <t>Czech Academy of Sciences; Institute of Information Theory &amp; Automation of the Czech Academy of Sciences; Abdelmalek Essaadi University of Tetouan; Universitat Politecnica de Valencia; Universitat Politecnica de Valencia; University of Palermo</t>
  </si>
  <si>
    <t>Carpitella, S (corresponding author), Czech Acad Sci, Dept Decis Making Theory, Inst Informat Theory &amp; Automat, Prague, Czech Republic.</t>
  </si>
  <si>
    <t>carpitella@utia.cas.cz</t>
  </si>
  <si>
    <t>La Cascia, Marco/E-9612-2012; López, Julio/H-5218-2019; Mzougui, Ilyas/AAJ-8103-2021; Carpitella, Silvia/T-3847-2019; Izquierdo, Joaquin/H-6436-2015</t>
  </si>
  <si>
    <t>La Cascia, Marco/0000-0002-8766-6395; Carpitella, Silvia/0000-0003-0171-2504; CERTA, Antonella/0000-0003-1252-3047; Izquierdo, Joaquin/0000-0002-6625-7226</t>
  </si>
  <si>
    <t>10.1016/j.ress.2020.107265</t>
  </si>
  <si>
    <t>Green Published, Green Submitted</t>
  </si>
  <si>
    <t>WOS:000589091300046</t>
  </si>
  <si>
    <t>Levitin, G; Xing, LD; Dai, YS</t>
  </si>
  <si>
    <t>Levitin, Gregory; Xing, Liudong; Dai, Yuanshun</t>
  </si>
  <si>
    <t>Corrective maintenance minimizing expected mission losses in shock exposed multistate production-storage systems</t>
  </si>
  <si>
    <t>Multi-state system; Storage; Unsupplied product; Corrective maintenance</t>
  </si>
  <si>
    <t>RELIABILITY; AVAILABILITY</t>
  </si>
  <si>
    <t>Production-storage systems are often subject to random external shocks such as storm weather and electromagnetic interference. However, most of the existing models failed to take the shock effects into consideration. This paper extends the state of the art by modeling random shocks and optimizing their mitigating corrective maintenance policy (CMP) that defines the condition triggering repair actions to restore the production subsystem to a higher performance level. The CMP can greatly impact the amount of unsupplied product as well as the maintenance and operation costs, all contributing to the expected mission losses (EML). This paper contributes by modeling and optimizing the CMP to minimize the EML. The proposed solution encompasses a new numerical algorithm that evaluates the EML of the considered production-storage system under a given CMP and the genetic algorithm realized for solving the CMP optimization problem. The proposed model is demonstrated using a case study of a multistate power generation system subject to voltage surges due to storm weather. Based on the investigation of effects of several model parameters (shock rate, storage capacity, initial amount of product in the storage, cost of unsupplied product) on the EML and optimization solutions, useful and insightful management recommendations are provided.</t>
  </si>
  <si>
    <t>[Levitin, Gregory; Dai, Yuanshun] Southwest Jiaotong Univ, Sch Comp &amp; Artificial Intelligence, Chengdu, Peoples R China; [Levitin, Gregory] NOGA Israel Independent Syst Operator, Haifa, Israel; [Xing, Liudong] Univ Massachusetts, Dartmouth, MA 02747 USA; [Xing, Liudong] Grap Era, Dept Comp Sci Engn, Dehra Dun, India</t>
  </si>
  <si>
    <t>Southwest Jiaotong University; University of Massachusetts System; University Massachusetts Dartmouth</t>
  </si>
  <si>
    <t>Dai, YS (corresponding author), Southwest Jiaotong Univ, Sch Comp &amp; Artificial Intelligence, Chengdu, Peoples R China.</t>
  </si>
  <si>
    <t>1125105129@qq.com</t>
  </si>
  <si>
    <t>Levitin, Gregory/0000-0002-2107-8291; Xing, Liudong/0000-0003-1606-1644</t>
  </si>
  <si>
    <t>10.1016/j.ress.2024.110430</t>
  </si>
  <si>
    <t>E3D3R</t>
  </si>
  <si>
    <t>WOS:001301835000001</t>
  </si>
  <si>
    <t>Sheng Jingyu; Prescott, Darren</t>
  </si>
  <si>
    <t>Using a novel hierarchical coloured Petri net to model and optimise fleet spare inventory, cannibalisation and preventive maintenance</t>
  </si>
  <si>
    <t>Inventory; Fleet; Maintenance; Cannibalisation; Hierarchical coloured Petri net</t>
  </si>
  <si>
    <t>MULTI-INDENTURE; MULTIECHELON; AVAILABILITY; SYSTEMS</t>
  </si>
  <si>
    <t>Spare part availability is crucial to restoring inoperative platforms to the working state. Platforms failing during operation undergo corrective maintenance to replace failed components with spares. To reduce the frequency of this unplanned, corrective maintenance, platforms are inspected periodically and degraded components preventively replaced. Maintenance delays occur when spares are unavailable but cannibalisation can reduce these delays by allowing working components to be removed from inoperative platforms and used to restore other inoperative platforms. Fleets can be deployed across multiple bases that are served by one or more depots. Failed components that cannot be repaired at a base are sent to a depot for repair, along with associated requests for spares, which are satisfied by depot inventories. The management of fleet corrective and preventive maintenance, cannibalisation, spare inventories, provision of spares to bases and depots, and response of the depot to spare requests is a complex problem for fleet maintenance managers and critical to ensuring acceptable fleet performance. This paper presents a novel hierarchical coloured Petri net (HCPN) model of a fleet spare inventory system, which accounts for these issues alongside fleet deployment and mission-oriented operation. The application of the model is demonstrated using case studies of two example fleets.</t>
  </si>
  <si>
    <t>[Sheng Jingyu] Chinese Air Force, 93582 Troops, Beijing 038300, Shanxi, Peoples R China; [Prescott, Darren] Univ Nottingham, Resilience Engn Res Grp, Nottingham NG7 2RD, England</t>
  </si>
  <si>
    <t>Prescott, D (corresponding author), Univ Nottingham, Resilience Engn Res Grp, Nottingham NG7 2RD, England.</t>
  </si>
  <si>
    <t>darren.prescott@nottingham.ac.uk</t>
  </si>
  <si>
    <t>10.1016/j.ress.2019.106579</t>
  </si>
  <si>
    <t>WOS:000491685000046</t>
  </si>
  <si>
    <t>Liu, BY; Chen, T; Yang, HD; Zhang, LW</t>
  </si>
  <si>
    <t>Liu, Biyu; Chen, Ting; Yang, Haidong; Zhang, Liangwei</t>
  </si>
  <si>
    <t>Multi-phase preventive maintenance strategy for leased equipment considering usage rate variation</t>
  </si>
  <si>
    <t>Preventive maintenance; Leased equipment; Usage rate variation; Multi -phase; Failure penalty</t>
  </si>
  <si>
    <t>POLICY; WARRANTY; MODEL; CONTRACT; SYSTEMS; AGE</t>
  </si>
  <si>
    <t>Lessors are responsible for equipment maintenance during the lease period. The usage rate of these equipment affects their failures, reliability and decision-making on maintenance strategy. For some leased equipment, such as those producing seasonal products, the usage rate varies. However, conventional approaches usually set usage rate as a constant. Different from the existing literature, this work considers the variation of usage rate, and proposes a multi-phase preventive maintenance (PM) decision model to determine the PM times and degrees at different phases. The goal is to minimize lessors' lease service cost by balancing corrective maintenance (CM) cost, PM cost and penalty cost during the lease period. In this model, an age correspondence framework is applied to characterize the variation of usage rate at different phases. An accelerated failure time model and an age reduction model are adopted to capture the effect of variable usage rate and imperfect PM on the equipment's reliability. To verify the effectiveness of the proposed model, it is contrasted with a PM decision model with average usage rate. The impact of unit PM cost, CM cost, and penalty cost on maintenance strategy is discussed by numerical examples. Managerial insights for maintenance strategy are provided for lessors. The results indicate that the proposed approach considering varied usage rate can change the optimal PM times and degrees, and consequently lead to a lower lease service cost than conventional approaches using average usage rate; lessors need to enhance PM capability and reduce PM cost.</t>
  </si>
  <si>
    <t>[Liu, Biyu; Chen, Ting; Yang, Haidong] Fuzhou Univ, Sch Econ &amp; Management, Fuzhou 350116, Peoples R China; [Liu, Biyu] Fuzhou Univ, Logist Res Ctr, Fujian Social Sci Res Base, Fuzhou 350116, Peoples R China; [Zhang, Liangwei] Dongguan Univ Technol, Dept Ind Engn, Dongguan 523808, Peoples R China</t>
  </si>
  <si>
    <t>Fuzhou University; Fuzhou University; Dongguan University of Technology</t>
  </si>
  <si>
    <t>jasperseu@fzu.edu.cn; 1060963136@qq.com; yanghaidong@fzu.edu.cn; liangwei.zhang@dgut.edu.cn</t>
  </si>
  <si>
    <t>Zhang, Liangwei/U-6811-2019</t>
  </si>
  <si>
    <t>National Natural Science Foundation of China [71971064, 71801045]; Fujian Province Young Eagle Program Top Talents Program; National Natural Science Foundation of Fujian Province [2023J01394, 2020J01460]; Social Science Foundation of Fujian Province [FJ2022B071]</t>
  </si>
  <si>
    <t>National Natural Science Foundation of China(National Natural Science Foundation of China (NSFC)); Fujian Province Young Eagle Program Top Talents Program; National Natural Science Foundation of Fujian Province(Natural Science Foundation of Fujian Province); Social Science Foundation of Fujian Province</t>
  </si>
  <si>
    <t>Funding This work was supported by the National Natural Science Foundation of China [grant numbers 71971064, 71801045] , Fujian Province Young Eagle Program Top Talents Program, the National Natural Science Foundation of Fujian Province [grant numbers 2023J01394 and 2020J01460] , and the Social Science Foundation of Fujian Province [grant number FJ2022B071] .</t>
  </si>
  <si>
    <t>10.1016/j.cie.2023.109673</t>
  </si>
  <si>
    <t>X0AX4</t>
  </si>
  <si>
    <t>WOS:001095177200001</t>
  </si>
  <si>
    <t>Zhang, JJ</t>
  </si>
  <si>
    <t>Zhang, Jianjie</t>
  </si>
  <si>
    <t>Reliability evaluation and opportunistic maintenance policy based on a novel delay time model</t>
  </si>
  <si>
    <t>delay time model; opportunistic maintenance; reliability</t>
  </si>
  <si>
    <t>IMPERFECT MAINTENANCE; SINGLE-COMPONENT; INSPECTION MODEL; SYSTEMS SUBJECT; SHOT-NOISE; DEGRADATION; FAILURES; HARD</t>
  </si>
  <si>
    <t>The delay time concept is widely adopted in literature to model the two-stage failure process of most industrial systems which can be divided into normal stage (from new to an initial point of a defect) and defective stage (from defect arrival point to failure). Most existing delay time models assume that the normal and defective stages are independent. A generalized delay time model is proposed in this paper by considering the dependence between the normal and defective stages which is reflected in the fact that they share the same external shock process. According to the definition of shot-noise process, external shocks will incur random hazard rate increments in the two stages. The failure state is self-announcing, whereas the defective state can only be detected by block-based inspection or opportunistic inspection offered by unexpected shutdown due to unavoidable external factors. The system is correctively replaced upon the occurrence of a system failure or preventively replaced at the detection of a defective state. Based on the stochastic failure model and maintenance policy, this paper evaluates system reliability performance and average long-run cost rate via a Markov-chain based approach. Finally, a case study on a steel convertor plant is given to demonstrate the applicability of the proposed model.</t>
  </si>
  <si>
    <t>[Zhang, Jianjie] Beijing Inst Technol, Sch Management &amp; Econ, Beijing, Peoples R China; [Zhang, Jianjie] Yanan Univ, Sch Econ &amp; Management, Yanan, Shaanxi, Peoples R China</t>
  </si>
  <si>
    <t>Zhang, JJ (corresponding author), Beijing Inst Technol, Sch Management &amp; Econ, Beijing, Peoples R China.</t>
  </si>
  <si>
    <t>zhjj_2013@163.com</t>
  </si>
  <si>
    <t>10.1002/qre.2440</t>
  </si>
  <si>
    <t>HY9QO</t>
  </si>
  <si>
    <t>WOS:000468476500009</t>
  </si>
  <si>
    <t>Zhang, Q; Fang, ZG; Cai, JJ</t>
  </si>
  <si>
    <t>Zhang, Qin; Fang, Zhigeng; Cai, Jiajia</t>
  </si>
  <si>
    <t>Extended block replacement policies with mission durations and maintenance triggering approaches</t>
  </si>
  <si>
    <t>Mission duration; Block replacement; Maintenance triggering approaches; Electronic systems of APAR</t>
  </si>
  <si>
    <t>JOINT OPTIMIZATION; SYSTEMS SUBJECT; INSPECTION; MODELS</t>
  </si>
  <si>
    <t>When the missions arrive, it is not feasible to shut down engineering systems for preventive maintenance policies. Otherwise, it would cause major economic losses and even unimaginable accident. Hence, it is interesting and significative to provide appropriate preventive maintenance policies with mission durations to improve the system reliability and maintainability. For the electronic systems consisting of a block or group of units whose ages are not easy observed and only failures are known, we firstly extend the block replacement policy with random arrival time of mission durations. As a required reliability is needed at the mission time and no replacement can be done during the mission durations preventively. From the points of cost and maintainability, two maintenance triggering approaches, i.e., replacement first and replacement last, are discussed in analytical ways, respectively. Furthermore, three replacement policies are compared theoretically and numerically with optimum mission durations and planned replacement time. In addition, a case illustration in maintaining the electronic systems of active phased array radar (APAR) is given when the arrival time of mission durations follows an exponential distribution and the failure time of electronic systems has a gamma distribution.</t>
  </si>
  <si>
    <t>[Zhang, Qin; Fang, Zhigeng; Cai, Jiajia] Nanjing Univ Aeronaut &amp; Astronaut, Coll Econ &amp; Management, Nanjing 211106, Peoples R China</t>
  </si>
  <si>
    <t>Zhang, Q (corresponding author), Nanjing Univ Aeronaut &amp; Astronaut, Coll Econ &amp; Management, Nanjing 211106, Peoples R China.</t>
  </si>
  <si>
    <t>z91939@nuaa.edu.cn</t>
  </si>
  <si>
    <t>Zhang, Qin/MCY-4271-2025; 蔡, 佳佳/GWZ-3611-2022</t>
  </si>
  <si>
    <t>National Natural Science Foundation of China [7167109]; Fundamental Research Funds for the Central Universities, China [NP2019104, NC2019003]</t>
  </si>
  <si>
    <t>National Natural Science Foundation of China(National Natural Science Foundation of China (NSFC)); Fundamental Research Funds for the Central Universities, China(Fundamental Research Funds for the Central Universities)</t>
  </si>
  <si>
    <t>This research is partially supported by the project of the National Natural Science Foundation of China (Grant No: 7167109) the Fundamental Research Funds for the Central Universities, China (Grant No. NP2019104 and No. NC2019003).</t>
  </si>
  <si>
    <t>10.1016/j.ress.2020.107399</t>
  </si>
  <si>
    <t>PQ6VH</t>
  </si>
  <si>
    <t>WOS:000606682100047</t>
  </si>
  <si>
    <t>Zhao, X; Lv, ZY; He, ZD; Wang, WG</t>
  </si>
  <si>
    <t>Zhao, Xian; Lv, Zhiyue; He, Zongda; Wang, Weiguo</t>
  </si>
  <si>
    <t>Reliability and opportunistic maintenance for a series system with multi-stage accelerated damage in shock environments</t>
  </si>
  <si>
    <t>Reliability; Accelerated damage shock model; Series system; Opportunistic maintenance; Markov renewal process</t>
  </si>
  <si>
    <t>PREVENTIVE MAINTENANCE; ROLLER BEARING; HIGH-SPEED; MODEL; POLICY; DETERIORATION; PERFORMANCE; DEGRADATION</t>
  </si>
  <si>
    <t>In this paper, a new shock model is proposed to fit the situation that the damage process of the component is accelerated with the increase of the degree of damage in shock environments. Shocks with the same magnitude may have more serious consequences as the component gets worse and component states are divided into different stages according to the degree of damage. Reliability indexes of a series system which consists of two components with the above characteristics are derived by using a Markov renewal process. Then, an opportunistic maintenance strategy is proposed for the system and an optimization model is constructed to obtain the optimal maintenance solutions. Finally, a numerical example for a two-rolling bearing system of a wind turbine is presented to illustrate the proposed shock model and maintenance strategy. Sensitivity analysis of maintenance costs is also discussed in order to improve the reliability of the proposed model. This study is of reference value and application significance for similar series systems.</t>
  </si>
  <si>
    <t>[Zhao, Xian; Lv, Zhiyue; Wang, Weiguo] Beijing Inst Technol, Sch Management &amp; Econ, Beijing 100081, Peoples R China; [He, Zongda] Beijing Univ Technol, Coll Appl Sci, Beijing 100124, Peoples R China; [Wang, Weiguo] Army Engn Univ, Shijiazhuang Campus, Shijiazhuang 050003, Hebei, Peoples R China</t>
  </si>
  <si>
    <t>Beijing Institute of Technology; Beijing University of Technology; Army Engineering University of PLA</t>
  </si>
  <si>
    <t>Wang, Shuo/AAX-7481-2021; Lv, Zhiyue/AAI-1135-2021</t>
  </si>
  <si>
    <t>This work is supported by the National Natural Science Foundation of China (71572014, 71971026).</t>
  </si>
  <si>
    <t>10.1016/j.cie.2019.106029</t>
  </si>
  <si>
    <t>WOS:000500376700022</t>
  </si>
  <si>
    <t>Mortazavi, MA; Amindoust, A; Shahin, A; Karbasian, M</t>
  </si>
  <si>
    <t>Mortazavi, Mohammad Amin; Amindoust, Atefeh; Shahin, Arash; Karbasian, Mehdi</t>
  </si>
  <si>
    <t>Integration of the TRIZ Matrix and ANP to Select the Reactive Maintenance Tactics Using the Meta-Synthesis Approach</t>
  </si>
  <si>
    <t>Reactive Maintenance Tactics; TRIZ contradiction matrix; Meta-synthesis Method; ANP</t>
  </si>
  <si>
    <t>So far, numerous studies have been published on the selection of appropriate maintenance tactics based on some factors affecting them such as time, cost, and risk. This paper aims to develop the TRIZ contradiction matrix by explaining the dimensions and components of each of the following Reactive maintenance tactics. The related findings of previous studies were analyzed by adopting Rousseau and Sandoski seven-step method to identify and extract the relationships between TRIZ principles and Reactive maintenance tactics. Thereafter, 5 Reactive maintenance tactics were replaced TRIZ's 40 principles in the TRIZ contradiction matrix. Finally, the ANP method were used to extract and prioritize the appropriate Reactive maintenance tactics. The proposed matrix in this research was used in the desalination section of one of the oil companies to select on the appropriate Reactive maintenance tactics. The results of this research is useful for managers and maintenance specialists of units in making decisions to provide appropriate Reactive maintenance tactics for the desired equipment.</t>
  </si>
  <si>
    <t>[Mortazavi, Mohammad Amin; Amindoust, Atefeh] Islamic Azad Univ, Dept Ind Engn, Najafabad Branch, Najafabad, Iran; [Shahin, Arash] Univ Isfahan, Dept Management, Esfahan, Iran; [Karbasian, Mehdi] Malek Ashtar Univ Technol, Dept Ind Engn, Esfahan, Iran</t>
  </si>
  <si>
    <t>Islamic Azad University; University of Isfahan; Malek Ashtar University of Technology</t>
  </si>
  <si>
    <t>Amindoust, A (corresponding author), Islamic Azad Univ, Dept Ind Engn, Najafabad Branch, Esfahan 8514143131, Iran.</t>
  </si>
  <si>
    <t>Atefeh_Amindoust@yahoo.com</t>
  </si>
  <si>
    <t>Shahin, Arash/G-2955-2011; Amindoust, Atefeh/J-5188-2012</t>
  </si>
  <si>
    <t>Amindoust, Atefeh/0000-0003-1791-4864</t>
  </si>
  <si>
    <t>10.24425/mper.2021.136876</t>
  </si>
  <si>
    <t>RI6OM</t>
  </si>
  <si>
    <t>WOS:000637027000010</t>
  </si>
  <si>
    <t>Abd Rahman, NH; Zaki, MHM; Hasikin, K; Abd Razak, NA; Ibrahim, AK; Lai, KW</t>
  </si>
  <si>
    <t>Abd Rahman, Noorul Husna; Zaki, Muhammad Hazim Mohamad; Hasikin, Khairunnisa; Abd Razak, Nasrul Anuar; Ibrahim, Ayman Khaleel; Lai, Khin Wee</t>
  </si>
  <si>
    <t>Predicting medical device failure: a promise to reduce healthcare facilities cost through smart healthcare management</t>
  </si>
  <si>
    <t>PEERJ COMPUTER SCIENCE</t>
  </si>
  <si>
    <t>Smart healthcare; Artificial intelligence; Machine learning; Deep learning; Medical device failure prediction; Medical device maintenance; Maintenance cost</t>
  </si>
  <si>
    <t>EQUIPMENT MAINTENANCE; RISK; PRIORITIZATION; OPTIMIZATION; RELIABILITY</t>
  </si>
  <si>
    <t>Background: The advancement of biomedical research generates myriad healthcare -relevant data, including medical records and medical device maintenance information. The COVID-19 pandemic significantly affects the global mortality rate, creating an enormous demand for medical devices. As information technology has advanced, the concept of intelligent healthcare has steadily gained prominence. Smart healthcare utilises a new generation of information technologies, such as the Internet of Things (loT), big data, cloud computing, and artificial intelligence, to completely transform the traditional medical system. With the intention of presenting the concept of smart healthcare, a predictive model is proposed to predict medical device failure for intelligent management of healthcare services.Methods: Present healthcare device management can be improved by proposing a predictive machine learning model that prognosticates the tendency of medical device failures toward smart healthcare. The predictive model is developed based on 8,294 critical medical devices from 44 different types of equipment extracted from 15 healthcare facilities in Malaysia. The model classifies the device into three classes; (i) class 1, where the device is unlikely to fail within the first 3 years of purchase, (ii) class 2, where the device is likely to fail within 3 years from purchase date, and (iii) class 3 where the device is likely to fail more than 3 years after purchase. The goal is to establish a precise maintenance schedule and reduce maintenance and resource costs based on the time to the first failure event. A machine learning and deep learning technique were compared, and the best robust model for smart healthcare was proposed.Results: This study compares five algorithms in machine learning and three optimizers in deep learning techniques. The best optimized predictive model is based on ensemble classifier and SGDM optimizer, respectively. An ensemble classifier model produces 77.90%, 87.60%, and 75.39% for accuracy, specificity, and precision compared to 70.30%, 83.71%, and 67.15% for deep learning models. The ensemble classifier model improves to 79.50%, 88.36%, and 77.43% for accuracy, specificity, and precision after significant features are identified. The result concludes although machine learning has better accuracy than deep learning, more training time is required, which is 11.49 min instead of 1 min 5 s when deep learning is applied. The model accuracy shall be improved by introducing unstructured data from maintenance notes and is considered the author's future work because dealing with text data is time-consuming. The proposed model has proven to improve the devices' maintenance strategy with a Malaysian Ringgit (MYR) cost reduction of approximately MYR 326,330.88 per year. Therefore, the maintenance cost would drastically decrease if this smart predictive model is included in the healthcare management system.</t>
  </si>
  <si>
    <t>[Abd Rahman, Noorul Husna; Zaki, Muhammad Hazim Mohamad; Hasikin, Khairunnisa; Abd Razak, Nasrul Anuar; Lai, Khin Wee] Univ Malaya, Dept Biomed Engn, Kuala Lumpur, Malaysia; [Abd Rahman, Noorul Husna] Minist Hlth, Engn Serv Div, Putrajaya, Malaysia; [Hasikin, Khairunnisa] Univ Malaya, Fac Engn, Ctr Intelligent Syst Emerging Technol CISET, Kuala Lumpur, Malaysia; [Ibrahim, Ayman Khaleel] Univ Malaysia Sabah, Fac Comp &amp; Informat, Kota Kinabalu, Sabah, Malaysia</t>
  </si>
  <si>
    <t>Universiti Malaya; Kementerian Kesihatan Malaysia; Universiti Malaya; Universiti Malaysia Sabah</t>
  </si>
  <si>
    <t>Hasikin, K (corresponding author), Univ Malaya, Dept Biomed Engn, Kuala Lumpur, Malaysia.;Hasikin, K (corresponding author), Univ Malaya, Fac Engn, Ctr Intelligent Syst Emerging Technol CISET, Kuala Lumpur, Malaysia.</t>
  </si>
  <si>
    <t>Abd Razak, Nasrul Anuar/E-3303-2016; Lai, Khin Wee/A-2997-2011; Hasikin, Khairunnisa/B-8780-2010</t>
  </si>
  <si>
    <t>ABD RAHMAN, NOORUL HUSNA/0009-0009-8641-5816; Hasikin, Khairunnisa/0000-0002-0471-3820; Khin Wee, Lai/0000-0002-8602-0533</t>
  </si>
  <si>
    <t>PEERJ INC</t>
  </si>
  <si>
    <t>341-345 OLD ST, THIRD FLR, LONDON, EC1V 9LL, ENGLAND</t>
  </si>
  <si>
    <t>2376-5992</t>
  </si>
  <si>
    <t>PEERJ COMPUT SCI</t>
  </si>
  <si>
    <t>PeerJ Comput. Sci.</t>
  </si>
  <si>
    <t>e1279</t>
  </si>
  <si>
    <t>10.7717/peerj-cs.1279</t>
  </si>
  <si>
    <t>Computer Science, Artificial Intelligence; Computer Science, Information Systems; Computer Science, Theory &amp; Methods</t>
  </si>
  <si>
    <t>H5KR0</t>
  </si>
  <si>
    <t>WOS:000996354000001</t>
  </si>
  <si>
    <t>Magnanini, MC; Tolio, T</t>
  </si>
  <si>
    <t>Magnanini, Maria Chiara; Tolio, Tullio</t>
  </si>
  <si>
    <t>Switching- and hedging- point policy for preventive maintenance with degrading machines: application to a two-machine line</t>
  </si>
  <si>
    <t>Manufacturing systems; Preventive maintenance; Stochastic flow model; Optimal control policy</t>
  </si>
  <si>
    <t>INTEGRATED PRODUCTION; PERFORMANCE EVALUATION; MANUFACTURING SYSTEMS; MODELS; OPTIMIZATION; DESIGN; BUFFER</t>
  </si>
  <si>
    <t>Maintenance and production are frequently managed as separate activities although they do interact. Disruptive events such as machine failures may find the company unready to repair the machine immediately leading to time waste. Preventive Maintenance may be carried out and maintenance time reduced to the effective task duration, in order to prevent time waste. Companies and researchers have been focusing on policies able to mitigate the impact of Preventive Maintenance on system availability, by exploiting the knowledge about degradation profiles in machines and the joint information from the machine state and the buffer level. In this work, the mathematical proof of the optimal threshold-based control policy for Preventive Maintenance with inventory cost, maintenance cost, backlog cost is provided. The control policy is defined in terms of buffer thresholds and dependency of the thresholds on the degradation condition. The optimal control policy is proved to include a combination of switching points and hedging points, where the first ones activate the Preventive Maintenance for a given condition and the latter ones control the production rate in order to minimize the surplus. An extensive experimental campaign analyzes the impact of system parameters such as the Maintenance duration on the cost function. The results show that there exists cases in which the optimal policy is dominated by the effect of the hedging points or the switching points, alternatively. Therefore, the proposed method is used to provide suggestions to the management for operative decisions, in order to choose the policy fitting best the system.</t>
  </si>
  <si>
    <t>[Magnanini, Maria Chiara; Tolio, Tullio] Politecn Milan, Via La Masa 1, I-20156 Milan, Italy</t>
  </si>
  <si>
    <t>Polytechnic University of Milan</t>
  </si>
  <si>
    <t>Magnanini, MC (corresponding author), Politecn Milan, Via La Masa 1, I-20156 Milan, Italy.</t>
  </si>
  <si>
    <t>mariachiara.magnanini@polimi.it; tullio.tolio@polimi.it</t>
  </si>
  <si>
    <t>Magnanini, Maria Chiara/0000-0002-0318-893X</t>
  </si>
  <si>
    <t>10.1007/s10696-019-09370-7</t>
  </si>
  <si>
    <t>OCT 2019</t>
  </si>
  <si>
    <t>LK9CJ</t>
  </si>
  <si>
    <t>WOS:000490365900001</t>
  </si>
  <si>
    <t>Zhang, WY; Zhang, XH; Gan, J</t>
  </si>
  <si>
    <t>Zhang, Wenyu; Zhang, Xiaohong; Gan, Jie</t>
  </si>
  <si>
    <t>Integrated decision of production scheduling and condition-based maintenance planning for multi-unit systems with variable replacement thresholds</t>
  </si>
  <si>
    <t>Production scheduling; Maintenance planning; Condition-based maintenance; Multi-unit systems; Variable replacement thresholds</t>
  </si>
  <si>
    <t>REMAINING USEFUL LIFE; SINGLE-MACHINE; JOINT OPTIMIZATION; DEGRADATION; POLICY; RELIABILITY; COMPONENTS; MINIMIZE</t>
  </si>
  <si>
    <t>In practice, production scheduling and maintenance planning are two popular technologies that are interdependent, but they are most often performed independently. In this study, we have developed an integrated model for coordinating single-machine scheduling and condition-based maintenance planning. Firstly, we build upon existing scheduling research that often views the system as a whole and further consider the degradation and maintenance of multiple units within the system during the scheduling process. Secondly, in contrast to traditional degradation modeling which usually assumes a single threshold to trigger maintenance/replacement, we also consider the variability of replacement thresholds caused by the heterogeneity of scheduling tasks. Based on this foundation, we propose an integrated policy that considers both scheduling and condition-based maintenance. Furthermore, we have developed an integrated decision model for multi-unit systems. The model aims to minimize the total weighted expected completion time over the entire scheduling time horizon. Moreover, the genetic algorithm was employed to optimize the integrated model. Finally, we present an example of an SA adjustable multi-axis machine and conduct a sensitivity analysis of key parameters to validate the integration policy.</t>
  </si>
  <si>
    <t>[Zhang, Wenyu] Tianjin Univ, Coll Management &amp; Econ, Tianjin 300072, Peoples R China; [Zhang, Xiaohong; Gan, Jie] Taiyuan Univ Sci &amp; Technol, Div Ind &amp; Syst Engn, Taiyuan 030024, Peoples R China</t>
  </si>
  <si>
    <t>Zhang, XH; Gan, J (corresponding author), Taiyuan Univ Sci &amp; Technol, Div Ind &amp; Syst Engn, Taiyuan 030024, Peoples R China.</t>
  </si>
  <si>
    <t>zhangxiaohong1111@126.com; ganj@tyust.edu.cn</t>
  </si>
  <si>
    <t>National Natural Science Foundation of China [72032005, 72071183]</t>
  </si>
  <si>
    <t>The authors would like to thank the editor and the reviewers for their insightful comments and suggestions. This work was financially sup-ported by the National Natural Science Foundation of China [Grant NO. 72032005, 72071183] .</t>
  </si>
  <si>
    <t>10.1016/j.jmsy.2024.04.026</t>
  </si>
  <si>
    <t>C7D3K</t>
  </si>
  <si>
    <t>WOS:001290934300001</t>
  </si>
  <si>
    <t>Soltanali, H; Khojastehpour, M; Farinha, JT</t>
  </si>
  <si>
    <t>Soltanali, Hamzeh; Khojastehpour, Mehdi; Farinha, Jose Torres</t>
  </si>
  <si>
    <t>An improved risk and reliability framework-based maintenance planning for food processing systems</t>
  </si>
  <si>
    <t>Food industry; risk; maintenance; reliability; statistical based approach</t>
  </si>
  <si>
    <t>MAINTAINABILITY ANALYSIS; COMPONENT RELIABILITY; AVAILABILITY ANALYSIS; FEEDING SYSTEM; SAFETY</t>
  </si>
  <si>
    <t>In food processing systems, it is necessary to evaluate the risk process and reliability in order to prevent unexpected events and control functional safety through well-planned maintenance. This study examines risk and reliability models and develops their theories using a novel framework based on failure behavior trends. The proposed framework was implemented in edible oil industries, specifically purification processes, and consists of three steps: first, identifying potential failures using risk-based approaches such as Failure Mode and Effect Analysis (FMEA) and Fault Tree Analysis (FTA); second, adapting a statistical structure consisting of homogenization survey and validity of identity and independence; and finally, estimating the failure rate and reliability to find the suitable maintenance intervals. The findings revealed that the proposed framework is capable of identifying critical equipment with high failure rates as the most important bottlenecks in edible oil processing lines, allowing maintenance plans to be carried out based on the various levels of reliability. Furthermore, opportunistic maintenance intervals were suggested due to the series configuration of equipment in such a process. As a result, the findings of this study may be useful in improving process safety and availability in the food processing industry.</t>
  </si>
  <si>
    <t>[Soltanali, Hamzeh; Khojastehpour, Mehdi] Ferdowsi Univ Mashhad, Dept Biosyst Engn, Mashhad, Razavi Khorasan, Iran; [Farinha, Jose Torres] Univ Coimbra, Ctr Mech Engn Mat &amp; Proc CEMMPRE, Coimbra, Portugal; [Farinha, Jose Torres] Polytech Coimbra, Coimbra Inst Engn, Coimbra, Portugal</t>
  </si>
  <si>
    <t>Ferdowsi University Mashhad; Universidade de Coimbra; Universidade de Coimbra; Instituto Politecnico de Coimbra (IPC)</t>
  </si>
  <si>
    <t>Soltanali, H; Khojastehpour, M (corresponding author), Ferdowsi Univ Mashhad, Dept Biosyst Engn, Mashhad, Razavi Khorasan, Iran.;Farinha, JT (corresponding author), Univ Coimbra, Ctr Mech Engn Mat &amp; Proc CEMMPRE, Coimbra, Portugal.;Farinha, JT (corresponding author), Polytech Coimbra, Coimbra Inst Engn, Coimbra, Portugal.</t>
  </si>
  <si>
    <t>soltanali.hamzeh@yahoo.com; mkhpour@um.ac.ir; torres.farinha@dem.uc.pt</t>
  </si>
  <si>
    <t>Soltanali, Hamzeh/AAA-3934-2020; Farinha, José/V-4867-2018; Khojastehpour, Mehdi/M-2278-2018; Torres Farinha, Jose/E-3358-2014</t>
  </si>
  <si>
    <t>Khojastehpour, Mehdi/0000-0002-8107-9026; Torres Farinha, Jose/0000-0002-9694-8079; Soltanali, Hamzeh/0000-0002-1972-1030</t>
  </si>
  <si>
    <t>Ferdowsi University of Mashhad [FUM-52316]</t>
  </si>
  <si>
    <t>Ferdowsi University of Mashhad(Islamic Azad University)</t>
  </si>
  <si>
    <t>This work was supported by the Ferdowsi University of Mashhad [No.FUM-52316]; Ferdowsi University of Mashhad [No.FUM-52316].</t>
  </si>
  <si>
    <t>10.1080/16843703.2022.2093565</t>
  </si>
  <si>
    <t>WOS:000820668400001</t>
  </si>
  <si>
    <t>Qiao, PR; Luo, M; Ma, YZ; Jabbar, A</t>
  </si>
  <si>
    <t>Qiao, Peirui; Luo, Ming; Ma, Yizhong; Jabbar, Abdul</t>
  </si>
  <si>
    <t>Optimal warranty option and post-warranty maintenance strategy under a warranty menu: from a consumer perspective</t>
  </si>
  <si>
    <t>Warranty-maintenance strategy; flexible renewable warranty; post-warranty maintenance; repair limits; multiple failures; life cycle cost rate</t>
  </si>
  <si>
    <t>2-DIMENSIONAL EXTENDED WARRANTY; MINIMAL REPAIRS; REPLACEMENT STRATEGIES; DESIGN; POLICY; PRODUCTS; MODELS; RELIABILITY; NUMBER</t>
  </si>
  <si>
    <t>As manufacturers continue to provide new and unique products and services for their customers, we argue that warranty menus with differentiated options are an often-overlooked unique selling point. Meanwhile, there is a huge swathe of customers who own durable products which are still in use even after the expiration of a warranty. It is in this area that we develop a research perspective which urges customers to consider warranty plans and post-warranty maintenance strategies simultaneously when making a purchasing decision. In this paper, through the lens of a consumer, we propose an integrated model of warranty and post-warranty maintenance under a flexible renewable warranty. This model takes into account repair limits and multiple failure types with time-varying probabilities. As part of this, a new post-warranty maintenance strategy is designed, in which the repair time-based corrective replacement and the age-based preventive replacement are combined. The life cycle cost rate of the product is minimised by a synthetic decision-making about the consumer's warranty purchase and post-warranty maintenance strategy. Numerical studies show that there exists a joint optimal solution, which can help the customer to develop an optimal overall warranty-maintenance strategy under the warranty menu with minimised cost rate.</t>
  </si>
  <si>
    <t>[Qiao, Peirui; Ma, Yizhong] Nanjing Univ Sci &amp; Technol, Sch Econ &amp; Management, Nanjing 210094, Jiangsu, Peoples R China; [Luo, Ming] Univ Bristol, Univ Bristol Business Sch, Bristol, England; [Luo, Ming] Univ Huddersfield, Huddersfield Business Sch, Huddersfield, England; [Jabbar, Abdul] Univ Leicester, Sch Business, Leicester, England</t>
  </si>
  <si>
    <t>Nanjing University of Science &amp; Technology; University of Bristol; University of Huddersfield; University of Leicester</t>
  </si>
  <si>
    <t>Jabbar, Abdul/ABD-6731-2021; Luo, Ming/AAO-5067-2020</t>
  </si>
  <si>
    <t>Luo, Ming/0000-0001-9955-0333; Jabbar, Dr Abdul/0000-0001-6083-3053</t>
  </si>
  <si>
    <t>National Natural Science Foundation of China [71931006, 71871119]; Postgraduate Research &amp; Practice Innovation Program of Jiangsu Province [KYCX21_0363]; China Scholarship Council (CSC) [202106840023]</t>
  </si>
  <si>
    <t>National Natural Science Foundation of China(National Natural Science Foundation of China (NSFC)); Postgraduate Research &amp; Practice Innovation Program of Jiangsu Province; China Scholarship Council (CSC)(China Scholarship Council)</t>
  </si>
  <si>
    <t>This work was supported by the National Natural Science Foundation of China [grant numbers 71931006, 71871119], Postgraduate Research &amp; Practice Innovation Program of Jiangsu Province [grant number KYCX21_0363], and China Scholarship Council (CSC) [grant number 202106840023].</t>
  </si>
  <si>
    <t>2023 APR 7</t>
  </si>
  <si>
    <t>10.1080/00207543.2023.2197513</t>
  </si>
  <si>
    <t>D9KC1</t>
  </si>
  <si>
    <t>WOS:000971832700001</t>
  </si>
  <si>
    <t>Wang, JJ; Miao, YH; Yi, YG; Huang, DG</t>
  </si>
  <si>
    <t>Wang, Jingjing; Miao, Yonghao; Yi, Yinggang; Huang, Dagang</t>
  </si>
  <si>
    <t>An imperfect age-based and condition-based opportunistic maintenance model for a two-unit series system</t>
  </si>
  <si>
    <t>Imperfect maintenance; Condition monitor; Economic dependence; Random repair time; The semi-Markov decision process</t>
  </si>
  <si>
    <t>PREVENTIVE MAINTENANCE; OPTIMIZATION; POLICY; STRATEGY; COMPONENTS; REPAIR</t>
  </si>
  <si>
    <t>Maintenance strategies have been studied extensively and applied successfully to reduce the operation costs of industrial assets. However, the study for heterogeneous two-unit systems is rarely based on the usage and condition information of units, simultaneously. This paper originally proposes a novel imperfect opportunistic maintenance model for a two-unit series system considering random repair time and two types of failures, where unit 1 and unit 2 are respectively subject to soft failure and hard failure. The system maintenance actions are performed not only based on the deterioration level of unit 1 but also on the usage of unit 2. To utilize the economic dependence between the two units, the opportunistic maintenance policy is adopted in the series system. When a unit fails or is being repaired, the other unit has an opportunity to be simultaneously maintained once it meets the requirement of opportunistic maintenance. Herein, opportunistic maintenance action is imperfect maintenance, which means that the deterioration level of unit 1 and the usage of unit 2 restore to a lower level than the as-good-as new status after repair. Nonetheless, once both units meet the requirement of replacement actions, they will be perfectly replaced by new ones. The objective is to minimize the system average maintenance cost by optimizing the thresholds of opportunistic maintenance and perfect replacement of two units. Finally, an illustrative example is presented to demonstrate the superiority of the proposed maintenance model.</t>
  </si>
  <si>
    <t>[Wang, Jingjing] Qingdao Univ Technol, Sch Management Engn, Qingdao, Peoples R China; [Wang, Jingjing] Qingdao Univ Technol, Ctr Struct Acoust &amp; Machine Fault Diag, Qingdao, Peoples R China; [Miao, Yonghao; Yi, Yinggang] Beihang Univ, Sch Reliabil &amp; Syst Engn, Beijing, Peoples R China; [Miao, Yonghao] Beihang Univ, Adv Mfg Ctr, Ningbo Inst Technol, Ningbo 315100, Peoples R China; [Miao, Yonghao] Beihang Univ, Sci &amp; Technol Reliabil &amp; Environm Engn Lab, Beijing 100191, Peoples R China; [Huang, Dagang] Microsoft China Co Ltd, Beijing, Peoples R China</t>
  </si>
  <si>
    <t>Qingdao University of Technology; Qingdao University of Technology; Beihang University; Beihang University; Beihang University; Microsoft; Microsoft China</t>
  </si>
  <si>
    <t>Miao, YH (corresponding author), Beihang Univ, Sch Reliabil &amp; Syst Engn, Beijing, Peoples R China.;Miao, YH (corresponding author), Beihang Univ, Adv Mfg Ctr, Ningbo Inst Technol, Ningbo 315100, Peoples R China.;Miao, YH (corresponding author), Beihang Univ, Sci &amp; Technol Reliabil &amp; Environm Engn Lab, Beijing 100191, Peoples R China.</t>
  </si>
  <si>
    <t>miaoyonghao@buaa.edu.cn</t>
  </si>
  <si>
    <t>National Natural Science Foundation of China [51905017]</t>
  </si>
  <si>
    <t>This work is supported by the National Natural Science Foundation of China (51905017) which is highly appreciated by the authors.</t>
  </si>
  <si>
    <t>10.1016/j.cie.2021.107583</t>
  </si>
  <si>
    <t>UQ8LT</t>
  </si>
  <si>
    <t>WOS:000696311000009</t>
  </si>
  <si>
    <t>Wang, K; Yang, Y; Zhou, J; Goh, M</t>
  </si>
  <si>
    <t>Wang, Ke; Yang, Yan; Zhou, Jian; Goh, Mark</t>
  </si>
  <si>
    <t>Fuzzy belief propagation in constrained Bayesian networks with application to maintenance decisions</t>
  </si>
  <si>
    <t>Fuzzy Bayesian networks; influence diagrams; constraints; maintenance decisions; expected utility</t>
  </si>
  <si>
    <t>RISK ANALYSIS; MODEL; SYSTEM; METHODOLOGY; PREDICTION; UTILITY</t>
  </si>
  <si>
    <t>Bayesian networks have been widely applied to domains such as medical diagnosis, fault analysis, and preventative maintenance. In some applications, because of insufficient data and the complexity of the system, fuzzy parameters and additional constraints derived from expert knowledge can be used to enhance the Bayesian reasoning process. However, very few methods are capable of handling the belief propagation in constrained fuzzy Bayesian networks (CFBNs). This paper therefore develops an improved approach which addresses the inference problem through a max-min programming model. The proposed approach yields more reasonable inference results and with less computational effort. By integrating the probabilistic inference drawn from diverse sources of information with decision analysis considering a decision-maker's risk preference, a CFBN-based decision framework is presented for seeking optimal maintenance decisions in a risk-based environment. The effectiveness of the proposed framework is validated based on an application to a gas compressor maintenance decision problem.</t>
  </si>
  <si>
    <t>[Wang, Ke; Yang, Yan; Zhou, Jian] Shanghai Univ, Sch Management, Shanghai, Peoples R China; [Goh, Mark] Natl Univ Singapore, Dept Analyt &amp; Operat, NUS Business Sch, Singapore, Singapore; [Goh, Mark] Natl Univ Singapore, Logist Inst Asia Pacific, Singapore, Singapore</t>
  </si>
  <si>
    <t>Shanghai University; National University of Singapore; National University of Singapore</t>
  </si>
  <si>
    <t>Yang, Y (corresponding author), Shanghai Univ, Sch Management, Shanghai, Peoples R China.</t>
  </si>
  <si>
    <t>caryyang@shu.edu.cn</t>
  </si>
  <si>
    <t>Zhou, Jian/JXM-3929-2024; goh, mark/GQO-8860-2022; Wang, Ke/C-6383-2009; goh, mark/G-1689-2010</t>
  </si>
  <si>
    <t>Yang, Yan/0000-0001-7087-617X; Wang, Ke/0000-0003-1769-2800; Zhou, Jian/0000-0001-7835-8879; goh, mark/0000-0002-3620-7658</t>
  </si>
  <si>
    <t>National Natural Science Foundation of China [71501123, 71872110]</t>
  </si>
  <si>
    <t>This work was supported in part by the grants from the National Natural Science Foundation of China (Grant Nos. 71501123 and 71872110).</t>
  </si>
  <si>
    <t>MAY 2</t>
  </si>
  <si>
    <t>10.1080/00207543.2020.1715503</t>
  </si>
  <si>
    <t>JAN 2020</t>
  </si>
  <si>
    <t>LK6PK</t>
  </si>
  <si>
    <t>WOS:000508537800001</t>
  </si>
  <si>
    <t>Wang, JJ; Miao, YH</t>
  </si>
  <si>
    <t>Wang, Jingjing; Miao, Yonghao</t>
  </si>
  <si>
    <t>Optimal preventive maintenance policy of the balanced system under the semi-Markov model</t>
  </si>
  <si>
    <t>Balanced system; Preventive maintenance; semi-Markov model; Degradation failure</t>
  </si>
  <si>
    <t>OPTIMIZATION; INSPECTION; RELIABILITY; SUBJECT</t>
  </si>
  <si>
    <t>Reliability problems of new systems such as balanced systems have received more attention in recent years due to the rapid development of technology. However, the research on maintenance optimization for balanced systems is still underexplored, and the existing policies for orthodox systems cannot solve the maintenance problem of balanced systems. Thus, an optimal preventive maintenance optimization model is formulated under the semiMarkov model for a balanced system with n identical units, where each unit is subject to degradation failure and sojourn times in different function zones follow Erlang distribution with different parameters, respectively. Different from orthodox systems, the failure criterion of the balanced system is given according to the system balance degree. Namely, when any two symmetric components do not perform the same function, the system is out of balance. To avoid system unbalance, a preventive maintenance action is performed once the state difference on any two symmetric units exceeds the maintenance threshold. Finally, some numerical examples are used to demonstrate the priority of the proposed preventive maintenance policy, and the obtained results provide a good insight for repairmen to maintain components on the balanced system.</t>
  </si>
  <si>
    <t>[Wang, Jingjing] Qingdao Univ Technol, Sch Management Engn, Qingdao, Peoples R China; [Miao, Yonghao] Beihang Univ, Sch Reliabil &amp; Syst Engn, Beijing, Peoples R China; [Miao, Yonghao] Beihang Univ, Adv Mfg Ctr, Ningbo Inst Technol, Ningbo, Peoples R China; [Miao, Yonghao] Beihang Univ, Sci &amp; Technol Reliabil &amp; Environm Engn Lab, Beijing, Peoples R China</t>
  </si>
  <si>
    <t>Qingdao University of Technology; Beihang University; Beihang University; Beihang University</t>
  </si>
  <si>
    <t>Miao, YH (corresponding author), Beihang Univ, Sch Reliabil &amp; Syst Engn, Beijing, Peoples R China.;Miao, YH (corresponding author), Beihang Univ, Adv Mfg Ctr, Ningbo Inst Technol, Ningbo, Peoples R China.;Miao, YH (corresponding author), Beihang Univ, Sci &amp; Technol Reliabil &amp; Environm Engn Lab, Beijing, Peoples R China.</t>
  </si>
  <si>
    <t>National Natural Science Foundation of China [51905017]; China Postdoctoral Science Foundation [2019M660395, 2020T130040]</t>
  </si>
  <si>
    <t>This work is supported by the National Natural Science Foundation of China (51905017) and the Project funded by China Postdoctoral Science Foundation (2019M660395, 2020T130040), which are highly appreciated by the authors.</t>
  </si>
  <si>
    <t>10.1016/j.ress.2021.107690</t>
  </si>
  <si>
    <t>SV6DO</t>
  </si>
  <si>
    <t>WOS:000663910500031</t>
  </si>
  <si>
    <t>Li, YP; Xia, TB; Chen, Z; Pan, ER</t>
  </si>
  <si>
    <t>Li, Yaping; Xia, Tangbin; Chen, Zhen; Pan, Ershun</t>
  </si>
  <si>
    <t>Multiple degradation-driven preventive maintenance policy for serial-parallel multi-station manufacturing systems</t>
  </si>
  <si>
    <t>Multiple degradation -driven preventive main; tenance policy; Production rate degradation; Opportunistic maintenance; Serial -parallel multi -station manufacturing; system</t>
  </si>
  <si>
    <t>OPPORTUNISTIC MAINTENANCE; MULTIOBJECTIVE OPTIMIZATION; MODEL</t>
  </si>
  <si>
    <t>Machine reliability degradation is common in production systems; besides, machine production rate (PR) degradation also widely occurs as the systems deteriorate. The PR has an essential impact on the capacity of the systems. However, the few efforts involving the capacity requirements in preventive maintenance (PM) policies have not yet taken PR degradation into account, assuming all the PRs are constant. It is necessary for PM policies to consider the dynamic capacity caused by the deteriorating PR. With the two types of degradation involved, a multiple degradation-driven preventive maintenance (MDPM) policy for the serial-parallel multi-station manufacturing systems (SMMS) is proposed. Since PM has an impact on PR each time it is executed, an evolution model of PR, with the imperfect maintenance effect considered, is developed. The capacity efficiency based on deteriorating PR is put forward. By maximizing capacity efficiency and minimizing cost rate, a station-level PM optimization model is proposed. Then, the process of the MDPM scheduling is formulated, where three rules, including minimum remaining time, maintenance time window and capacity balance, are suggested for the system-level decision. Finally, the case study is illustrated to show the application of the PR evolution model and the advantages of the proposed MDPM policy.</t>
  </si>
  <si>
    <t>[Li, Yaping] Nanjing Forestry Univ, Coll Econ &amp; Management, Nanjing, Peoples R China; [Xia, Tangbin; Chen, Zhen; Pan, Ershun] Shanghai Jiao Tong Univ, Sch Mech Engn, State Key Lab Mech Syst &amp; Vibrat, Shanghai, Peoples R China</t>
  </si>
  <si>
    <t>Nanjing Forestry University; Shanghai Jiao Tong University</t>
  </si>
  <si>
    <t>Pan, ER (corresponding author), Shanghai Jiao Tong Univ, Sch Mech Engn, State Key Lab Mech Syst &amp; Vibrat, Shanghai, Peoples R China.</t>
  </si>
  <si>
    <t>Xia, Tangbin/0000-0001-9121-1716; Li, Yaping/0000-0003-0618-208X</t>
  </si>
  <si>
    <t>National Natural Science Foundation of China [72171120, 71701098, 72001138]; Qing Lan Project of Jiangsu Province in China (2021)</t>
  </si>
  <si>
    <t>National Natural Science Foundation of China(National Natural Science Foundation of China (NSFC)); Qing Lan Project of Jiangsu Province in China (2021)</t>
  </si>
  <si>
    <t>This work is supported by the National Natural Science Foundation of China (72171120; 71701098; 72001138) , and Qing Lan Project of Jiangsu Province in China (2021) .</t>
  </si>
  <si>
    <t>10.1016/j.ress.2022.108905</t>
  </si>
  <si>
    <t>5X6VB</t>
  </si>
  <si>
    <t>WOS:000878736100003</t>
  </si>
  <si>
    <t>Liu, B; Zhao, XJ; Liu, YQ; Do, P</t>
  </si>
  <si>
    <t>Liu, Bin; Zhao, Xiujie; Liu, Yiqi; Do, Phuc</t>
  </si>
  <si>
    <t>Maintenance optimisation for systems with multi-dimensional degradation and imperfect inspections</t>
  </si>
  <si>
    <t>Imperfect inspection; multi-dimensional degradation processes; maintenance optimisation; hidden failure; cost analysis</t>
  </si>
  <si>
    <t>MULTICOMPONENT SYSTEMS; RELIABILITY-ANALYSIS; POLICIES; QUALITY; SUBJECT; FAILURE; COMPONENTS; MODEL</t>
  </si>
  <si>
    <t>In this paper, we develop a maintenance model for systems subjected to multiple correlated degradation processes, where a multivariate stochastic process is used to model the degradation processes, and the covariance matrix is employed to describe the interactions among the processes. The system is considered failed when any of its degradation features hits the pre-specified threshold. Due to the dormancy of degradation-based failures, inspection is implemented to detect the hidden failures. The failed systems are replaced upon inspection. We assume an imperfect inspection, in such a way that a failure can only be detected with a specific probability. Based on the degradation processes, system reliability is evaluated to serve as the foundation, followed by a maintenance model to reduce the economic losses. We provide theoretical boundaries of the cost-optimal inspection intervals, which are then integrated into the optimisation algorithm to relieve the computational burden. Finally, a fatigue crack propagation process is employed as an example to illustrate the effectiveness and robustness of the developed maintenance policy. Numerical results imply that the inspection inaccuracy contributes significantly to the operating cost and it is suggested that more effort should be paid to improve the inspection accuracy.</t>
  </si>
  <si>
    <t>[Liu, Bin] Univ Strathclyde, Dept Management Sci, Glasgow, Lanark, Scotland; [Zhao, Xiujie] Tianjin Univ, Coll Management &amp; Econ, Tianjin, Peoples R China; [Liu, Yiqi] South China Univ Technol, Sch Automat Sci &amp; Engn, Guangzhou, Peoples R China; [Do, Phuc] Lorraine Univ, CRAN, CNRS UMR 7039, Vandoeuvre Les Nancy, France</t>
  </si>
  <si>
    <t>University of Strathclyde; Tianjin University; South China University of Technology; Universite de Lorraine; Centre National de la Recherche Scientifique (CNRS)</t>
  </si>
  <si>
    <t>Liu, Bin/GZM-0167-2022; Liu, Yiqi/AAN-1610-2020</t>
  </si>
  <si>
    <t>Zhao, Xiujie/0000-0003-3450-5480; Liu, Yiqi/0000-0001-8911-727X; Liu, Bin/0000-0002-3946-8124</t>
  </si>
  <si>
    <t>National Natural Science Foundation of China [61873096, 62073145, 71971181, 72002149]; Guangdong Technology International Cooperation Project Application [2020A0505100024]; Guangdong Basic and Applied Basic Research Foundation [2020A1515011057]</t>
  </si>
  <si>
    <t>National Natural Science Foundation of China(National Natural Science Foundation of China (NSFC)); Guangdong Technology International Cooperation Project Application; Guangdong Basic and Applied Basic Research Foundation</t>
  </si>
  <si>
    <t>This work was supported by National Natural Science Foundation of China [grant number 61873096], [grant number 62073145], [grant number 71971181], [grant number 72002149] and Guangdong Technology International Cooperation Project Application [grant number 2020A0505100024] and Guangdong Basic and Applied Basic Research Foundation [grant number 2020A1515011057].</t>
  </si>
  <si>
    <t>DEC 17</t>
  </si>
  <si>
    <t>10.1080/00207543.2020.1844919</t>
  </si>
  <si>
    <t>NOV 2020</t>
  </si>
  <si>
    <t>XL8LC</t>
  </si>
  <si>
    <t>WOS:000596326400001</t>
  </si>
  <si>
    <t>An, D; Lee, DJ</t>
  </si>
  <si>
    <t>An, Donghyun; Lee, Deok-Joo</t>
  </si>
  <si>
    <t>Optimal condition-based maintenance policy considering nested conditional value-at-risk and operational availability: A case study on semiconductor manufacturing equipment</t>
  </si>
  <si>
    <t>Condition-based maintenance; Markov decision process; risk management; Conditional value-at-risk; availability</t>
  </si>
  <si>
    <t>SELECTION; OPTIMIZATION; SYSTEMS; MODEL</t>
  </si>
  <si>
    <t>To address concerns regarding economic risks and reliability issues in existing maintenance practices, this study introduces a novel condition-based maintenance model that considers failure risks in terms of both cost and availability. Utilizing a Markov decision process, this model determines inspection intervals and maintenance policies aimed at minimizing the nested conditional Value-at-Risk of cumulative costs while satisfying operational availability constraints. By applying this model to the plasma etching process, we demonstrate its effectiveness compared with existing maintenance models. Additionally, we found that higher risk levels do not necessarily lead to stricter maintenance policies, whereas achieving better operational availability incurs additional costs. These findings highlight the importance of balancing cost and availability risks when determining an optimal maintenance policy.</t>
  </si>
  <si>
    <t>[An, Donghyun; Lee, Deok-Joo] Seoul Natl Univ, Dept Ind Engn, Seoul, South Korea</t>
  </si>
  <si>
    <t>Seoul National University (SNU)</t>
  </si>
  <si>
    <t>Lee, DJ (corresponding author), Seoul Natl Univ, Dept Ind Engn, Seoul, South Korea.</t>
  </si>
  <si>
    <t>leedj@snu.ac.kr</t>
  </si>
  <si>
    <t>Lee, Deok-Joo/0000-0002-9795-8199</t>
  </si>
  <si>
    <t>Samsung Electronics Co., Ltd. [IO191018-06790-01, IO220418-09515-01]</t>
  </si>
  <si>
    <t>Samsung Electronics Co., Ltd.(Samsung)</t>
  </si>
  <si>
    <t>This work was supported by Samsung Electronics Co., Ltd (IO191018-06790-01, IO220418-09515-01)</t>
  </si>
  <si>
    <t>2024 OCT 19</t>
  </si>
  <si>
    <t>10.1080/24725854.2024.2410334</t>
  </si>
  <si>
    <t>L3M0T</t>
  </si>
  <si>
    <t>WOS:001349784000001</t>
  </si>
  <si>
    <t>Wang, JH; Zhang, XH; Zeng, JC; Zhang, YZ</t>
  </si>
  <si>
    <t>Wang, Jinhe; Zhang, Xiaohong; Zeng, Jianchao; Zhang, Yunzheng</t>
  </si>
  <si>
    <t>Optimal dynamic imperfect preventive maintenance of wind turbines based on general renewal processes</t>
  </si>
  <si>
    <t>wind turbines; imperfect preventive maintenance; system availability; failure rate; virtual age</t>
  </si>
  <si>
    <t>OFFSHORE; POLICY; OPTIMIZATION; ORGANIZATION; RELIABILITY; OPERATION; SYSTEMS; MODELS</t>
  </si>
  <si>
    <t>With the rapid growth in wind turbine technology worldwide, the high operational and maintenance costs of wind turbines have posed a major challenge to wind power operating companies. Considering the high replacement cost, imperfect maintenance measures are employed widely once downtime failures occur. However, as the metric to describe the effect of imperfect maintenance is a non-intuitive variable, the evaluation results obtained from existing research do not conform with actual wind turbine situations. To address this issue, the virtual age factor and failure intensity update factor are expressed by intuitive variables to illustrate the imperfect maintenance effect. Additionally, we propose a failure rate function update model considering the above factors. To minimise maintenance costs while ensuring the availability of the wind turbine, we investigate a periodic dynamic imperfect preventive maintenance decision model based on the proposed failure rate function update model. We also provide a brief illustration of the accuracy and feasibility of the proposed model through optimal solution and sensitivity analyses. The results obtained from the case analysis and strategies comparison, based on actual wind turbine maintenance data, demonstrate the economic advantages of our approach.</t>
  </si>
  <si>
    <t>[Wang, Jinhe; Zhang, Xiaohong; Zeng, Jianchao; Zhang, Yunzheng] Taiyuan Univ Sci &amp; Technol, Div Ind &amp; Syst Engn, Taiyuan, Shanxi, Peoples R China; [Zeng, Jianchao] North Univ China, Inst Big Data &amp; Visual Comp, Taiyuan, Shanxi, Peoples R China; [Zhang, Xiaohong] Taiyuan Univ Sci &amp; Technol, Sch Econ &amp; Management, Taiyuan, Shanxi, Peoples R China; [Zhang, Xiaohong] Res Ctr Innovat &amp; Dev Equipment Mfg Ind, Key Res Bases Humanities &amp; Social Sci Shanxi, Taiyuan, Shanxi, Peoples R China</t>
  </si>
  <si>
    <t>Taiyuan University of Science &amp; Technology; North University of China; Taiyuan University of Science &amp; Technology</t>
  </si>
  <si>
    <t>Zhang, XH; Zeng, JC (corresponding author), Taiyuan Univ Sci &amp; Technol, Div Ind &amp; Syst Engn, Taiyuan, Shanxi, Peoples R China.;Zeng, JC (corresponding author), North Univ China, Inst Big Data &amp; Visual Comp, Taiyuan, Shanxi, Peoples R China.;Zhang, XH (corresponding author), Taiyuan Univ Sci &amp; Technol, Sch Econ &amp; Management, Taiyuan, Shanxi, Peoples R China.;Zhang, XH (corresponding author), Res Ctr Innovat &amp; Dev Equipment Mfg Ind, Key Res Bases Humanities &amp; Social Sci Shanxi, Taiyuan, Shanxi, Peoples R China.</t>
  </si>
  <si>
    <t>zhangxiaohong1111@126.com; zengjianchao@263.net</t>
  </si>
  <si>
    <t>Wang, Jinhe/0000-0002-1293-085X</t>
  </si>
  <si>
    <t>National Natural Science Foundation of China [71701140, 61573250]; Key Research and Development Program Projects in Shanxi Province [201703D111011]; Scientific and Technological Innovation Programs of Higher Education Institutions in Shanxi [STIP] [201802091]; Youth Foundation of Shanxi Province [201601D021082]; PhD Research Start-up Foundation of Taiyuan University of Science Technology [20152021, 20162029]; Program for the Philosophy and Social Sciences Research of Higher Learning Institutions of Shanxi [201801032]; Collaborative Innovation Centre of Internet + 3D printing in Shanxi Province [CiCi3DP]</t>
  </si>
  <si>
    <t>National Natural Science Foundation of China(National Natural Science Foundation of China (NSFC)); Key Research and Development Program Projects in Shanxi Province; Scientific and Technological Innovation Programs of Higher Education Institutions in Shanxi [STIP]; Youth Foundation of Shanxi Province; PhD Research Start-up Foundation of Taiyuan University of Science Technology; Program for the Philosophy and Social Sciences Research of Higher Learning Institutions of Shanxi; Collaborative Innovation Centre of Internet + 3D printing in Shanxi Province</t>
  </si>
  <si>
    <t>The authors would like to thank the National Natural Science Foundation of China [grant numbers 71701140 and 61573250], the Key Research and Development Program Projects in Shanxi Province [grant number 201703D111011], the Scientific and Technological Innovation Programs of Higher Education Institutions in Shanxi [STIP; grant number 201802091], the Youth Foundation of Shanxi Province [grant number 201601D021082], the PhD Research Start-up Foundation of Taiyuan University of Science &amp; Technology [grant numbers 20152021 and 20162029], the Program for the Philosophy and Social Sciences Research of Higher Learning Institutions of Shanxi [grant number 201801032], and the Collaborative Innovation Centre of Internet + 3D printing in Shanxi Province [grant number CiCi3DP] for their support.</t>
  </si>
  <si>
    <t>NOV 16</t>
  </si>
  <si>
    <t>10.1080/00207543.2019.1685706</t>
  </si>
  <si>
    <t>NOV 2019</t>
  </si>
  <si>
    <t>OP5SV</t>
  </si>
  <si>
    <t>WOS:000495536700001</t>
  </si>
  <si>
    <t>Ye, ZG; Cai, ZQ; Yang, H; Si, SB; Zhou, FL</t>
  </si>
  <si>
    <t>Ye, Zhenggeng; Cai, Zhiqiang; Yang, Hui; Si, Shubin; Zhou, Fuli</t>
  </si>
  <si>
    <t>Joint optimization of maintenance and quality inspection for manufacturing networks based on deep reinforcement learning</t>
  </si>
  <si>
    <t>Manufacturing network; Reliability model; Maintenance; Quality inspection; Optimization; Deep reinforcement learning</t>
  </si>
  <si>
    <t>PREVENTIVE MAINTENANCE; SYSTEMS; POLICY</t>
  </si>
  <si>
    <t>Most existing studies on joint optimization of manufacturing systems (MS) focus on small-scale systems with simple structures, such as the single-machine, simple serial, or parallel MS. Simultaneously, traditional algorithms utilized in small-scale MS always show an insufficiency in solving large-scale dynamic MS with complex structures, such as manufacturing networks. Therefore, considering the effectiveness of reinforcement learning on the infinite-horizon Markov Decision Process (MDP), this paper presents a joint optimization problem of preventive maintenance and work-in-process quality inspection for manufacturing networks with reliabilityquality interactions. First, dynamic reliability and quality models are proposed at the machine level to cope with complex interactions in manufacturing networks. Second, based on the MDP-based optimization model, the proposed Deep Deterministic Policy Gradient (DDPG) algorithm realizes the optimal reliability-quality joint control in manufacturing networks. Besides, it also offers a novel mixed action space containing discrete maintenance and continuous quality inspection, which could satisfy the action diversity in actual production. At last, training and experiments imply our algorithm is more adaptable to diverse manufacturing scenarios than traditional ones. Also, it is proved that more-frequent state observations for learning cannot help the constructed reinforcement learning model get a better control policy because of the information redundancy.</t>
  </si>
  <si>
    <t>[Ye, Zhenggeng] Zhengzhou Univ, Sch Management, Dept Ind Engn, Zhengzhou 450001, Peoples R China; [Cai, Zhiqiang; Si, Shubin] Northwestern Polytech Univ, Dept Ind Engn, Xian 710072, Peoples R China; [Cai, Zhiqiang; Si, Shubin] Northwestern Polytech Univ, Minist Ind &amp; Informat Technol Key Lab Ind Engn &amp; I, Xian 710072, Peoples R China; [Yang, Hui] Penn State Univ, Harold &amp; Inge Marcus Dept Ind &amp; Mfg Engn, University Pk, PA 16802 USA; [Zhou, Fuli] Zhengzhou Univ Light Ind, Sch Econ &amp; Management, Dept Management Sci &amp; Engn, Zhengzhou 450002, Peoples R China</t>
  </si>
  <si>
    <t>Zhengzhou University; Northwestern Polytechnical University; Northwestern Polytechnical University; Pennsylvania Commonwealth System of Higher Education (PCSHE); Pennsylvania State University; Penn State Behrend; Pennsylvania State University - University Park; Zhengzhou University of Light Industry</t>
  </si>
  <si>
    <t>Cai, ZQ (corresponding author), Northwestern Polytech Univ, Dept Ind Engn, Xian 710072, Peoples R China.;Cai, ZQ (corresponding author), Northwestern Polytech Univ, Minist Ind &amp; Informat Technol Key Lab Ind Engn &amp; I, Xian 710072, Peoples R China.</t>
  </si>
  <si>
    <t>Cai, Zhiqiang/GLS-3354-2022; ZHENGGENG, YE/AAO-7424-2020; Zhou, Fuli/H-6662-2019</t>
  </si>
  <si>
    <t>Yang, Hui/0000-0001-5997-6823; Cai, Zhiqiang/0000-0002-7380-8110; Ye, Zhenggeng/0000-0002-0636-9701</t>
  </si>
  <si>
    <t>National Natural Science Foundation of China [72201250, 72271200]; Key Technologies R &amp; D Programme of Henan Province from Henan Science &amp; Technology Department [222102210005]; Humanities &amp; Social Sci- ences Project from the Ministry of Education in PRC [22YJC630220]; Natural Science Basic Research Program of Shaanxi [2020JM-150]</t>
  </si>
  <si>
    <t>National Natural Science Foundation of China(National Natural Science Foundation of China (NSFC)); Key Technologies R &amp; D Programme of Henan Province from Henan Science &amp; Technology Department; Humanities &amp; Social Sci- ences Project from the Ministry of Education in PRC; Natural Science Basic Research Program of Shaanxi</t>
  </si>
  <si>
    <t>Fundings This work was supported by the National Natural Science Foundation of China [Grant Nos. 72201250, 72271200] , the Key Technologies R &amp; D Programme of Henan Province from Henan Science &amp; Technology Department [Grant No. 222102210005] , the Humanities &amp; Social Sci- ences Project from the Ministry of Education in PRC [Grant No. 22YJC630220] , the Natural Science Basic Research Program of Shaanxi [Grant No. 2020JM-150] .</t>
  </si>
  <si>
    <t>10.1016/j.ress.2023.109290</t>
  </si>
  <si>
    <t>F1GX3</t>
  </si>
  <si>
    <t>WOS:000979911500001</t>
  </si>
  <si>
    <t>Zhang, C; Chen, RT; Wang, SP; Dui, HY; Zhang, YD</t>
  </si>
  <si>
    <t>Zhang, Chao; Chen, Rentong; Wang, Shaoping; Dui, Hongyan; Zhang, Yadong</t>
  </si>
  <si>
    <t>Resilience efficiency importance measure for the selection of a component maintenance strategy to improve system performance recovery</t>
  </si>
  <si>
    <t>Reliability; Importance measure; System resilience; Maintenance strategy</t>
  </si>
  <si>
    <t>INTEGRATED IMPORTANCE MEASURE; MULTISTATE</t>
  </si>
  <si>
    <t>To rapidly recover system performance after a failure event, a maintenance strategy is often determined to guide the repair of failed components. Due to the differences and interdependence between components, different maintenance sequences can lead to significant differences in the efficiency of system performance recovery. Hence, this paper analyzes a component maintenance strategy for the efficient recovery of system performance. First, two importance measures are proposed, namely the resilience efficiency importance measure (REIM) and the maintenance efficiency measure (MEM). The REIM measures the impact of the individual repair of a failed component on the efficiency of system performance recovery, and the MEM evaluates the repair efficiencies of different maintenance strategies. Both measures are used simultaneously to identify the importance of components for maintenance and guide the selection of maintenance sequences. The measures are then used to compare the maintenance efficiencies of different strategies, and the maintenance strategy that can accomplish the optimal overall efficiency of system performance recovery throughout the whole repair process is ultimately selected. Finally, the application of the proposed recovery process analysis method to a horizontal subsea Christmas tree system verifies its performance.</t>
  </si>
  <si>
    <t>[Zhang, Chao; Chen, Rentong; Wang, Shaoping; Zhang, Yadong] Beihang Univ, Sch Automat Sci &amp; Elect Engn, Beijing 100191, Peoples R China; [Zhang, Chao] Beihang Univ, Res Inst Frontier Sci, Beijing 100191, Peoples R China; [Zhang, Chao; Wang, Shaoping; Zhang, Yadong] Beihang Univ, Ningbo Inst Technol, Ningbo 315800, Peoples R China; [Dui, Hongyan] Zhengzhou Univ, Sch Management Engn, Zhengzhou 450001, Peoples R China</t>
  </si>
  <si>
    <t>Wang, SP (corresponding author), Beihang Univ, Sch Automat Sci &amp; Elect Engn, Beijing 100191, Peoples R China.;Wang, SP (corresponding author), Beihang Univ, Ningbo Inst Technol, Ningbo 315800, Peoples R China.</t>
  </si>
  <si>
    <t>Dui, Hongyan/0000-0002-2277-6454; ZHANG, Yadong/0000-0003-0133-9009</t>
  </si>
  <si>
    <t>National Natural Science Foundation of China [51875015, 51620105010, 72071182]</t>
  </si>
  <si>
    <t>The authors gratefully acknowledge the financial support for this research from the National Natural Science Foundation of China (Grant Nos. 51875015, 51620105010, and 72071182).</t>
  </si>
  <si>
    <t>10.1016/j.ress.2021.108070</t>
  </si>
  <si>
    <t>WOS:000708365800009</t>
  </si>
  <si>
    <t>Sánchez-Herguedas, A; Mena-Nieto, A; Rodrigo-Muñoz, F</t>
  </si>
  <si>
    <t>Sanchez-Herguedas, Antonio; Mena-Nieto, Angel; Rodrigo-Munoz, Francisco</t>
  </si>
  <si>
    <t>A new analytical method to optimise the preventive maintenance interval by using a semi-Markov process and z-transform with an application to marine diesel engines</t>
  </si>
  <si>
    <t>Maintenance interval; Maintenance model; Semi-Markov process; Finite horizon; Maintenance cost</t>
  </si>
  <si>
    <t>SYSTEM; MODELS; POLICY; LIFE</t>
  </si>
  <si>
    <t>This article presents a novel method based on a semi-Markov process approach and the z transform to calculate the optimal time interval until the preventive maintenance intervention. For this, a mathematical expression that has its origin in the evolution of the maintenance cost of a patrol boat's propulsion engine is developed, represented mathematically by a system of difference equations. This method can be applied to all assets that are subject to wear, which are very common on industrial facilities. This mathematical expression for the preventive interval is a powerful tool for maintenance managers because this saves him from resorting to complicated mathematical methods. In addition to the proposed mathematical formula, the manager needs to know the assets' failure history data and the costs of maintenance interventions. These data are usually available, making their practical application fast and easy to develop. Due to the method being analytical, it could also serve as an excellent decision support tool. It can be applied to the desired time horizon guaranteeing the obtention of the optimal interval. In many other cases, applying the model can simplify the process of obtaining the asset maintenance programme, from an economic perspective.</t>
  </si>
  <si>
    <t>[Sanchez-Herguedas, Antonio] Univ Seville, Sch Engn, Dept Ind Management, Camino Descubrimientos S-N, Seville 41092, Spain; [Mena-Nieto, Angel] Univ Huelva, Dept Elect &amp; Thermal Engn Design &amp; Projects, Sch Engn, Campus Carmen, Huelva 21819, Spain; [Rodrigo-Munoz, Francisco] Univ Seville, Sch Engn, Dept Appl Math 2, Camino Descubrimientos S-N, Seville 41092, Spain</t>
  </si>
  <si>
    <t>University of Sevilla; Universidad de Huelva; University of Sevilla</t>
  </si>
  <si>
    <t>Mena-Nieto, A (corresponding author), Univ Huelva, Dept Elect &amp; Thermal Engn Design &amp; Projects, Sch Engn, Campus Carmen, Huelva 21819, Spain.</t>
  </si>
  <si>
    <t>antoniosh@us.es; mena@uhu.es; frodrigo@us.es</t>
  </si>
  <si>
    <t>Mena-Nieto (3 sexenios), Angel/F-1754-2013; Sanchez Herguedas, Antonio Jesus/AAA-9367-2019</t>
  </si>
  <si>
    <t>Mena-Nieto (3 sexenios), Angel/0000-0002-0828-0612; Sanchez Herguedas, Antonio Jesus/0000-0001-5135-3250</t>
  </si>
  <si>
    <t>10.1016/j.ress.2020.107394</t>
  </si>
  <si>
    <t>WOS:000606682100046</t>
  </si>
  <si>
    <t>Martorell, S; Marton, I; Sánchez, A; Carlos, S</t>
  </si>
  <si>
    <t>Martorell, S.; Marton, I; Sanchez, A.; Carlos, S.</t>
  </si>
  <si>
    <t>Harmonisation of surveillance requirements and maintenance in a context of ageing and obsolescence based on reliability, availability and risk information</t>
  </si>
  <si>
    <t>Testing and maintenance; Ageing; Obsolescence; Risk-informed; Decision-making; Optimisation</t>
  </si>
  <si>
    <t>DEPENDENT UNAVAILABILITY; ADDRESSING MODEL; OPTIMIZATION; SENSITIVITY; EQUIPMENT; IMPACT</t>
  </si>
  <si>
    <t>This paper contains the fundamentals and a comparison of different alternatives in the context of risk-informed surveillance requirements that consider the full effects of implementing the maintenance rule. A case study is included to demonstrate the performance of the different alternatives, which focus on a motor-operated valve and make use of an Ageing PRA to quantify the effect of component ageing, test and maintenance effectiveness on equipment RAM and its impact on risk. The results show that the alternative that simultaneously harmonises surveillance requirements and maintenance activities provides the best results in terms of RAM and risk in a context of equipment ageing and obsolescence. However, they also show that measures other than simply readjusting surveillance testing and maintenance intervals should be explored in case of technical obsolescence, as this has a strong impact on maintenance effectiveness, which may require, for example, an obsolescence management program to be applied.</t>
  </si>
  <si>
    <t>[Martorell, S.; Marton, I; Carlos, S.] Univ Politecn Valencia, Dept Chem &amp; Nucl Engn, MEDASEGI Res Grp, Valencia, Spain; [Sanchez, A.] Univ Politecn Valencia, Dept Stat &amp; Operat Res, MEDASEGI Res Grp, Valencia, Spain</t>
  </si>
  <si>
    <t>Universitat Politecnica de Valencia; Universitat Politecnica de Valencia</t>
  </si>
  <si>
    <t>Martorell, S (corresponding author), Univ Politecn Valencia, Dept Chem &amp; Nucl Engn, MEDASEGI Res Grp, Valencia, Spain.</t>
  </si>
  <si>
    <t>smartore@iqn.upv.es</t>
  </si>
  <si>
    <t>Sanchez, Ana Isabel/G-2972-2016; Marton, Isabel/P-1929-2016; MARTORELL, SEBASTIAN/ABD-4388-2021</t>
  </si>
  <si>
    <t>Sanchez, Ana Isabel/0000-0002-3159-8020; Marton, Isabel/0000-0001-6955-3912; MARTORELL, SEBASTIAN/0000-0003-1706-4740</t>
  </si>
  <si>
    <t>Spanish Ministry of Science and Innovation [ENE2016-80401-R, BES-2014067602]; Spanish Research Agency; European Regional Development Fund</t>
  </si>
  <si>
    <t>Spanish Ministry of Science and Innovation(Ministry of Science and Innovation, Spain (MICINN)Spanish Government); Spanish Research Agency(Spanish Government); European Regional Development Fund(European Union (EU))</t>
  </si>
  <si>
    <t>The authors are grateful to the Spanish Ministry of Science and Innovation for the financial support received (Research Project ENE2016-80401-R) and the Doctoral Scholarship awarded (BES-2014067602). The study also received financial support from the Spanish Research Agency and the European Regional Development Fund.</t>
  </si>
  <si>
    <t>10.1016/j.ress.2020.106992</t>
  </si>
  <si>
    <t>WOS:000564277900009</t>
  </si>
  <si>
    <t>Barde, S</t>
  </si>
  <si>
    <t>Barde, Stephane</t>
  </si>
  <si>
    <t>Efficient opportunistic maintenance strategies via pruning in parallel-series systems with economic dependence</t>
  </si>
  <si>
    <t>Opportunistic maintenance; Parallel-series system; Markov decision process; Hazard function; Curse of dimension; Pruning</t>
  </si>
  <si>
    <t>OPTIMIZATION; INSPECTION; POLICIES</t>
  </si>
  <si>
    <t>Opportunistic maintenance stands out as an effective strategy for minimizing maintenance costs and enhancing system efficiency. Despite its importance, current opportunistic maintenance models are often tailored to specific system types, particularly those with series structures, or they offer heuristic approaches for multi- component redundant systems. This paper shifts focus to the most common of such systems, the parallel-series system. We approach the optimization of opportunistic maintenance in a parallel-series system through a Markov Decision Process framework, utilizing phase-type approximations of individual component hazard functions. Addressing the challenge of the curse of dimensionality in the action space, this study conducts a thorough structural analysis of the optimal opportunistic maintenance policy, deriving a pruning procedure, which can reduce the extensive combinatorial action space into a more manageable linear complexity without sacrificing the strategy's effectiveness in parallel-series systems. Building on this more manageable action space, we introduce a more efficient algorithm leveraging the proposed pruning procedure for determining the optimal opportunistic maintenance policy. The effectiveness and practical applicability of this approach are rigorously demonstrated through comprehensive numerical experiments.</t>
  </si>
  <si>
    <t>[Barde, Stephane] Hanyang Univ ERICA, Dept Ind &amp; Management Engn, 55 Hanyangdaehak Ro, Ansan 15588, Gyeonggi Do, South Korea</t>
  </si>
  <si>
    <t>Hanyang University</t>
  </si>
  <si>
    <t>Barde, S (corresponding author), Hanyang Univ ERICA, Dept Ind &amp; Management Engn, 55 Hanyangdaehak Ro, Ansan 15588, Gyeonggi Do, South Korea.</t>
  </si>
  <si>
    <t>sbarde@hanyang.ac.kr</t>
  </si>
  <si>
    <t>Barde, Stephane/ITT-8399-2023</t>
  </si>
  <si>
    <t>Barde, Stephane/0000-0001-5723-9037</t>
  </si>
  <si>
    <t>Hanyang University, South Korea [HY-2023-0528]</t>
  </si>
  <si>
    <t>Hanyang University, South Korea</t>
  </si>
  <si>
    <t>This work was supported by the research fund of Hanyang University, South Korea (HY-2023-0528) . The author would like to thank the editor and the anonymous reviewers for their helpful comments and suggestions on earlier versions of the manuscript.</t>
  </si>
  <si>
    <t>10.1016/j.cie.2024.110451</t>
  </si>
  <si>
    <t>D0P3Z</t>
  </si>
  <si>
    <t>WOS:001293289000001</t>
  </si>
  <si>
    <t>Diaz, E; Muñoz-Añasco, M; Salvador, AC; García, E</t>
  </si>
  <si>
    <t>Diaz, Ermilso; Munoz-Anasco, Mariela; Salvador, Antonio Correcher; Garcia, Emilio</t>
  </si>
  <si>
    <t>Simulation model for the study of maintenance actions in a homogeneous multi-unit system of interchangeable components, with cannibalization</t>
  </si>
  <si>
    <t>Simulation model; Petri nets; Decision-making; Cannibalization; Maintenance transients</t>
  </si>
  <si>
    <t>OPTIMIZATION; PERFORMANCE; SELECTION; POLICIES; REPAIR; SPARES</t>
  </si>
  <si>
    <t>Multi-unit systems pose logistical challenges in maintenance management, as finding a balance between availability and profitability is necessary. Choosing an appropriate maintenance policy can improve the use of available resources. The inclusion of cannibalization policies can offer greater responsiveness to spare part shortages. However, studying the effects of applying these policies in an existing system is only sometimes feasible. In this sense, simulation is presented as a valuable tool to investigate and understand these effects in a way that would not be possible. This article presents a simulation model to analyze different maintenance policies, including cannibalization, applied to a homogeneous multi-unit system of interchangeable components. The results show that even when problems arise in the supply chain of critical spare parts for the units, it is possible to maintain an acceptable availability rate through the implementation of cannibalization policies, which leads to an improvement in the operational availability of the units. Finally, the simulation tool also revealed advantages in describing transients of response to maintenance activities, which provides a complete understanding of how the system behaves in different situations.</t>
  </si>
  <si>
    <t>[Diaz, Ermilso; Munoz-Anasco, Mariela] Univ Cauca, St 5 4-70, Cauca 190001, Popayan, Colombia; [Salvador, Antonio Correcher; Garcia, Emilio] Univ Politecn Valencia, Valencia 46022, Valencian Commu, Spain</t>
  </si>
  <si>
    <t>Universidad del Cauca; Universitat Politecnica de Valencia</t>
  </si>
  <si>
    <t>Diaz, E (corresponding author), Univ Cauca, St 5 4-70, Cauca 190001, Popayan, Colombia.</t>
  </si>
  <si>
    <t>ediaz@unicauca.edu.co</t>
  </si>
  <si>
    <t>; Munoz Anasco, Doyra Mariela/AAG-3270-2021; Correcher, Antonio/L-7114-2014</t>
  </si>
  <si>
    <t>Diaz, Ermilso/0000-0001-7190-8890; Munoz Anasco, Doyra Mariela/0000-0003-4392-947X; Correcher, Antonio/0000-0002-2443-9857</t>
  </si>
  <si>
    <t>Ministry of Science, Technology, and Innovation of Colombia</t>
  </si>
  <si>
    <t>This work was carried out with the support of the Ministry of Science, Technology, and Innovation of Colombia through the call for national doctorates.</t>
  </si>
  <si>
    <t>10.1016/j.ress.2023.109532</t>
  </si>
  <si>
    <t>R1SF2</t>
  </si>
  <si>
    <t>WOS:001062202100001</t>
  </si>
  <si>
    <t>Zhao, X; He, ZD; Wu, YG; Qiu, QG</t>
  </si>
  <si>
    <t>Zhao, Xian; He, Zongda; Wu, Yaguang; Qiu, Qingan</t>
  </si>
  <si>
    <t>Joint optimization of condition-based performance control and maintenance policies for mission-critical systems</t>
  </si>
  <si>
    <t>Mission-critical system; Preventive maintenance; Performance level; Condition monitoring; Markov decision process (MDP)</t>
  </si>
  <si>
    <t>INTEGRATED PRODUCTION; SINGLE-MACHINE; RELIABILITY; SUBJECT; MODEL; BENEFITS</t>
  </si>
  <si>
    <t>The failure behavior of mission-critical systems typically depends on their performance levels, which provides opportunities to control deterioration by adjusting the performance levels. In addition to performance level selection, preventive maintenance decision is another factor affecting system survivability and mission success probability, providing a new train of thought for joint optimization of preventive maintenance and performance control for effective risk control of mission-critical systems. In existing research, mission-based maintenance and performance control decisions are seldom considered. This paper focuses on mission-critical systems and investigates the joint optimization of maintenance and performance control policies to balance mission success probability and system survivability based on the workload and system state. The problem is formulated as a Markov decision process and structural properties are analyzed to determine the optimal maintenance and performance control policies. The maintenance strategies exhibit a threshold structure, which strongly depends on the relationship between the performance level and the degradation process. For the purpose of comparison, the performance of several heuristic strategies is analytically evaluated. The example of the data transmission satellite network is given to demonstrate the superiority of the proposed strategies in reducing operations costs.</t>
  </si>
  <si>
    <t>[Zhao, Xian; He, Zongda; Wu, Yaguang; Qiu, Qingan] Beijing Inst Technol, Sch Management &amp; Econ, Beijing, Peoples R China</t>
  </si>
  <si>
    <t>qinganqiu@bit.edu.cn</t>
  </si>
  <si>
    <t>National Natural Science Foundation of China [72131002, 71971026, 72001026]; Science and Technology Innovation Project of Beijing Institute of Technology [2021CX01022]</t>
  </si>
  <si>
    <t>National Natural Science Foundation of China(National Natural Science Foundation of China (NSFC)); Science and Technology Innovation Project of Beijing Institute of Technology</t>
  </si>
  <si>
    <t>The authors are grateful to the editor and reviewers for their constructive suggestion which greatly improves the paper. This research is supported by National Natural Science Foundation of China (72131002, 71971026 and 72001026) and Science and Technology Innovation Project of Beijing Institute of Technology (2021CX01022).</t>
  </si>
  <si>
    <t>10.1016/j.ress.2022.108655</t>
  </si>
  <si>
    <t>WOS:000821966900006</t>
  </si>
  <si>
    <t>Chang, FT; Zhou, GH; Cheng, W; Zhang, C; Tian, CL</t>
  </si>
  <si>
    <t>Chang, Fengtian; Zhou, Guanghui; Cheng, Wei; Zhang, Chao; Tian, Changle</t>
  </si>
  <si>
    <t>A service-oriented multi-player maintenance grouping strategy for complex multi-component system based on game theory</t>
  </si>
  <si>
    <t>Smart product service system; Maintenance grouping strategy; Performance-based maintenance; Proactive services; Stackelberg-Nash game</t>
  </si>
  <si>
    <t>OPTIMIZATION; CONFIGURATION; PROGNOSTICS; MANAGEMENT; DESIGN</t>
  </si>
  <si>
    <t>The development of smart product service system (PSS) urges the emergence of service-oriented maintenance grouping strategy for complex multi-component system. This strategy is designed from the data-driven performance-based service manner where the proactive original equipment manufacturer (OEM) and service providers are both involved. In this situation, the traditional maintenance grouping methods are incapable to determine the optimal grouping service time for each exactor due to the little consideration from their interaction relations in the grouping process. Thus, this paper proposes one OEM and multiple service provider's multi-player maintenance grouping strategy. It is constructed from the multi-objective Stackelberg-Nash game model where the OEM is the upper-level leader and all the involved service providers are the lower-level followers. The serviced components, service time and paid prices are considered firstly by the leader. After that, the followers could compete to select the remaining serviced components and service time. In order to obtain the Stackelberg-Nash equilibrium solution, the bi-level nested parallel solution algorithm with the improved multi-fitness functions is also developed. Finally, a numerical example from wind turbine is studied. The evaluation and comparison results show that our method could provide a feasible and effective maintenance grouping strategy for each player under smart PSS.</t>
  </si>
  <si>
    <t>[Chang, Fengtian; Zhou, Guanghui; Cheng, Wei; Zhang, Chao; Tian, Changle] Xi An Jiao Tong Univ, Sch Mech Engn, 28 Xianning West Rd, Xian 710049, Shaanxi, Peoples R China; [Zhou, Guanghui] Xi An Jiao Tong Univ, State Key Lab Mfg Syst Engn, Xian 710049, Shaanxi, Peoples R China</t>
  </si>
  <si>
    <t>Xi'an Jiaotong University; Xi'an Jiaotong University</t>
  </si>
  <si>
    <t>Zhou, GH (corresponding author), Xi An Jiao Tong Univ, Sch Mech Engn, 28 Xianning West Rd, Xian 710049, Shaanxi, Peoples R China.</t>
  </si>
  <si>
    <t>Cheng, Wei/ABB-2346-2020</t>
  </si>
  <si>
    <t>program for New Century Excellent Talents in University of ministry of Education of China [NCET-12-0452]; Intelligent Manufacturing Project of Ministry of Industry and Information Technology of China (Application of a new intelligent manufacturing mode of complex power equipment)</t>
  </si>
  <si>
    <t>program for New Century Excellent Talents in University of ministry of Education of China(Program for New Century Excellent Talents in University (NCET)); Intelligent Manufacturing Project of Ministry of Industry and Information Technology of China (Application of a new intelligent manufacturing mode of complex power equipment)</t>
  </si>
  <si>
    <t>This work was supported by the program for New Century Excellent Talents in University of ministry of Education of China under Grant number NCET-12-0452; and Intelligent Manufacturing Project of Ministry of Industry and Information Technology of China (Application of a new intelligent manufacturing mode of complex power equipment).</t>
  </si>
  <si>
    <t>10.1016/j.aei.2019.100970</t>
  </si>
  <si>
    <t>JU0SH</t>
  </si>
  <si>
    <t>WOS:000501389000013</t>
  </si>
  <si>
    <t>Zhang, WY; Zhang, XH; He, SG; Zhao, X; He, Z</t>
  </si>
  <si>
    <t>Zhang, Wenyu; Zhang, Xiaohong; He, Shuguang; Zhao, Xing; He, Zhen</t>
  </si>
  <si>
    <t>Optimal condition-based maintenance policy for multi-component repairable systems with economic dependence in a finite-horizon</t>
  </si>
  <si>
    <t>Multi -component repairable systems; Condition -based opportunistic maintenance; Economic dependence; Finite time horizon; Degradation state space division method</t>
  </si>
  <si>
    <t>OPPORTUNISTIC MAINTENANCE; LIFE-CYCLE; DEGRADATION; MODELS; OPTIMIZATION; COST; RELIABILITY; SUBJECT</t>
  </si>
  <si>
    <t>Industrial production entails using numerous multi-component repairable systems (MCRS), and the reliability of these systems is often affected by a varying level of degradation. To maintain the reliability of degraded systems, engineers usually perform inspections and preventive maintenance programs. Existing maintenance optimization research mainly relies on renewal theories and typically overlooks component repairability. However, incorporating component repairability makes identifying renewal cycles challenging over an infinite time horizon. Although several studies have evaluated maintenance costs within a finite time horizon, most of them applied TBM strategies or simply focused on single-component systems. Therefore, we perform maintenance modeling for MCRS within a finite time horizon. First, for MCRS with economic dependence, we propose a hybrid condition-based opportunistic maintenance (CBOM) strategy. The effect pertaining to the imperfect maintenance of a component is considered in the modeling. Second, a degradation-state space-division (DSSD) method is proposed, along with a maintenance decision model that minimizes the total cost within a finite time horizon. Finally, the optimal solution is achieved using a genetic algorithm, and a numerical example is presented to validate the proposed model.</t>
  </si>
  <si>
    <t>[Zhang, Wenyu; He, Shuguang; Zhao, Xing; He, Zhen] Tianjin Univ, Coll Management &amp; Econ, Tianjin 300072, Peoples R China; [Zhang, Xiaohong] Taiyuan Univ Sci &amp; Technol, Div Ind &amp; Syst Engn, Taiyuan 030024, Peoples R China</t>
  </si>
  <si>
    <t>wy_zhang@tju.edu.cn; zhangxiaohong1111@126.com; shuguanghe@tju.edu.cn; 1037758637@qq.com; zhhe@tju.edu.cn</t>
  </si>
  <si>
    <t>The authors would like to thank the editor and the reviewers for their insightful comments and suggestions. This work was financially sup- ported by the National Natural Science Foundation of China [Grant No. 72032005, 72231005] .</t>
  </si>
  <si>
    <t>10.1016/j.ress.2023.109612</t>
  </si>
  <si>
    <t>T1NY4</t>
  </si>
  <si>
    <t>WOS:001075734600001</t>
  </si>
  <si>
    <t>Chaimankong, B; Chetthamrongchai, P</t>
  </si>
  <si>
    <t>Chaimankong, Benjarut; Chetthamrongchai, Paitoon</t>
  </si>
  <si>
    <t>Optimization of Renewable Warranty by Considering System Reliability and Preventive Maintenance and Repairs</t>
  </si>
  <si>
    <t>Genetic Algorithm; Maintenance and Repair; Renewable System; Reliability; Warranty</t>
  </si>
  <si>
    <t>REPLACEMENT; SUBJECT; MODELS; POLICY; TIME</t>
  </si>
  <si>
    <t>One of the effective ways to ensure the reliability of the product sold is to consider service and warranty contracts. Important decision variables in warranty policies include determining the optimal warranty period and the optimal number of maintenance activities. In this research, a model has been developed with the aim of achieving the lowest expected cost rate in the life of the device and the appropriate reliability by performing the optimal number of preventive maintenance measures. The warranty policy in this study is renewable in two dimensions, in which two dimensions of repair time and failure time are considered. Any damage leading to repair is done free of charge by the manufacturer and damage leading to replacement is done jointly between the manufacturer and the consumer by agreement. As a result, two algorithms of Genetic and Imperialist Competitive Algorithm have been developed to solve the model and have been compared with numerical example solving. Furthermore, the shelfs life of the system and the number of optimal repair and maintenance measures for maintaining reliability required by the buyer were obtained.</t>
  </si>
  <si>
    <t>[Chaimankong, Benjarut; Chetthamrongchai, Paitoon] Kasetsart Univ, Fac Business Adm, Bangkok, Thailand</t>
  </si>
  <si>
    <t>Kasetsart University</t>
  </si>
  <si>
    <t>Chetthamrongchai, P (corresponding author), Kasetsart Univ, Fac Business Adm, Bangkok, Thailand.</t>
  </si>
  <si>
    <t>fbusptc@ku.ac.th</t>
  </si>
  <si>
    <t>10.7232/iems.2022.21.2.390</t>
  </si>
  <si>
    <t>3F5IQ</t>
  </si>
  <si>
    <t>WOS:000830703200020</t>
  </si>
  <si>
    <t>Li, YP; Chen, Z; Xia, TB; Pan, ES; Liu, SF</t>
  </si>
  <si>
    <t>Li, Yaping; Chen, Zhen; Xia, Tangbin; Pan, Ershun; Liu, Sifeng</t>
  </si>
  <si>
    <t>Integrated optimization for X-bar control chart, preventive maintenance and production rate</t>
  </si>
  <si>
    <t>X -bar control chart; Preventive maintenance; Production rate; Integrated optimization model</t>
  </si>
  <si>
    <t>STATISTICAL PROCESS-CONTROL; ECONOMIC DESIGN; MODEL; REPLACEMENT; POLICIES; SYSTEMS</t>
  </si>
  <si>
    <t>There are close relationships among statistical process control, maintenance, and production that have not fully explored in existing studies. In this study, we propose an economic model for jointly optimizing the X-bar control chart, preventive maintenance, and production rate. Unlike conventional studies relying on known failure rate functions, we employ a Gamma process to describe the system's deterioration. This approach allows us to consider not only the relationship between the production rate and the deterioration rate but also a broad range of deterioration scenarios and failure modes in the integrated optimization. After calculating the failure probability at each time point, we propose a recursive method to derive the production revenue, process control costs, and quality losses. This approach explores the close inner relationship between the production rate, deterioration, process monitoring and maintenance. Subsequently, we establish an optimization model aimed at maximizing the profit rate within a renewal cycle. The decision variables of this model include the production rate, control chart coefficient, sample size, length of the first sampling interval, and number of sampling intervals. Finally, we use a case study to illustrate the effectiveness and validity of our proposed model by identifying and explaining the interactions between production rate, deterioration, process control and maintenance.</t>
  </si>
  <si>
    <t>[Li, Yaping] Nanjing Forestry Univ, Coll Econ &amp; Management, Nanjing, Peoples R China; [Chen, Zhen; Xia, Tangbin; Pan, Ershun] Shanghai Jiao Tong Univ, Sch Mech Engn, State Key Lab Mech Syst &amp; Vibrat, Shanghai, Peoples R China; [Liu, Sifeng] Nanjing Univ Aeronaut &amp; Astronaut, Inst Grey Syst, Nanjing, Peoples R China; [Liu, Sifeng] Northwestern Polytech Univ, Sch Management, Xian, Peoples R China</t>
  </si>
  <si>
    <t>Nanjing Forestry University; Shanghai Jiao Tong University; Nanjing University of Aeronautics &amp; Astronautics; Northwestern Polytechnical University</t>
  </si>
  <si>
    <t>National Natural Science Foundation of China [72171120, 72001138, 72071111]; Qing Lan Project of Jiangsu Province in China</t>
  </si>
  <si>
    <t>National Natural Science Foundation of China(National Natural Science Foundation of China (NSFC)); Qing Lan Project of Jiangsu Province in China</t>
  </si>
  <si>
    <t>This work is supported by the National Natural Science Foundation of China (72171120, 72001138, 72071111) , and Qing Lan Project of Jiangsu Province in China (2021) . The authors are also thankful to the editor and the anonymous reviewers for their valuable comments and suggestions.</t>
  </si>
  <si>
    <t>10.1016/j.ress.2024.110498</t>
  </si>
  <si>
    <t>G7F3F</t>
  </si>
  <si>
    <t>WOS:001318246600001</t>
  </si>
  <si>
    <t>Dui, H; Zhang, YL; Bai, GH</t>
  </si>
  <si>
    <t>Dui, Hongyan; Zhang, Yulu; Bai, Guanghan</t>
  </si>
  <si>
    <t>Analysis of variable system cost and maintenance strategy in life cycle considering different failure modes</t>
  </si>
  <si>
    <t>System reliability; Maintenance strategy; Cost analysis; Failure modes; Life cycle</t>
  </si>
  <si>
    <t>Due to the complexity of multi-component systems, components failure modes are intricate. The failure modes lead to maintenance behavior combinations, which lead to a series of maintenance strategies. However, the failure modes of components are mixed in multi-component systems. Few researchers provide component failure modes comprehensively in life cycle, and integrate them into life cycle maintenance strategies for the selection schemes of different phases. In this paper, a variable system cost methodology in life cycle is studied, and maintenance strategies are developed by identifying components failure modes from a life cycle perspective to improve system reliability. One of the keys is determining maintenance behaviors for components in each phase of life cycle. The proposed four failure modes cover all possible failure scenarios of the components in different phases. Then, a selection scheme is developed to determine maintenance behaviors in life cycle. At last, a case of Huaneng wind farm in China is given to demonstrate the proposed method by comparing with a baseline maintenance strategy.</t>
  </si>
  <si>
    <t>[Dui, Hongyan; Zhang, Yulu] Zhengzhou Univ, Sch Management, Zhengzhou 450001, Peoples R China; [Bai, Guanghan] Natl Univ Def Technol, Coll Intelligence Sci &amp; Technol, Lab Sci &amp; Technol Integrated Logist Support, Changsha 410073, Peoples R China</t>
  </si>
  <si>
    <t>Bai, GH (corresponding author), Natl Univ Def Technol, Coll Intelligence Sci &amp; Technol, Lab Sci &amp; Technol Integrated Logist Support, Changsha 410073, Peoples R China.</t>
  </si>
  <si>
    <t>baiguanghan@nudt.edu.cn</t>
  </si>
  <si>
    <t>National Natural Science Foundation of China [72071182, 72271242]; Hunan Provincial Natural Science Foundation of China for Excellent Young Scholars [2022JJ20046]</t>
  </si>
  <si>
    <t>National Natural Science Foundation of China(National Natural Science Foundation of China (NSFC)); Hunan Provincial Natural Science Foundation of China for Excellent Young Scholars</t>
  </si>
  <si>
    <t>The authors gratefully acknowledge the financial support for this research from the National Natural Science Foundation of China (Nos. 72071182, 72271242) , and Hunan Provincial Natural Science Foundation of China for Excellent Young Scholars (No. 2022JJ20046) .</t>
  </si>
  <si>
    <t>10.1016/j.ress.2023.109824</t>
  </si>
  <si>
    <t>CL8N0</t>
  </si>
  <si>
    <t>WOS:001125498500001</t>
  </si>
  <si>
    <t>Fauriat, W; Zio, E</t>
  </si>
  <si>
    <t>Fauriat, William; Zio, Enrico</t>
  </si>
  <si>
    <t>Optimization of an aperiodic sequential inspection and condition-based maintenance policy driven by value of information</t>
  </si>
  <si>
    <t>Value of information; Condition-Based maintenance; Inspection planning; Maintenance optimization; Sequential decision-making; Renewal theory; Imperfect information</t>
  </si>
  <si>
    <t>RELIABILITY; DECISIONS</t>
  </si>
  <si>
    <t>The issue of the optimal planning of inspection and maintenance actions for a randomly deteriorating system constitutes a difficult sequential decision-making problem in which the objective is generally to achieve minimal life-cycle cost. For mathematical tractability, most approaches rely either on the consideration of specific maintenance strategies, e.g. Periodic Inspection and Replacement (PIR), whose defining parameters are optimized, or on time-and-space-state discretization using Markov Decision Process (MDP) models and resolution through policy iteration. In both cases, optimality may be hard to guarantee. In this paper, the decision-theoretic concept of Value of Information (VoI) is used as a metric to guide resource prioritization in time, that is, to schedule inspections in a piecewise optimal manner. An aperiodic sequential inspection policy is proposed, where the determination of the next best time for inspection, or replacement, is based on the current condition and on the computed expected gain from possible inspections, i.e. on a VoI metric. This policy can be implemented when the current condition is known from imperfect inspection or processing of condition-monitoring data. Also, more generally, a discussion is proposed on the use of VoI as a guide for information collection in life-cycle management.</t>
  </si>
  <si>
    <t>[Fauriat, William] Univ Paris Saclay, Lab Genie Ind, Cent Supelec, Gif Sur Yvette, France; [Zio, Enrico] PSL Univ, Ctr Res Risk &amp; Crisis CRC, Mines ParisTech, Sophia Antipolis, France; [Zio, Enrico] Politecn Milan, Energy Dept, Milan, Italy</t>
  </si>
  <si>
    <t>Universite Paris Saclay; Universite PSL; MINES ParisTech; Polytechnic University of Milan</t>
  </si>
  <si>
    <t>Fauriat, W (corresponding author), Univ Paris Saclay, Lab Genie Ind, Cent Supelec, Gif Sur Yvette, France.</t>
  </si>
  <si>
    <t>william.fauriat@centralesupelec.fr; enrico.zio@polimi.it</t>
  </si>
  <si>
    <t>10.1016/j.ress.2020.107133</t>
  </si>
  <si>
    <t>Green Submitted, Bronze</t>
  </si>
  <si>
    <t>WOS:000583913400021</t>
  </si>
  <si>
    <t>Cui, PH; Wang, JQ; Li, Y</t>
  </si>
  <si>
    <t>Cui, Peng-Hao; Wang, Jun-Qiang; Li, Yang</t>
  </si>
  <si>
    <t>Data-driven modelling, analysis and improvement of multistage production systems with predictive maintenance and product quality</t>
  </si>
  <si>
    <t>Predictive maintenance; product quality; performance evaluation; data-driven model; production systems with batching machine</t>
  </si>
  <si>
    <t>INTEGRATED PRODUCTION; PRODUCTION LINES; JOINT PRODUCTION; NETWORKS</t>
  </si>
  <si>
    <t>Predictive maintenance (PM) and quality management help to improve the business bottom line by alleviating the system performance degradation caused by unscheduled machine breakdown and product quality problems. In modern production systems, the wide application of new IT technology results in data-rich environments. However, it is not clear how to take advantage of the data to facilitate maintenance decision-making and production performance improvement. Aiming at multistage production systems with batching machines and finite buffers, this research studies data-driven modelling, analysis and improvement of production systems with predictive maintenance and product quality. First, a data-driven quantitative method is proposed to analyze the impact of machine breakdowns, predictive maintenance and product quality failure on system performance. Then, based on the obtained system production loss, a PM decision model is established to minimise the maintenance and production costs, and the optimal maintenance policy is exploited based on an approximate dynamic programming algorithm. In addition, downtime bottleneck (DT-BN) is defined, and a data-driven bottleneck indicator is derived. A continuous improvement method is established through the identification and mitigation of the bottlenecks. Finally, numerical case studies are performed to validate the effectiveness of the proposed PM decision model and continuous improvement method.</t>
  </si>
  <si>
    <t>[Cui, Peng-Hao; Wang, Jun-Qiang; Li, Yang] Northwestern Polytech Univ, Performance Anal Ctr Prod &amp; Operat Syst PacPos, Xian 710072, Peoples R China; [Cui, Peng-Hao; Wang, Jun-Qiang; Li, Yang] Northwestern Polytech Univ, Sch Mech Engn, Dept Ind Engn, Xian 710072, Peoples R China</t>
  </si>
  <si>
    <t>Northwestern Polytechnical University; Northwestern Polytechnical University</t>
  </si>
  <si>
    <t>Li, Y (corresponding author), Northwestern Polytech Univ, Performance Anal Ctr Prod &amp; Operat Syst PacPos, Xian 710072, Peoples R China.;Li, Y (corresponding author), Northwestern Polytech Univ, Sch Mech Engn, Dept Ind Engn, Xian 710072, Peoples R China.</t>
  </si>
  <si>
    <t>pacpos.yli@gmail.com</t>
  </si>
  <si>
    <t>Wang, Jun-Qiang/D-6487-2013</t>
  </si>
  <si>
    <t>Wang, Jun-Qiang/0000-0001-5244-6483; Li, Yang/0000-0002-7127-9905</t>
  </si>
  <si>
    <t>National Key R&amp;D Programme of China [2019YFB1703800]; National Natural Science Foundation of China [52075453, 71931007]; Aeronautical Science Foundation of China [2019ZG053001]</t>
  </si>
  <si>
    <t>National Key R&amp;D Programme of China; National Natural Science Foundation of China(National Natural Science Foundation of China (NSFC)); Aeronautical Science Foundation of China</t>
  </si>
  <si>
    <t>This research was supported in part by the National Key R&amp;D Programme of China [grant number 2019YFB1703800], and in part by the National Natural Science Foundation of China [grant numbers 52075453, 71931007], and in part by Aeronautical Science Foundation of China [grant number 2019ZG053001].</t>
  </si>
  <si>
    <t>NOV 17</t>
  </si>
  <si>
    <t>10.1080/00207543.2021.1962558</t>
  </si>
  <si>
    <t>6C2MZ</t>
  </si>
  <si>
    <t>WOS:000693291200001</t>
  </si>
  <si>
    <t>Jia, CZ; Zhang, C</t>
  </si>
  <si>
    <t>Jia, Chuanzhou; Zhang, Chi</t>
  </si>
  <si>
    <t>Joint optimization of maintenance planning and workforce routing for a geographically distributed networked infrastructure</t>
  </si>
  <si>
    <t>Joint optimization; maintenance planning; workforce routing; critical infrastructure; geographically distributed network</t>
  </si>
  <si>
    <t>MULTIOBJECTIVE OPTIMIZATION; INTENTIONAL ATTACKS; SCHEDULING PROBLEMS; MULTISTATE SYSTEMS; RELIABILITY; MODEL; RESTORATION; ALGORITHMS; DECISIONS; POLICIES</t>
  </si>
  <si>
    <t>It is paramount to perform timely and appropriate maintenance actions on networked infrastructures, such as power transmission, transportation, telecommunications, and so forth, in order to ensure their reliability in satisfying the prescribed demand required by the economic development and social well-being of a society. For this purpose, the time of travelling between the components to be maintained needs to be considered, as the components of a real-world infrastructure are usually geographically widely distributed. To address this problem, we propose a holistic bi-objective optimization approach for the joint optimization of maintenance planning and workforce routing for a networked infrastructure, in order to determine a practical maintenance plan that can simultaneously maximize its reliability and minimize the incurred cost. To deal with the complexity of the proposed problem, we develop a Two-level Pareto Simulated Annealing algorithm to approximate the Pareto-optimal solutions of the proposed problem. Finally, two numerical examples are employed to illustrate the ability of the proposed approach in dealing with the maintenance optimization problem of a geographically distributed networked infrastructure.</t>
  </si>
  <si>
    <t>[Jia, Chuanzhou] Tsinghua Univ, Dept Ind Engn, Beijing, Peoples R China; [Zhang, Chi] Beijing Univ Technol, Sch Econ &amp; Management, Beijing, Peoples R China</t>
  </si>
  <si>
    <t>Zhang, C (corresponding author), Beijing Univ Technol, Sch Econ &amp; Management, Beijing, Peoples R China.</t>
  </si>
  <si>
    <t>National Natural Science Foundation of China [71871125, 71731008]</t>
  </si>
  <si>
    <t>The authors gratefully acknowledge support from the National Natural Science Foundation of China under Grants 71871125 and 71731008.</t>
  </si>
  <si>
    <t>JUL 2</t>
  </si>
  <si>
    <t>10.1080/24725854.2019.1647478</t>
  </si>
  <si>
    <t>SEP 2019</t>
  </si>
  <si>
    <t>LH6ZW</t>
  </si>
  <si>
    <t>WOS:000485850400001</t>
  </si>
  <si>
    <t>Zheng, MM; Ye, HQ; Wang, D; Pan, ES</t>
  </si>
  <si>
    <t>Zheng, Meimei; Ye, Hongqing; Wang, Dong; Pan, Ershun</t>
  </si>
  <si>
    <t>Joint Optimization of Condition-Based Maintenance and Spare Parts Orders for Multi-Unit Systems with Dual Sourcing</t>
  </si>
  <si>
    <t>Condition-based maintenance; Dual sourcing; Joint optimization; Markov decision process</t>
  </si>
  <si>
    <t>INVENTORY OPTIMIZATION; PROVISIONING POLICY; REPLACEMENT; MODELS; ALLOCATION; STRATEGY</t>
  </si>
  <si>
    <t>Efficient coordination of maintenance scheduling and spare parts management for critical components can reduce overall operational costs for companies. When sourcing spare parts from more than one supplier, planners can balance response times and prices provided by different suppliers to further reduce operational costs. We develop a joint condition-based maintenance and spare parts provisioning policy for a multi-unit system with dual sourcing. We use a Markov decision process to formulate the sequential-decision problem, which considers degradation states of multiple components and spare parts inventory information from two suppliers. An exact value iteration algorithm is adopted to derive the optimal joint maintenance-and-ordering policy. Interestingly, we find that a replacement will be delayed to judge which component will be replaced first in a two-component system when the degradation level of one component approaches the level of the other one. Numerical results show that our proposed policy with dual sourcing can reduce the expected cost by as much as 42%, compared to the traditional (s, S) policy with single sourcing.</t>
  </si>
  <si>
    <t>[Zheng, Meimei; Ye, Hongqing; Wang, Dong; Pan, Ershun] Shanghai Jiao Tong Univ, Sch ME, Shanghai 200240, Peoples R China</t>
  </si>
  <si>
    <t>Zheng, MM (corresponding author), Shanghai Jiao Tong Univ, Sch ME, Shanghai 200240, Peoples R China.</t>
  </si>
  <si>
    <t>meimeizheng2009@gmail.com; y249271238@sjtu.edu.cn; dongwang4-c@sjtu.edu.cn; pes@sjtu.edu.cn</t>
  </si>
  <si>
    <t>Wang, Dong/K-6297-2019; Wang, Dong/AAB-1090-2022</t>
  </si>
  <si>
    <t>Wang, Dong/0000-0003-4872-4860</t>
  </si>
  <si>
    <t>National Natural Science Foundation of China [71802130, 51975355]</t>
  </si>
  <si>
    <t>The authors would like to acknowledge the funding sponsored by the National Natural Science Foundation of China under Grant #71802130 and #51975355.</t>
  </si>
  <si>
    <t>10.1016/j.ress.2021.107512</t>
  </si>
  <si>
    <t>WOS:000663909400020</t>
  </si>
  <si>
    <t>Jin, TD; Si, SB; Zhu, WJ</t>
  </si>
  <si>
    <t>Jin, Tongdan; Si, Shubin; Zhu, Wenjin</t>
  </si>
  <si>
    <t>Allocating redundancy, maintenance and spare parts for minimizing system cost under decentralized repairs</t>
  </si>
  <si>
    <t>system availability; installed base; decentralized repair; redundancy-maintenance-inventory model; superimposed renewal process</t>
  </si>
  <si>
    <t>PREVENTIVE MAINTENANCE; JOINT OPTIMIZATION; INVENTORY; RELIABILITY; CAPACITY; MULTIECHELON; DESIGN; MODELS; AVAILABILITY; REPLACEMENT</t>
  </si>
  <si>
    <t>Reliability-redundancy allocation, preventive maintenance, and spare parts logistics are crucial for achieving system reliability and availability goal. Existing methods often concentrate on specific scopes of the system's lifetime. This paper proposes a joint redundancy-maintenance-inventory allocation model that simultaneously optimizes redundant component, replacement time, spares stocking, and repair capacity. Under reliability and availability criteria, our objective is to minimize the system's lifetime cost, including design, manufacturing, and operational phases. We develop a unified system availability model based on ten performance drivers, serving as the foundation for the establishment of the lifetime-based resource allocation model. Superimposed renewal theory is employed to estimate spare part demand from proactive and corrective replacements. A bisection algorithm, enhanced by neighborhood exploration, solves the complex mixed-integer, nonlinear optimization problem. The numerical experiments show that component redundancy is preferred and necessary if one of the following situations occurs: extremely high system availability is required, the fleet size is small, the system reliability is immature, the inventory holding is too costly, or the hands-on replacement time is prolonged. The joint allocation model also reveals that there exists no monotonic relation between spares stocking level and system availability.</t>
  </si>
  <si>
    <t>[Jin, Tongdan] Texas State Univ, Ingram Sch Engn, San Marcos, TX 78666 USA; [Si, Shubin; Zhu, Wenjin] Northwestern Polytech Univ, Sch Mech Engn, Xian 710072, Peoples R China; [Si, Shubin; Zhu, Wenjin] Minist Ind &amp; Informat Technol, Key Lab Ind Engn &amp; Intelligent Mfg, Xian 710072, Peoples R China</t>
  </si>
  <si>
    <t>Texas State University System; Texas State University San Marcos; Northwestern Polytechnical University</t>
  </si>
  <si>
    <t>Zhu, WJ (corresponding author), Northwestern Polytech Univ, Sch Mech Engn, Xian 710072, Peoples R China.;Zhu, WJ (corresponding author), Minist Ind &amp; Informat Technol, Key Lab Ind Engn &amp; Intelligent Mfg, Xian 710072, Peoples R China.</t>
  </si>
  <si>
    <t>wenjin.zhu@nwpu.edu.cn</t>
  </si>
  <si>
    <t>US National Science Foundation [1704933]; National Natural Science Foundation of China [72231008]; Natural Science Basic Research Program of Shaanxi [2022JQ-734]</t>
  </si>
  <si>
    <t>US National Science Foundation(National Science Foundation (NSF)); National Natural Science Foundation of China(National Natural Science Foundation of China (NSFC)); Natural Science Basic Research Program of Shaanxi</t>
  </si>
  <si>
    <t>The research of the first author is supported by the US NationalScience Foundation (Grant No. 1704933). The research of the second and the third authors are supported by the National Natural Science Foundation of China (Grant No. 72231008), and by the Natural Science Basic Research Program of Shaanxi (Program No. 2022JQ-734)</t>
  </si>
  <si>
    <t>10.1007/s42524-024-0145-3</t>
  </si>
  <si>
    <t>H2L1O</t>
  </si>
  <si>
    <t>WOS:001250545000004</t>
  </si>
  <si>
    <t>Wang, YK; Liu, YL; Chen, JY; Li, XP</t>
  </si>
  <si>
    <t>Wang, Yukun; Liu, Yiliu; Chen, Junyan; Li, Xiaopeng</t>
  </si>
  <si>
    <t>Reliability and condition-based maintenance modeling for systems operating under performance-based contracting</t>
  </si>
  <si>
    <t>Condition-based maintenance; Performance-based contracting; Inverse Gaussian process; Degradation; Shock</t>
  </si>
  <si>
    <t>INVERSE GAUSSIAN PROCESS; COMPETING FAILURE PROCESSES; MULTICOMPONENT SYSTEMS; DEGRADATION; POLICY; SUBJECT; DETERIORATION; LOGISTICS; DELAY; WEAR</t>
  </si>
  <si>
    <t>Performance-based contracting motivates service providers to implement effective maintenance policies so as to boost profits and improve system performance at a lower cost. This paper deals with reliability and condition-based maintenance modeling for single-unit systems operating under performance-based contracting. For a system subject to degradation and sudden shocks, there involves three states: normal, degraded and failed. Once entered into the degraded state, the system deteriorates faster and becomes more susceptible to shocks. The degradation conforms to a two-stage inverse Gaussian process with random effects characterizing unit-specific heterogeneity in the population. Furthermore, the arrival of sudden shocks follows a doubly stochastic Poisson process. A reliability model is developed based on degradation-based and shock-based failures modeling. Afterwards, the long-run maintenance cost rate and the average system availability are evaluated. Optimal inspection-based preventive replacement policy is obtained by maximizing the expected profit rate to the service provider. Finally, a numerical example along with sensitivity analysis of model parameters is presented to demonstrate the applicability and solution procedure of the proposed models.</t>
  </si>
  <si>
    <t>[Wang, Yukun; Chen, Junyan] Tianjin Chengjian Univ, Sch Econ &amp; Management, Tianjin, Peoples R China; [Liu, Yiliu] Norwegian Univ Sci &amp; Technol, Dept Mech &amp; Ind Engn, Trondheim, Norway; [Li, Xiaopeng] Nanjing Univ Finance &amp; Econ, Sch Management Sci &amp; Engn, Nanjing, Peoples R China</t>
  </si>
  <si>
    <t>Tianjin Chengjian University; Norwegian University of Science &amp; Technology (NTNU); Nanjing University of Finance &amp; Economics</t>
  </si>
  <si>
    <t>Wang, YK (corresponding author), Tianjin Chengjian Univ, Sch Econ &amp; Management, Tianjin, Peoples R China.</t>
  </si>
  <si>
    <t>Wang, Yukun/AAO-1651-2020; Li, Xiaopeng/JPX-0647-2023; Li, Xiaopeng/B-5675-2018; Liu, Yiliu/AAY-2097-2021</t>
  </si>
  <si>
    <t>Li, Xiaopeng/0000-0002-8237-9194; wang, yukun/0000-0003-0318-2471; Liu, Yiliu/0000-0002-0612-2231</t>
  </si>
  <si>
    <t>This research is supported by the National Natural Science Foundation of China (Grant No. 71801171).</t>
  </si>
  <si>
    <t>10.1016/j.cie.2020.106344</t>
  </si>
  <si>
    <t>LC5OA</t>
  </si>
  <si>
    <t>WOS:000525375800028</t>
  </si>
  <si>
    <t>Ullah, A; Ayat, M; He, Y; Huang, WP; Jiang, W</t>
  </si>
  <si>
    <t>Ullah, Azmat; Ayat, Muhammad; He, Yi; Huang, Wenpo; Jiang, Wei</t>
  </si>
  <si>
    <t>GAME-THEORETIC MODELS FOR WARRANTY AND POST-WARRANTY MAINTENANCE WITH RISK-AVERSE SERVICE PROVIDERS</t>
  </si>
  <si>
    <t>warranty; maintenance; risk-averse players; non-cooperative game; demand uncertainty; utility theory</t>
  </si>
  <si>
    <t>PERIODIC REPLACEMENT POLICY; DECISION-ANALYSIS; CONTRACTS; MANUFACTURER; SELECTION; REPAIR</t>
  </si>
  <si>
    <t>In this paper, a warranty-maintenance service contract is designed between a manufacturer and third-party agent who provide warranty and maintenance services respectively and may suffer from financial risks due to the demand uncertainty from consumers. We model the utility functions for the firms considering uncertain demand, risk attitude, and different options of warranty and maintenance service strategies. By using game theory, optimal sale price and warranty period for the manufacturer, whereas the optimal repair price or maintenance price for the third-party agent is explicitly derived by maximizing their expected utilities. Analytical results show that a more risk-averse manufacturer (or third-party agent) sets a lower price and gets lower utility as compared to a risk-neutral manufacturer (or third-party agent), which consequently leads to increases in product demand. The lower price decision of a more risk-averse player benefits a less risk-averse counterpart competitor in the market to set a higher price and get maximum utility. A numerical example is presented to illustrate the results.</t>
  </si>
  <si>
    <t>[Ullah, Azmat; He, Yi] Hainan Univ, Sch Management, Haikou, Hainan, Peoples R China; [Ayat, Muhammad] Hanyang Univ, Dept Ind &amp; Management Engn, ERICA Campus, Ansan, South Korea; [Huang, Wenpo] Hangzhou Dianzi Univ, Sch Management, Hangzhou, Zhejiang, Peoples R China; [Jiang, Wei] Shanghai Jiao Tong Univ, Antai Coll Econ &amp; Management, 1954 Huashan Rd, Shanghai, Peoples R China</t>
  </si>
  <si>
    <t>Hainan University; Hanyang University; Hangzhou Dianzi University; Shanghai Jiao Tong University</t>
  </si>
  <si>
    <t>He, Y (corresponding author), Hainan Univ, Sch Management, Haikou, Hainan, Peoples R China.</t>
  </si>
  <si>
    <t>hy@hainanu.edu.cn</t>
  </si>
  <si>
    <t>Ullah, Azmat/AAE-8511-2022; Ayat, Muhammad/HTP-1271-2023</t>
  </si>
  <si>
    <t>Ayat, Muhammad/0000-0002-4437-5109</t>
  </si>
  <si>
    <t>NSFC [71872075, 72061127003, 71831006, 72171064]; Hainan Provincial Natural Science Foundation of China [720RC568]; Zhejiang Provincial Natural Science Foundation [LY20G020013]; Ministry of Education Humanities and Social Science Fund [20YJC910006]</t>
  </si>
  <si>
    <t>NSFC(National Natural Science Foundation of China (NSFC)); Hainan Provincial Natural Science Foundation of China; Zhejiang Provincial Natural Science Foundation(Natural Science Foundation of Zhejiang Province); Ministry of Education Humanities and Social Science Fund</t>
  </si>
  <si>
    <t>The authors thank the Editor and the referees for their constructive and insightful comments, which significantly improved the quality of the paper. He Yi's work was supported by the NSFC under grant 71872075, and Hainan Provincial Natural Science Foundation of China under grant 720RC568. Wei Jiang's work was supported by the NSFC under grants 72061127003, and 71831006. Wenpo Huang's work was supported by the Zhejiang Provincial Natural Science Foundation under Grant LY20G020013, the Ministry of Education Humanities and Social Science Fund under grant 20YJC910006 and NSFC under grant 72171064.</t>
  </si>
  <si>
    <t>YG9DD</t>
  </si>
  <si>
    <t>WOS:000742778900001</t>
  </si>
  <si>
    <t>Peng, SL; Feng, QM</t>
  </si>
  <si>
    <t>Peng, Shenglin; Feng, Qianmei (May)</t>
  </si>
  <si>
    <t>Reinforcement learning with Gaussian processes for condition-based maintenance</t>
  </si>
  <si>
    <t>Condition-based maintenance; Reinforcement learning; Gaussian process regression; Markov decision process; Gaussian processes for reinforcement learning; Function approximation</t>
  </si>
  <si>
    <t>MANAGEMENT; BATTERY; MODELS; STRATEGIES</t>
  </si>
  <si>
    <t>Condition-based maintenance strategies are effective in enhancing reliability and safety for complex engineering systems that exhibit degradation phenomena with uncertainty. Such sequential decision-making problems are often modeled as Markov decision processes (MDPs) when the underlying process has a Markov property. Recently, reinforcement learning (RL) becomes increasingly efficient to address MDP problems with large state spaces. In this paper, we model the condition-based maintenance problem as a discrete-time continuous-state MDP without discretizing the deterioration condition of the system. The Gaussian process regression is used as function approximation to model the state transition and the value functions of states in reinforcement learning. A RL algorithm is then developed to minimize the long-run average cost (instead of the commonly-used discounted reward) with iterations on the state-action value function and the state value function, respectively. We verify the capability of the proposed algorithm by simulation experiments and demonstrate its advantages in a case study on a battery maintenance decision-making problem. The proposed algorithm outperforms the discrete MDP approach by achieving lower long-run average costs.</t>
  </si>
  <si>
    <t>[Peng, Shenglin; Feng, Qianmei (May)] Univ Houston, Dept Ind Engn, E206 Engn Bldg 2, Houston, TX 77204 USA</t>
  </si>
  <si>
    <t>University of Houston System; University of Houston</t>
  </si>
  <si>
    <t>Feng, QM (corresponding author), Univ Houston, Dept Ind Engn, E206 Engn Bldg 2, Houston, TX 77204 USA.</t>
  </si>
  <si>
    <t>qmfeng@uh.edu</t>
  </si>
  <si>
    <t>Feng, Qianmei/H-6611-2013</t>
  </si>
  <si>
    <t>Feng, Qianmei/0000-0001-5873-8372</t>
  </si>
  <si>
    <t>10.1016/j.cie.2021.107321</t>
  </si>
  <si>
    <t>TA3QI</t>
  </si>
  <si>
    <t>WOS:000667165200006</t>
  </si>
  <si>
    <t>Liang, ZL; Liu, B; Xie, M; Parlikad, AK</t>
  </si>
  <si>
    <t>Liang, Zhenglin; Liu, Bin; Xie, Min; Parlikad, Ajith Kumar</t>
  </si>
  <si>
    <t>Condition-based maintenance for long-life assets with exposure to operational and environmental risks</t>
  </si>
  <si>
    <t>Maintenance; Operational and environmental risk; Stochastic modeling; Moment matching; Hypo-exponential distribution</t>
  </si>
  <si>
    <t>SYSTEM; TIME; INFRASTRUCTURE; APPROXIMATION; NETWORKS; POLICIES; SUBJECT; MODELS</t>
  </si>
  <si>
    <t>This paper presents a new condition-based maintenance (CBM) model for long-life assets to address the potential risk caused by the decline of the operating environment. Two types of maintenance are formulated in the CBM model. Minor maintenance can mitigate the operational and environmental risk, and major maintenance can eliminate the accumulated damage within the asset. A continuous-time semi-Markov chain (CTSMC) is used for modeling the aging of the asset as well as the stochastic decline of the operating environment. To optimize the CBM policy in a mathematically tractable manner, we introduce a hypo-exponential approximation approach to match the first four moments of the sojourn time distribution of CTSMC. This approach guarantees a minimum representation of the CTSMC with non-fictitious surrogated Markov chain. The model provides both good mathematical tractability and sufficient generalizability. The practical impact of this research is demonstrated by applying it to a real industrial case of concrete bridge maintenance. It is observed that this approach results in a CBM plan with a lower asset lifecycle cost compared to current techniques.</t>
  </si>
  <si>
    <t>[Liang, Zhenglin] Tsinghua Univ, Dept Ind Engn, Beijing, Peoples R China; [Liu, Bin] Univ Strathclyde, Dept Management Sci, Glasgow, Lanark, Scotland; [Xie, Min] City Univ Hong Kong, Dept Engn &amp; Engn Management, Hong Kong, Peoples R China; [Parlikad, Ajith Kumar] Univ Cambridge, Inst Mfg, Cambridge, England</t>
  </si>
  <si>
    <t>Tsinghua University; University of Strathclyde; City University of Hong Kong; University of Cambridge</t>
  </si>
  <si>
    <t>Liang, ZL (corresponding author), Tsinghua Univ, Dept Ind Engn, Beijing, Peoples R China.</t>
  </si>
  <si>
    <t>zhenglinliang@tsinghua.ed; b.liu@strath.ac.uk; minxie@cityu.edu.uk; aknp2@cam.ac.uk</t>
  </si>
  <si>
    <t>Liu, Bin/GZM-0167-2022; Parlikad, Ajith Kumar/A-5269-2010</t>
  </si>
  <si>
    <t>Parlikad, Ajith Kumar/0000-0001-6214-1739; Liu, Bin/0000-0002-3946-8124</t>
  </si>
  <si>
    <t>Innovation and Knowledge Centre for Smart Infrastructure and Construction - Engineering and Physical Sciences Research Council [EP/N021614/1]; Innovate UK; National Science Foundation of China [71731008]; Talent Recruitment Funds of Tsinghua University [11305201]; EPSRC [EP/N021614/1] Funding Source: UKRI</t>
  </si>
  <si>
    <t>Innovation and Knowledge Centre for Smart Infrastructure and Construction - Engineering and Physical Sciences Research Council; Innovate UK(UK Research &amp; Innovation (UKRI)Innovate UK); National Science Foundation of China(National Natural Science Foundation of China (NSFC)); Talent Recruitment Funds of Tsinghua University; EPSRC(UK Research &amp; Innovation (UKRI)Engineering &amp; Physical Sciences Research Council (EPSRC))</t>
  </si>
  <si>
    <t>The research presented in this paper was supported by the Innovation and Knowledge Centre for Smart Infrastructure and Construction funded by the Engineering and Physical Sciences Research Council (EP/N021614/1) and Innovate UK. This work was partially supported by the National Science Foundation of China under a project grant NO.71731008, and Talent Recruitment Funds of Tsinghua University grant NO. 11305201.</t>
  </si>
  <si>
    <t>10.1016/j.ijpe.2019.09.003</t>
  </si>
  <si>
    <t>LC4UN</t>
  </si>
  <si>
    <t>WOS:000525321300006</t>
  </si>
  <si>
    <t>Ruan, YP; Wu, GC; Luo, XG</t>
  </si>
  <si>
    <t>Ruan, Yuanpeng; Wu, Guochang; Luo, Xinggang</t>
  </si>
  <si>
    <t>Optimal joint design of two-dimensional warranty and preventive maintenance policies for new products considering learning effects</t>
  </si>
  <si>
    <t>Two-dimensional warranty; Learning effects; Warranty period optimization; Preventive maintenance planning; Profit maximization</t>
  </si>
  <si>
    <t>EXTENDED WARRANTY; STRATEGY; COST; OPTIMIZATION; PRICE</t>
  </si>
  <si>
    <t>Providing free preventive maintenance (PM) for products during the warranty period is a prevalent type of combinational warranty design in the market, particularly in the automobile industry. The characteristics of certain new products, such as short life cycles, frequent updates, and complex functions require customers and manufacturers to continuously learn during the use and maintenance process, which leads to learning effects of both parties in the warranty period. In this study, we investigate the PM-two-dimensional (2D) warranty design problem with the aim of maximizing the profit of the manufacturer. Profit is affected by the number of PMs as well as the age-and usage-based PM intervals. Moreover, we explore the influence of the learning effects on the 2D warranty design by introducing two scenarios. A heuristic algorithm is applied to solve the optimi-zation models for various policies under different scenarios. A comparison of the results of the studied models reveals that simultaneous consideration of PM planning and 2D warranty design is a win-win strategy for the manufacturer and customers, and learning effects are critical elements in the design process, which can improve the accuracy and rationality of the design. A few management recommendations are provided based on the sensitivity analysis results.</t>
  </si>
  <si>
    <t>[Ruan, Yuanpeng; Wu, Guochang; Luo, Xinggang] Hangzhou Dianzi Univ, Sch Management, Hangzhou 310018, Peoples R China</t>
  </si>
  <si>
    <t>Hangzhou Dianzi University</t>
  </si>
  <si>
    <t>Luo, XG (corresponding author), Hangzhou Dianzi Univ, Sch Management, Hangzhou 310018, Peoples R China.</t>
  </si>
  <si>
    <t>National Natural Science Foundation of China (NSFC) [71801064, 71831006, 71771070, 71802145]; Zhejiang Provincial Natural Science Foundation of China [LY22G010009, LZ20G010001]; Ministry of Education Humanities and Social Science Fund [20YJC910006]</t>
  </si>
  <si>
    <t>National Natural Science Foundation of China (NSFC)(National Natural Science Foundation of China (NSFC)); Zhejiang Provincial Natural Science Foundation of China(Natural Science Foundation of Zhejiang Province); Ministry of Education Humanities and Social Science Fund</t>
  </si>
  <si>
    <t>This research was financially supported by the National Natural Science Foundation of China (NSFC) [grant numbers 71801064, 71831006, 71771070 and 71802145], Zhejiang Provincial Natural Science Foundation of China [grant numbers LY22G010009, LZ20G010001] and the Ministry of Education Humanities and Social Science Fund [grant number 20YJC910006].</t>
  </si>
  <si>
    <t>10.1016/j.cie.2022.107958</t>
  </si>
  <si>
    <t>0G0IN</t>
  </si>
  <si>
    <t>WOS:000777738200008</t>
  </si>
  <si>
    <t>Finkelstein, M; Cha, JH; Bedford, T</t>
  </si>
  <si>
    <t>Finkelstein, Maxim; Cha, Ji Hwan; Bedford, Tim</t>
  </si>
  <si>
    <t>Optimal preventive maintenance strategy for populations of systems that generate outputs</t>
  </si>
  <si>
    <t>Age composition; Preventive maintenance; Dynamic population; Failure rate; Output rate</t>
  </si>
  <si>
    <t>This is the first study in the reliability literature that discusses optimal maintenance in dynamic populations of statistically identical items. Items that generate an output/gain with a value interpretation, e.g., the performed amount of work, the manufactured product, etc., are considered. The expectation of the overall gain on a cycle of performance defines the corresponding objective function for the preventive maintenance (PM) optimization for a single item, which is also used to develop theory for dynamic populations of items. It is shown that the optimal PM time for dynamic populations of items is larger than that for a single item. Generalizations to the cases when an item is characterized by the major and minor failures and when the output rate is a function of time are considered. It is shown how the framework developed here is relevant to an industrial setting using an example of a fleet of wind turbines. Some numerical results illustrate our findings.</t>
  </si>
  <si>
    <t>[Finkelstein, Maxim] Univ Free State, Dept Math Stat, Bloemfontein, South Africa; [Finkelstein, Maxim; Bedford, Tim] Univ Strathclyde, Dept Management Sci, Glasgow, Scotland; [Cha, Ji Hwan] Ewha Womans Univ, Dept Stat, Seoul 120750, South Korea</t>
  </si>
  <si>
    <t>University of the Free State; University of Strathclyde; Ewha Womans University</t>
  </si>
  <si>
    <t>Cha, JH (corresponding author), Ewha Womans Univ, Dept Stat, Seoul 120750, South Korea.</t>
  </si>
  <si>
    <t>jhcha@ewha.ac.kr</t>
  </si>
  <si>
    <t>Finkelstein, Maxim/AAH-1021-2019</t>
  </si>
  <si>
    <t>Bedford, Tim/0000-0002-3545-2088; Finkelstein, Maxim/0000-0002-3018-8353</t>
  </si>
  <si>
    <t>Basic Science Research Program through the National Research Foundation of Korea (NRF) - Ministry of Education [2019R1A6A1A11051177]</t>
  </si>
  <si>
    <t>Basic Science Research Program through the National Research Foundation of Korea (NRF) - Ministry of Education(National Research Foundation of KoreaMinistry of Education (MOE), Republic of KoreaNational Research Council for Economics, Humanities &amp; Social Sciences, Republic of Korea)</t>
  </si>
  <si>
    <t>The authors thank the reviewers for helpful comments and valuable advice. The work of the second author was supported by Basic Science Research Program through the National Research Foundation of Korea (NRF) funded by the Ministry of Education (Grant Number: 2019R1A6A1A11051177) .</t>
  </si>
  <si>
    <t>10.1016/j.ress.2023.109334</t>
  </si>
  <si>
    <t>H9QA4</t>
  </si>
  <si>
    <t>WOS:000999211200001</t>
  </si>
  <si>
    <t>Chen, ZX; Chen, Z; Zhou, D; Pan, ES</t>
  </si>
  <si>
    <t>Energy-oriented opportunistic maintenance optimization of continuous process manufacturing systems with two types of stochastic durations</t>
  </si>
  <si>
    <t>Continuous process manufacturing systems; Energy; Opportunistic maintenance; Stochastic durations; Genetic algorithm</t>
  </si>
  <si>
    <t>TIME; CONSUMPTION; SUBJECT; POLICY</t>
  </si>
  <si>
    <t>For continuous process manufacturing systems (CPMSs) where the production process cannot be stopped, the opportunities for maintenance can only occur within the specified time intervals between two production batches. Moreover, opportunistic maintenance of CPMSs is not only to reduce downtime losses and maintenance costs, but also to improve productivity and energy efficiency. However, existing studies ignored stochastic uncertainties of production batch duration and maintenance duration, which can lead to overestimation of total benefit and reliability, and increase the risk of accidents. Therefore, an energy-oriented opportunistic maintenance (EOM) strategy for CPMSs with stochastic durations is proposed. The stochastic opportunity time window (SOTW) is introduced to characterize the uncertain opportunity of maintenance caused by the abovementioned stochastic uncertainties. And, a stochastic flow manufacturing network (SFMN) is established to evaluate machine reliability and energy consumption under the internal and external uncertainties. Moreover, the optimization objective of EOM that takes into account energy, production and maintenance simultaneously is to maximize the expected system benefits by selecting appropriate maintenance actions during the SOTWs. Then, a genetic algorithm with multiple evolution strategies (GAMES) is developed to address the optimization problem. Finally, a case study is provided to verify the effectiveness of the proposed method.</t>
  </si>
  <si>
    <t>National Key Research and Development Program of China [2020YFB1711100]; National Natural Science Foundation of China [52005327]</t>
  </si>
  <si>
    <t>This work was supported in part by National Key Research and Development Program of China under Grant 2020YFB1711100; and in part by the National Natural Science Foundation of China under Grant 52005327.</t>
  </si>
  <si>
    <t>10.1016/j.ress.2023.109385</t>
  </si>
  <si>
    <t>I4IT8</t>
  </si>
  <si>
    <t>WOS:001002440800001</t>
  </si>
  <si>
    <t>Guo, YH; Hrouga, M; Liu, JY; Afifi, S; Allaoui, H; Zhang, Y</t>
  </si>
  <si>
    <t>Guo, Yuhan; Hrouga, Mustapha; Liu, Jiayao; Afifi, Sohaib; Allaoui, Hamid; Zhang, Yu</t>
  </si>
  <si>
    <t>JOINT OPTIMIZATION OF CAPACITATED LOT-SIZING WITH LOST SALES AND NON-CYCLICAL PREVENTIVE MAINTENANCE</t>
  </si>
  <si>
    <t>Joint Optimization; Lot-Sizing; Preventive Maintenance; Lost Sales; Heuristic</t>
  </si>
  <si>
    <t>SUBJECT; HEURISTICS; ALGORITHM; QUALITY; DEMAND; POLICY; MODEL</t>
  </si>
  <si>
    <t>Joint optimization of maintenance and lot-sizing-related operations offers significant benefits for businesses. This research studies the joint optimization of non-cyclical preventive maintenance and capacitated lot-sizing with lost sales. The objective is to determine the optimal lot size in each period, decide the optimal preventive maintenance for servicing machines over a planning horizon, and minimize the total cost related to service, operation, setup, production, inventory, and lost sales. An innovative framework is proposed to solve the problem, consisting of a novel mixed-integer linear programming formulation and an approximative production-planning algorithm combined with a multi-neighborhood descendent approach. Extensive experiments based on real-world data are conducted to verify the effectiveness of the proposed framework.</t>
  </si>
  <si>
    <t>[Guo, Yuhan] Zhejiang Univ Sci &amp; Technol, Sch Sci, Hangzhou, Peoples R China; [Hrouga, Mustapha] Brest Business Sch, Dept Finance Operat &amp; Mkt, F-29200 Brest, France; [Liu, Jiayao] Liaoning Tech Univ, Sch Software, Fuxin, Peoples R China; [Afifi, Sohaib; Allaoui, Hamid] Univ Artois, UR 3926, Lab Genie Informat &amp; Automat Artois LGI2A, F-62400 Bethune, France; [Zhang, Yu] Beihang Univ, Sch Econ &amp; Management, Beijing, Peoples R China</t>
  </si>
  <si>
    <t>Zhejiang University of Science &amp; Technology; Liaoning Technical University; Universite d'Artois; Beihang University</t>
  </si>
  <si>
    <t>Guo, YH (corresponding author), Zhejiang Univ Sci &amp; Technol, Sch Sci, Hangzhou, Peoples R China.</t>
  </si>
  <si>
    <t>yuhan.guo@zust.edu.cn</t>
  </si>
  <si>
    <t>; Guo, Yuhan/HPF-2174-2023</t>
  </si>
  <si>
    <t>AFIFI, Sohaib/0000-0002-9481-0914; allaoui, hamid/0000-0001-7844-5796; Guo, Yuhan/0000-0002-6855-0338</t>
  </si>
  <si>
    <t>European Union; European Regional Development Fund; Hauts de France Region Council; Key Program of the Zhejiang Provincial Natural Science Foundation of China [LZ22F020007]</t>
  </si>
  <si>
    <t>European Union(European Union (EU)); European Regional Development Fund(European Union (EU)); Hauts de France Region Council; Key Program of the Zhejiang Provincial Natural Science Foundation of China</t>
  </si>
  <si>
    <t>This work is a part of the ELSAT2020 project. The ELSAT2020 project is co-financed by the European Union with the European Regional Development Fund, the French state, and the Hauts de France Region Council. This work is also supported by the Key Program of the Zhejiang Provincial Natural Science Foundation of China (LZ22F020007).</t>
  </si>
  <si>
    <t>10.23055/ijietap.2022.29.3.8013</t>
  </si>
  <si>
    <t>3D2TR</t>
  </si>
  <si>
    <t>WOS:000829161100001</t>
  </si>
  <si>
    <t>Li, HP; Zhu, WJ; Dieulle, L; Deloux, E</t>
  </si>
  <si>
    <t>Li, Heping; Zhu, Wenjin; Dieulle, Laurence; Deloux, Estelle</t>
  </si>
  <si>
    <t>Condition-based maintenance strategies for stochastically dependent systems using Nested Levy copulas</t>
  </si>
  <si>
    <t>Condition-based maintenance policy; Hierarchical stochastic dependencies; Nested Levy copula; Multi-component system; Gamma process</t>
  </si>
  <si>
    <t>2-COMPONENT SYSTEM; MULTICOMPONENT; POLICY</t>
  </si>
  <si>
    <t>Nowadays, industrial systems are more and more complex and components are integrated dependently. Without consideration of dependence between components often leads to overestimate the reliability of system and high maintenance cost. In this paper, a multi-component system with hierarchical stochastic dependencies is considered. Components within subsystem are strongly correlated and dependence between subsystems is heterogeneous. Thanks to its capacity of modeling asymmetric dependence structures, the Nested Levy copula is used in this paper. Based on the multiple sources of dependence among components and hierarchical structures, a novel condition-based maintenance policy is proposed. The inspection scheme as well as maintenance decision is dynamically planned according to the collected inspection information and the influence of stochastic dependence is investigated. The numerical results show the efficiency and robustness of proposed maintenance policy on reducing the inspection and maintenance cost.</t>
  </si>
  <si>
    <t>[Li, Heping] China Univ Petr, Sch Econ &amp; Management, Beijing 102249, Peoples R China; [Zhu, Wenjin] Northwestern Polytech Univ, Sch Mech Engn, Xian 710072, Shaanxi, Peoples R China; [Dieulle, Laurence; Deloux, Estelle] Charles Delaunay Inst, UMR CNRS 6281, Troyes, France; [Dieulle, Laurence; Deloux, Estelle] Univ Technol Troyes, BP 2060-10010, Troyes, France</t>
  </si>
  <si>
    <t>China University of Petroleum; Northwestern Polytechnical University; Universite de Technologie de Troyes</t>
  </si>
  <si>
    <t>Zhu, WJ (corresponding author), Northwestern Polytech Univ, Sch Mech Engn, Xian 710072, Shaanxi, Peoples R China.</t>
  </si>
  <si>
    <t>liheping@cup.edu.cn; wenjin.zhu@nwpu.edu.cn; laurence.dieulle@utt.fr; estelle.deloux@utt.fr</t>
  </si>
  <si>
    <t>ZHU, Wenjin/AAD-4173-2019</t>
  </si>
  <si>
    <t>ZHU, Wenjin/0000-0001-9845-1536</t>
  </si>
  <si>
    <t>National Natural Science Foundation of China [71701163]; Science Foundation of China University of Petroleum, Beijing [2462017YJRC053, 2462020YXZZ041]</t>
  </si>
  <si>
    <t>National Natural Science Foundation of China(National Natural Science Foundation of China (NSFC)); Science Foundation of China University of Petroleum, Beijing</t>
  </si>
  <si>
    <t>This work was supported by the National Natural Science Foundation of China [Grant Nos. 71701163], Science Foundation of China University of Petroleum, Beijing (No. 2462017YJRC053, No. 2462020YXZZ041).</t>
  </si>
  <si>
    <t>10.1016/j.ress.2021.108038</t>
  </si>
  <si>
    <t>WOS:000708365800004</t>
  </si>
  <si>
    <t>Zhang, ZX; Li, HQ; Li, TM; Zhang, JX; Si, XS</t>
  </si>
  <si>
    <t>Zhang, Zhengxin; Li, Huiqin; Li, Tianmei; Zhang, Jianxun; Si, Xiaosheng</t>
  </si>
  <si>
    <t>An optimal condition-based maintenance policy for nonlinear stochastic degrading systems</t>
  </si>
  <si>
    <t>Predictive replacement; Wiener process; Condition-based maintenance; Degradation modeling; Markovian decision process</t>
  </si>
  <si>
    <t>MARKOVIAN DETERIORATING SYSTEM; REPLACEMENT POLICIES; OPTIMIZATION; COMPONENTS</t>
  </si>
  <si>
    <t>Prognostics and system health management (PHM) has attracted increasing attention from both scholars and engineers with interests in improving the reliability, availability, and profitability of industrial systems. Recognized as the two prominent challenges in the prognostics of complicated degrading systems, temporal nonlinearity and stochastic dynamics have incentivized numerous research on nonlinear degradation modeling- based prognostic approaches such as diffusion-process-based models. Comparatively, much less research on how to incorporate the corresponding prognosis information into the decision making on health management has been conducted. In this paper, an optimal condition-based maintenance (CBM) policy for stochastic degrading systems characterized by a diffusion-process-based model has been presented. The CBM policy is firstly converted into a Markovian decision process (MDP) based on the expected discounted cost function (EDCF) within the infinite horizon. Then, the structural properties of the optimal CBM policy have been thoroughly investigated, and the value-based iteration algorithm to solve the optimal CBM problem is proposed. It is proved that the optimal CBM policy for a periodically inspected nonlinear degrading system governed by a diffusion process is a control limit policy, which neither increases in the degradation state nor decreases in the age of the system. Finally, the proposed optimal CBM policy has been illustrated and validated by a case study on the gyroscopes.</t>
  </si>
  <si>
    <t>[Zhang, Zhengxin; Li, Huiqin; Li, Tianmei; Zhang, Jianxun; Si, Xiaosheng] PLA Rocket Force Univ Engn, Zhijian Lab, Xian 710025, Peoples R China</t>
  </si>
  <si>
    <t>Rocket Force University of Engineering</t>
  </si>
  <si>
    <t>Si, XS (corresponding author), PLA Rocket Force Univ Engn, Zhijian Lab, Xian 710025, Peoples R China.</t>
  </si>
  <si>
    <t>sixiaosheng@126.com</t>
  </si>
  <si>
    <t>Zhang, Zhengxin/GRJ-4489-2022; Zheng, Yanan/GPX-8908-2022</t>
  </si>
  <si>
    <t>National Natural Science Foundation of China [62233017, 62373369, 62073336, 62373368]</t>
  </si>
  <si>
    <t>This work was supported in part by the National Natural Science Foundation of China under Grants 62233017, 62373369, 62073336, and 62373368.</t>
  </si>
  <si>
    <t>10.1016/j.ress.2024.110349</t>
  </si>
  <si>
    <t>ZX6L9</t>
  </si>
  <si>
    <t>WOS:001278623600001</t>
  </si>
  <si>
    <t>Wang, JJ; Makis, V; Zhao, X</t>
  </si>
  <si>
    <t>Wang, Jingjing; Makis, Viliam; Zhao, Xian</t>
  </si>
  <si>
    <t>Optimal condition-based and age-based opportunistic maintenance policy for a two-unit series system</t>
  </si>
  <si>
    <t>Opportunistic maintenance policy; Two-unit series system; Economic dependence; Semi-Markov decision process</t>
  </si>
  <si>
    <t>JOINT OPTIMIZATION; REPLACEMENT POLICY; RELIABILITY; INSPECTION; SUBJECT; MODEL; PREDICTION</t>
  </si>
  <si>
    <t>A new optimal maintenance policy considering the condition monitoring and age information is considered for a two-unit repairable system. Unit 1 is the core component of the system, which is subject to soft failure observed only through inspections. Unit 2 is subject to hard failure and the age information representing usage of unit 2 is available. Unlike the previous maintenance models where maintenance actions can be initiated only at the inspection epochs, we assume that corrective maintenance action would be carried out immediately when unit 2 fails. Furthermore, a preventive maintenance is performed on the units if the deterioration level of unit 1 or the usage of unit 2 exceeds certain maintenance threshold for that unit. Under this maintenance strategy, when one of the two units is correctively or preventively maintained, there is an opportunity to maintain the other unit. The maintenance problem is formulated and solved in the semi-Markov decision process framework. A formula for the average maintenance cost is derived and the optimal thresholds for preventive and opportunistic maintenance of the two units minimizing the long run expected average cost are determined. A practical example of a two-unit wind turbine system is provided, and a comparison analysis with other maintenance policies shows an outstanding performance of the proposed policy.</t>
  </si>
  <si>
    <t>[Wang, Jingjing; Zhao, Xian] Beijing Inst Technol, Sch Management &amp; Econ, Beijing 100081, Peoples R China; [Wang, Jingjing; Makis, Viliam] Univ Toronto, Dept Mech &amp; Ind Engn, 5 Kings Coll Rd, Toronto, ON M5S 3G8, Canada</t>
  </si>
  <si>
    <t>Beijing Institute of Technology; University of Toronto</t>
  </si>
  <si>
    <t>Makis, V (corresponding author), Univ Toronto, Dept Mech &amp; Ind Engn, 5 Kings Coll Rd, Toronto, ON M5S 3G8, Canada.</t>
  </si>
  <si>
    <t>wangjingjing2015@bit.edu.cn; makis@mie.utoronto.ca; zhaoxian@bit.edu.cn</t>
  </si>
  <si>
    <t>Makis, Viliam/0000-0003-2892-6262</t>
  </si>
  <si>
    <t>National Natural Science Foundation of China [71572014]; China Scholarship Council (CSC)</t>
  </si>
  <si>
    <t>National Natural Science Foundation of China(National Natural Science Foundation of China (NSFC)); China Scholarship Council (CSC)(China Scholarship Council)</t>
  </si>
  <si>
    <t>This work was supported by the National Natural Science Foundation of China (71572014), and by China Scholarship Council (CSC).</t>
  </si>
  <si>
    <t>10.1016/j.cie.2019.05.020</t>
  </si>
  <si>
    <t>IH4WU</t>
  </si>
  <si>
    <t>WOS:000474493600001</t>
  </si>
  <si>
    <t>Zhu, XY; Chen, ZQ; Borgonovo, E</t>
  </si>
  <si>
    <t>Zhu, Xiaoyan; Chen, Zhiqiang; Borgonovo, Emanuele</t>
  </si>
  <si>
    <t>Remaining-useful-lifetime and system-remaining-profit based importance measures for decisions on preventive maintenance</t>
  </si>
  <si>
    <t>Time-dependent lifetime importance measure; Remaining useful lifetime; Preventive maintenance; System profit; Imperfect repair</t>
  </si>
  <si>
    <t>MULTISTATE SYSTEMS; RELIABILITY; COST; EXTENSION</t>
  </si>
  <si>
    <t>We propose two types of importance measures for component selection in preventive maintenance. The first type evaluates the relative importance of a component in terms of how much the component restoration increases the remaining useful lifetime of the system. The second type of importance measures evaluates the contribution of a maintenance action on a component with respect to the profit that the system can generate during its remaining useful lifetime, considering system reliability, maintenance cost, and uncertain system profit over the remaining useful lifetime. The proposed importance measures take into account various maintenance actions including imperfect repair and replacement, combine the advantages of time-dependent and time-independent lifetime measures on evaluating component importance and are suitable to aid the preventive maintenance decisions on component selection at any time. A numerical example and an application in the preventive maintenance for a wind turbine system are provided to illustrate the proposed importance measures and to compare various time-dependent and time-independent lifetime importance measures.</t>
  </si>
  <si>
    <t>[Zhu, Xiaoyan; Chen, Zhiqiang] Univ Chinese Acad Sci, Sch Econ &amp; Management, Beijing, Peoples R China; [Borgonovo, Emanuele] Bocconi Univ, Dept Decis Sci, Milan, Italy</t>
  </si>
  <si>
    <t>Chinese Academy of Sciences; University of Chinese Academy of Sciences, CAS; Bocconi University</t>
  </si>
  <si>
    <t>xzhu5@ucas.ac.cn</t>
  </si>
  <si>
    <t>zhu, xiaoyan/AAQ-6601-2021; chen, zhiqiang/O-5564-2016</t>
  </si>
  <si>
    <t>National Natural Science Foundation of China [71971206, 71571178, 71731008]; Chinese Academy of Sciences President's International Fellowship Initiative [2017VEA0027]</t>
  </si>
  <si>
    <t>National Natural Science Foundation of China(National Natural Science Foundation of China (NSFC)); Chinese Academy of Sciences President's International Fellowship Initiative</t>
  </si>
  <si>
    <t>This work was supported by the National Natural Science Foundation of China under Grant Nos. #71971206, #71571178, and a key project Grant No. #71731008 and by Chinese Academy of Sciences President's International Fellowship Initiative Grant No. #2017VEA0027.</t>
  </si>
  <si>
    <t>10.1016/j.ress.2021.107951</t>
  </si>
  <si>
    <t>WOS:000702351700038</t>
  </si>
  <si>
    <t>A joint age-based system replacement and component reallocation maintenance policy: Optimization, analysis and resilience</t>
  </si>
  <si>
    <t>Preventive maintenance; Age-based system replacement; Component reallocation; Optimization; System resilience</t>
  </si>
  <si>
    <t>The component reallocation (CR) policy is an emerging and effective preventive maintenance policy for improving the system performance, which has attracted much attention in reliability engineering and is inde-pendent from the research of age-based system replacement (ASR). This paper is to explore advantages and characteristics of a joint ASR and CR (JASRCR) preventive maintenance policy for a system, for which it is hard or uneconomical to execute repair or replacement at the component level but easy to reallocate the functionally-interchangeable and unevenly degraded components. In the JASRCR policy, the CR is implemented before the system failure and preventive ASR, and the corrective maintenance is to replace the system whenever it fails. The CR is of capability of balancing the degradation processes of components and thus has potential on improving the system resilience in resisting the component failures. An integrated mixed binary nonlinear optimization model is proposed to determine the optimal assignment of CR and optimal times for ASR and CR with the objective of minimizing the expected total maintenance cost per unit time. Numerical experiments demonstrate efficiency of the JASRCR policy on improving system resilience and reducing system maintenance cost.</t>
  </si>
  <si>
    <t>[Fu, Yuqiang] Univ Sci &amp; Technol Beijing, Sch Math &amp; Phys, Beijing, Peoples R China; [Zhu, Xiaoyan] Univ Chinese Acad Sci, Sch Econ &amp; Management, Beijing, Peoples R China; [Fu, Yuqiang] City Univ Hong Kong, Dept Adv Design &amp; Syst Engn, Hong Kong, Peoples R China</t>
  </si>
  <si>
    <t>University of Science &amp; Technology Beijing; Chinese Academy of Sciences; University of Chinese Academy of Sciences, CAS; City University of Hong Kong</t>
  </si>
  <si>
    <t>National Natural Science Foundation of China (NSFC) [71971206, 72101025, 72271226]; Fundamental Research Funds for the Central Universities [FRF-TP-20-073A1]</t>
  </si>
  <si>
    <t>National Natural Science Foundation of China (NSFC)(National Natural Science Foundation of China (NSFC)); Fundamental Research Funds for the Central Universities(Fundamental Research Funds for the Central Universities)</t>
  </si>
  <si>
    <t>Acknowledgments This work was supported in part by the National Natural Science Foundation of China (NSFC) under Grant #71971206, Grant #72101025, and Grant #72271226 and the Fundamental Research Funds for the Central Universities under Grant #FRF-TP-20-073A1.</t>
  </si>
  <si>
    <t>10.1016/j.ress.2023.109240</t>
  </si>
  <si>
    <t>A6OJ4</t>
  </si>
  <si>
    <t>WOS:000956292700001</t>
  </si>
  <si>
    <t>Wang, JJ; Liu, HM; Lin, TR</t>
  </si>
  <si>
    <t>Wang, Jingjing; Liu, Huimin; Lin, Tianran</t>
  </si>
  <si>
    <t>Optimal rearrangement and preventive maintenance policies for heterogeneous balanced systems with three failure modes</t>
  </si>
  <si>
    <t>Rearrangement policy; Preventive maintenance; Heterogeneous balanced systems; Value iteration algorithm; Competing failures</t>
  </si>
  <si>
    <t>RELIABILITY MODEL; REPLACEMENT; OPTIMIZATION; HEURISTICS</t>
  </si>
  <si>
    <t>This paper studies a heterogeneous balanced system composed of multiple interchangeable components. The degradation process of components is described by a gamma process, and deterioration rates in different positions are different due to the effect of loading stress or temperature. Three competing failures may occur: a) shock failure caused by environment shocks, b) soft failure when the deterioration level of any component exceeds a critical value, and c) out of balance when the difference value among components reaches the failure threshold. To avoid system failure, a rearrangement action is adopted to change the position of components. Besides, preventive maintenance is considered when a component deteriorates severely. A semi-Markov decision process (SMDP) is developed to obtain the optimal policy by minimizing the average maintenance cost. To facilitate calculation, the data transmission method is used to convert the semi-Markov decision model to the Markov decision model, and a value iteration algorithm is established to obtain the optimal maintenance action at each state. Considering practical implications, an imperfect preventive and opportunistic maintenance model is formulated under the SMDP framework. Finally, a typical tire rotation problem in motorcycles proves that the imperfect maintenance policy outperforms the other policies when replacement fees are more expensive.</t>
  </si>
  <si>
    <t>[Wang, Jingjing; Liu, Huimin] Qingdao Univ Technol, Sch Management Engn, Qingdao 266525, Peoples R China; [Wang, Jingjing; Lin, Tianran] Qingdao Univ Technol, Ctr Struct Acoust &amp; Machine Fault Diag, Qingdao 266525, Peoples R China</t>
  </si>
  <si>
    <t>Qingdao University of Technology; Qingdao University of Technology</t>
  </si>
  <si>
    <t>wangjingjing@qut.edu.cn; trlin@qut.edu.cn</t>
  </si>
  <si>
    <t>liu, huimin/HOC-8602-2023; Lin, Tian Ran/J-6610-2019</t>
  </si>
  <si>
    <t>National Natural Science Foundation of China [72201148]; 111 project of the Ministry of Science and Technology of China [D21017]</t>
  </si>
  <si>
    <t>National Natural Science Foundation of China(National Natural Science Foundation of China (NSFC)); 111 project of the Ministry of Science and Technology of China</t>
  </si>
  <si>
    <t>This work was supported by the National Natural Science Foundation of China (72201148) and financial support from the 111 project of the Ministry of Science and Technology of China (D21017) .</t>
  </si>
  <si>
    <t>10.1016/j.ress.2023.109429</t>
  </si>
  <si>
    <t>L4SK9</t>
  </si>
  <si>
    <t>WOS:001023179000001</t>
  </si>
  <si>
    <t>Lu, B; Zhou, XJ</t>
  </si>
  <si>
    <t>Lu, Biao; Zhou, Xiaojun</t>
  </si>
  <si>
    <t>Quality and reliability oriented maintenance for multistage manufacturing systems subject to condition monitoring</t>
  </si>
  <si>
    <t>Multistage manufacturing system; Quality improvement; Condition-based maintenance; Importance measure; Cost optimization</t>
  </si>
  <si>
    <t>DEPENDENT COMPONENTS; HEALTH MANAGEMENT; MODELS; OPTIMIZATION; PROGNOSTICS; DESIGN; POLICY</t>
  </si>
  <si>
    <t>For manufacturing systems, product quality and machine reliability are two key health indicators, which usually deteriorate as a result of machine deterioration. Maintenance can mitigate the machine deterioration and consequently improve product quality and machine reliability. In this context, we propose a quality and reliability oriented condition-based maintenance (CBM) policy for the serial multistage manufacturing systems. In the policy, the conditions of quality-related components are monitored to evaluate the quality loss of final products and the system failure rate, which are further compared with the corresponding thresholds to decide whether to trigger preventive maintenance (PM). When PM is triggered, a cost-based improvement factor is introduced to identify the importance ranking of PM groups and then determine a group of machines for PM. This factor is developed based on importance measure and jointly considers the improvement of quality and reliability and the reduction of maintenance costs. A multi-level CBM decision-making process is developed to evaluate the total cost over the planning horizon for decision optimization. The effectiveness and superior performance of the proposed CBM policy is demonstrated through a case study of a serial four-stage machining system producing shaft sleeves.</t>
  </si>
  <si>
    <t>[Lu, Biao; Zhou, Xiaojun] Shanghai Jiao Tong Univ, Sch Mech Engn, Shanghai 200240, Peoples R China</t>
  </si>
  <si>
    <t>Zhou, XJ (corresponding author), Shanghai Jiao Tong Univ, Sch Mech Engn, Shanghai 200240, Peoples R China.</t>
  </si>
  <si>
    <t>Lu, Biao/0000-0002-2168-067X</t>
  </si>
  <si>
    <t>National Natural Science Foundation of China [51575356]</t>
  </si>
  <si>
    <t>The authors greatly acknowledge the financial supports from the National Natural Science Foundation of China (no. 51575356). The authors also thanks the editor and the reviewers for their remarkable comments that lead to a substantial improvement of the paper.</t>
  </si>
  <si>
    <t>10.1016/j.jmsy.2019.04.003</t>
  </si>
  <si>
    <t>WOS:000488660800008</t>
  </si>
  <si>
    <t>Periodic preventive maintenance planning for systems working under a Markovian operating condition</t>
  </si>
  <si>
    <t>Imperfect maintenance; Operating condition; Markov process; Accelerated failure time model; Long-term average cost</t>
  </si>
  <si>
    <t>IMPERFECT REPAIR; POLICY; SUBJECT; MODEL; OPTIMIZATION</t>
  </si>
  <si>
    <t>Systems commonly work under time-varying operating condition. Operating condition can influence the failure time of systems, which should be taken into account when do preventive maintenance (PM) planning. This study considers a one-component system working under time-varying operating condition, where the evolution process of the operating condition is governed by a Markov process. We assume that the failure time distribution of systems working under different operating condition can be modeled by an accelerated failure time model. A periodic PM policy is proposed to mitigate the increasing failure risk, where both imperfect maintenance (IM) and replacement are considered. The optimal combination of PM interval and number of IM actions before each replacement are determined by minimizing the long-term average cost, which is formulated based on the semi-regenerative properties of the system state. We also consider a special case where only two operating conditions exist. Numerical studies are conducted to validate the proposed maintenance policy.</t>
  </si>
  <si>
    <t>[Hu, Jiawen; Shen, Lijuan] Natl Univ Singapore, Dept Ind &amp; Syst Engn, Singapore, Singapore; [Shen, Jingyuan] Nanjing Univ Sci &amp; Technol, Sch Econ &amp; Management, Nanjing, Peoples R China; [Hu, Jiawen; Shen, Lijuan] Natl Univ Singapore, Suzhou Res Inst, Suzhou, Jiangsu, Peoples R China</t>
  </si>
  <si>
    <t>Natural Science Foundation of China [71801168, 71801128]</t>
  </si>
  <si>
    <t>Natural Science Foundation of China(National Natural Science Foundation of China (NSFC))</t>
  </si>
  <si>
    <t>The research is supported by Natural Science Foundation of China under Grant Nos. 71801168 and 71801128.</t>
  </si>
  <si>
    <t>10.1016/j.cie.2020.106291</t>
  </si>
  <si>
    <t>WOS:000525375800004</t>
  </si>
  <si>
    <t>Zhang, YJ; Ouyang, LH; Meng, XH; Zhu, XY</t>
  </si>
  <si>
    <t>Zhang, Yanjing; Ouyang, Linhan; Meng, Xiaohua; Zhu, Xiaoya</t>
  </si>
  <si>
    <t>Condition-based maintenance considering imperfect inspection for a multi-state system subject to competing and hidden failures</t>
  </si>
  <si>
    <t>Maintenance; Imperfect inspection; Multi-state system; Competing failure; Hidden failure</t>
  </si>
  <si>
    <t>MULTICOMPONENT SYSTEMS; JOINT OPTIMIZATION; DEGRADATION; POLICY; MODEL; AVAILABILITY</t>
  </si>
  <si>
    <t>Unexpected failures may cause huge economic losses and bring about uncontrolled risks and damage to humans and the environment. Condition-based maintenance is considered one of the most effective maintenance methods, which can reduce and eliminate possible failures and consequently ensure the safety and operating process effectiveness of systems. Inspection quality is an important factor affecting the effect of condition-based maintenance since imperfect inspection may result in inappropriate maintenance decisions. However, the factor of imperfect inspection is rarely considered when maintaining multi-state systems subjected to competing and hidden failures. In this paper, a periodical inspection policy is utilized to identify all states of a system subject to a three-state degradation process and random shocks. Inspections for all system states are considered imperfect. Upon the inspection outcome, the system may be replaced by a failure-based corrective replacement once it is detected as failed, or is renewed by a defect-based preventive replacement if a defect is identified. Moreover, an age-based preventive replacement is also required if the system is still normal up to the preset number of inspections. Subsequently, a condition-based maintenance model is constructed based on the probabilities of different renewal scenarios. Eventually, the applicability and effectiveness of the proposed model are verified by a numerical example. The results indicate that minimizing the constructed maintenance model can achieve the optimal inspection interval, which is greatly influenced by the factor of imperfect inspection. This research can provide references for decision-makers to optimize inspection and maintenance strategies.</t>
  </si>
  <si>
    <t>[Zhang, Yanjing; Meng, Xiaohua; Zhu, Xiaoya] Soochow Univ, Coll Sch Polit &amp; Publ Adm, 199,Renai Rd,Suzhou Ind Pk, Suzhou, Jiangsu, Peoples R China; [Ouyang, Linhan] Nanjing Univ Aeronaut &amp; Astronaut, Coll Econ &amp; Management, 29,Jiangjun Ave, Nanjing, Jiangsu, Peoples R China</t>
  </si>
  <si>
    <t>Soochow University - China; Nanjing University of Aeronautics &amp; Astronautics</t>
  </si>
  <si>
    <t>Ouyang, LH (corresponding author), Nanjing Univ Aeronaut &amp; Astronaut, Coll Econ &amp; Management, 29,Jiangjun Ave, Nanjing, Jiangsu, Peoples R China.</t>
  </si>
  <si>
    <t>yjzhang1211@suda.edu.cn; ouyang@nuaa.edu.cn; mengxhsuda@163.com; zhuxiaoya@suda.edu.cn</t>
  </si>
  <si>
    <t>Humanities and Social Sciences Youth Foundation, Ministry of Education of the People's Republic of China [22YJC630209]; Natural Science Foundation of Jiangsu Province [BK20230468]; Social Science Foundation of Jiangsu Province [22GLC010]; National Natural Science Foundation of China [72072089, 72174136, 71931006, 72171117]; Philosophy and Social Science Research in Colleges and Universities of Jiangsu Province [2022SJYB1455]; Humanities and Social Sciences Research Team of Soochow University [22XM0024]; Jiangsu Funding Program for Excellent Postdoctoral Talent [2022ZB602]</t>
  </si>
  <si>
    <t>Humanities and Social Sciences Youth Foundation, Ministry of Education of the People's Republic of China; Natural Science Foundation of Jiangsu Province(Natural Science Foundation of Jiangsu Province); Social Science Foundation of Jiangsu Province; National Natural Science Foundation of China(National Natural Science Foundation of China (NSFC)); Philosophy and Social Science Research in Colleges and Universities of Jiangsu Province; Humanities and Social Sciences Research Team of Soochow University; Jiangsu Funding Program for Excellent Postdoctoral Talent</t>
  </si>
  <si>
    <t>This work was supported in part by the Humanities and Social Sciences Youth Foundation, Ministry of Education of the People's Republic of China [grant number 22YJC630209] , Natural Science Foundation of Jiangsu Province [grant number BK20230468] , Social Science Foundation of Jiangsu Province [grant number 22GLC010] , National Natural Science Foundation of China [grant numbers 72072089, 72174136, 71931006, 72171117] , Philosophy and Social Science Research in Colleges and Universities of Jiangsu Province [2022SJYB1455] , Humanities and Social Sciences Research Team of Soochow University [22XM0024] , Jiangsu Funding Program for Excellent Postdoctoral Talent [2022ZB602] .</t>
  </si>
  <si>
    <t>10.1016/j.cie.2023.109856</t>
  </si>
  <si>
    <t>IF2V1</t>
  </si>
  <si>
    <t>WOS:001164856400001</t>
  </si>
  <si>
    <t>Wu, W; Prescott, D; Remenyte-Prescott, R; Saleh, A; Ruano, MC</t>
  </si>
  <si>
    <t>Wu, Wen; Prescott, Darren; Remenyte-Prescott, Rasa; Saleh, Ali; Ruano, Manuel Chiachio</t>
  </si>
  <si>
    <t>An asset management modelling framework for wind turbine blades considering monitoring system reliability</t>
  </si>
  <si>
    <t>Asset management; Wind turbine blades; Petri nets; Structural health monitoring; Monitoring system reliability</t>
  </si>
  <si>
    <t>PETRI NETS; MAINTENANCE</t>
  </si>
  <si>
    <t>By incorporating information about asset condition from a monitoring system, engineers can utilize asset management models to manage maintenance activities on wind turbine blades throughout their lifespan. This can lower operating and maintenance costs and increase the life of the blades. The asset management model relies on the monitoring system as a source of information, however, commonly the reliability of the monitoring system is not considered. This paper presents a wind turbine blade asset management Petri net (PN) model that covers the blade asset management process, including degradation, inspection, condition monitoring (CM), and maintenance processes. The paper proposes two contributions. Firstly, while taking into account detailed industry guidelines, the developed model can forecast the future blade condition for a given asset management strategy. Secondly, it investigates the impact of the reliability of the monitoring system on the asset management modelling results. With the aid of the developed model, the number of repair actions and probability distributions of blade condition discovery time are obtained. In addition, the PN gives an indication of how misreporting (underestimation and overestimation) occurs and the extent of the misreporting. The simulation results illustrate the degree of uncertainty introduced into the monitoring results by the reliability of the monitoring system and, consequently, the extent to which this factor influences the maintenance strategies. The proposed model can be used to support asset management decisions when monitoring system performance degrades.</t>
  </si>
  <si>
    <t>[Wu, Wen] Univ Nottingham, Inst Aerosp Technol &amp; Resilience Engn Res Grp, Nottingham NG7, England; [Prescott, Darren; Remenyte-Prescott, Rasa] Univ Nottingham, Fac Engn, Resilience Engn Res Grp, Univ Pk, Nottingham NG7 2RD, England; [Saleh, Ali; Ruano, Manuel Chiachio] Univ Granada UGR, Andalusian Res Inst Data Sci &amp; Computat Intelligen, Dept Struct Mech &amp; Hydraul Engn, Granada 18001, Spain</t>
  </si>
  <si>
    <t>University of Nottingham; University of Nottingham; University of Granada</t>
  </si>
  <si>
    <t>Wu, W (corresponding author), Univ Nottingham, Inst Aerosp Technol &amp; Resilience Engn Res Grp, Nottingham NG7, England.</t>
  </si>
  <si>
    <t>wen.wu1@nottingham.ac.uk</t>
  </si>
  <si>
    <t>Remenyte-Prescott, Rasa/0000-0003-2881-4017</t>
  </si>
  <si>
    <t>European Union [859957]</t>
  </si>
  <si>
    <t>This work has received funding from the European Union's Horizon 2020 research and innovation program under the Marie Sklodowska-Curie grant agreement No. 859957.</t>
  </si>
  <si>
    <t>10.1016/j.ress.2024.110478</t>
  </si>
  <si>
    <t>F0R3O</t>
  </si>
  <si>
    <t>WOS:001306974300001</t>
  </si>
  <si>
    <t>Fu, YQ; Zhu, XY; Ma, XY</t>
  </si>
  <si>
    <t>Fu, Yuqiang; Zhu, Xiaoyan; Ma, Xiaoyang</t>
  </si>
  <si>
    <t>Optimum component reallocation and system replacement maintenance for a used system with increasing minimal repair cost</t>
  </si>
  <si>
    <t>Used system; Component reallocation; System replacement; Maintenance; Functionally interchangeable components; Nonhomogeneous degradation</t>
  </si>
  <si>
    <t>PERIODIC REPLACEMENT; MULTISTATE ELEMENTS; ALLOCATION; POLICY; AGE; OPTIMIZATION; HEURISTICS</t>
  </si>
  <si>
    <t>Motivated by the economics of a used system, the paper studies a component reallocation (CR) based maintenance policy for a used and repairable system with functionally interchangeable components. The policy, denoted as optimum CR and system replacement maintenance, incorporates the actions of CR and system replacement to minimize the expected maintenance cost per unit time. The components experience non-homogeneous degradation with different failure rates and different minimal repair costs because of different position conditions. The minimal repair costs are increasing over time. The CR action reallocates the functionally interchangeable components to balance degradation. The system replacement action replaces system by a new or used one. A mixed binary nonlinear optimization model for the policy is established to determine the optimal time and assignment for CR and the optimal time for system replacement. Further, we analyze the expected maintenance cost per unit time over the used age of system and some special cases. Finally, specializing the failure rate by Weibull distribution and the minimal repair cost by inversely proportional to the component reliability, numerical examples show the efficiency of CR compared to the system replacement maintenance without CR.</t>
  </si>
  <si>
    <t>[Fu, Yuqiang] Univ Sci &amp; Technol Beijing, Sch Math &amp; Phys, Beijing, Peoples R China; [Zhu, Xiaoyan] Univ Chinese Acad Sci, Sch Econ &amp; Management, Beijing, Peoples R China; [Ma, Xiaoyang] Beijing Informat Sci &amp; Technol Univ, Sch Informat Management, Beijing, Peoples R China</t>
  </si>
  <si>
    <t>University of Science &amp; Technology Beijing; Chinese Academy of Sciences; University of Chinese Academy of Sciences, CAS; Beijing Information Science &amp; Technology University</t>
  </si>
  <si>
    <t>Ma, XY (corresponding author), Beijing Informat Sci &amp; Technol Univ, Sch Informat Management, Beijing, Peoples R China.</t>
  </si>
  <si>
    <t>maxiaoyang0218@163.com</t>
  </si>
  <si>
    <t>National Natural Science Foundation of China (NSFC) [71571178, 71601019, 71731008]</t>
  </si>
  <si>
    <t>This work was supported in part by the National Natural Science Foundation of China (NSFC) under grant #71571178, #71601019 and a key project grant #71731008.</t>
  </si>
  <si>
    <t>10.1016/j.ress.2020.107137</t>
  </si>
  <si>
    <t>WOS:000583913400025</t>
  </si>
  <si>
    <t>Zhao, X; Chai, XF; Cao, S; Qiu, QA</t>
  </si>
  <si>
    <t>Zhao, Xian; Chai, Xiaofei; Cao, Shuai; Qiu, Qingan</t>
  </si>
  <si>
    <t>Dynamic loading and condition-based maintenance policies for multi-state systems with periodic inspection</t>
  </si>
  <si>
    <t>Load level adjustment; Condition-based maintenance; Markov decision process; Shock model</t>
  </si>
  <si>
    <t>JOINT OPTIMIZATION; SUBJECT; MODEL</t>
  </si>
  <si>
    <t>Many engineering systems suffer gradual deterioration due to both external environmental damage and internal stress caused by working loads. System degradation is directly related to its working load, providing opportunities to control degradation by adjusting the workload. However, most existing research neglects the effect of environmental factors on system failure behavior and maintenance decisions. This paper addresses this research gap by investigating the optimal joint inspection interval, condition-based maintenance, and loading policies for systems operating in a random shock environment. We formulated the problem as a Markov decision process aimed at minimizing the long-run discounted cost, utilizing the value iteration algorithm to find optimal integrated policies while analyzing the corresponding structural properties of the policy. We extended our model by characterizing the shock arrival process with a non-homogeneous Poisson process, conducting comprehensive policy comparison and parameter sensitivity analyses through a numerical example. Our results illustrate that dynamic working load adjustment significantly impacts system degradation and the long-run expected cost. Moreover, the optimal joint policy is highly dependent on the relationship between the working load and system state deterioration. Finally, we derived some managerial implications for the joint development of load regulation and maintenance implementation to support decision-making.</t>
  </si>
  <si>
    <t>[Zhao, Xian; Chai, Xiaofei; Cao, Shuai; Qiu, Qingan] Beijing Inst Technol, Sch Management &amp; Econ, Beijing 100081, Peoples R China</t>
  </si>
  <si>
    <t>Qiu, QA (corresponding author), Beijing Inst Technol, Sch Management &amp; Econ, Beijing 100081, Peoples R China.</t>
  </si>
  <si>
    <t>zhaoxian@bit.edu.cn; chai_xiaofei@163.com; csh_bit@163.com; qiu_qingan@163.com</t>
  </si>
  <si>
    <t>Chai, Xiaofei/IUN-9794-2023; , Qingan/AEV-3558-2022</t>
  </si>
  <si>
    <t>National Natural Science Foundation of China [72131002, 71971026, 72001026, 72371030]; Science and Technology Innovation Project of Beijing Institute of Technology [2023CX01028, LY2022-23]</t>
  </si>
  <si>
    <t>The authors are grateful to the editor and reviewers for their helpful comments. This research is supported by the National Natural Science Foundation of China (72131002, 71971026, 72001026 and 72371030) , and Science and Technology Innovation Project of Beijing Institute of Technology (Grant Nos. 2023CX01028 and LY2022-23) .</t>
  </si>
  <si>
    <t>10.1016/j.ress.2023.109586</t>
  </si>
  <si>
    <t>S2PZ7</t>
  </si>
  <si>
    <t>WOS:001069654900001</t>
  </si>
  <si>
    <t>Sahnoun, M; Baudry, D; Mustafee, N; Louis, A; Smart, PA; Godsiff, P; Mazari, B</t>
  </si>
  <si>
    <t>Sahnoun, M'hammed; Baudry, David; Mustafee, Navonil; Louis, Anne; Smart, Philip Andi; Godsiff, Phil; Mazari, Belahcene</t>
  </si>
  <si>
    <t>Modelling and simulation of operation and maintenance strategy for offshore wind farms based on multi-agent system</t>
  </si>
  <si>
    <t>Offshore wind turbine; Renewable energy; Maintenance; Failure modes; Multi-agent systems; Simulation</t>
  </si>
  <si>
    <t>RELIABILITY; MANAGEMENT; WAKE; OPTIMIZATION; TURBINES</t>
  </si>
  <si>
    <t>Maintenance of offshore wind turbines is a complex and costly undertaking which acts as a barrier to the development of this source of energy. Factors such as the size of the turbines, the size of the wind farms, their distance from the coast and meteorological conditions make it difficult for the stakeholders to select the optimal maintenance strategy. With the objective of reducing costs and duration of such operations it is important that new maintenance techniques are investigated. In this paper we propose a hybrid model of maintenance that is based on multi-agent systems; this allows for the modelling of systems with dynamic interactions between multiple parts. A multi-criteria decision algorithm has been developed to allow analysis and selection of different maintenance strategies. A cost model that includes maintenance action cost, energy loss and installation of monitoring system cost has been presented. For the purposes of this research we have developed a simulator using NetLogo software and have provided experimental results. The results show that employing the proposed hybrid maintenance strategy could increase wind farm productivity and reduce maintenance cost.</t>
  </si>
  <si>
    <t>[Sahnoun, M'hammed; Louis, Anne; Mazari, Belahcene] CESI IRISE Lab, 1 Rue G Marconi, Mont St Aignan, France; [Baudry, David] CESI LUSINE Lab, 1 Rue G Marconi, Mont St Aignan, France; [Mustafee, Navonil; Smart, Philip Andi; Godsiff, Phil] Univ Exeter, Ctr Innovat &amp; Serv Res ISR, Exeter EX4 4ST, Devon, England</t>
  </si>
  <si>
    <t>University of Exeter</t>
  </si>
  <si>
    <t>Sahnoun, M (corresponding author), CESI IRISE Lab, 1 Rue G Marconi, Mont St Aignan, France.</t>
  </si>
  <si>
    <t>msahnoun@cesi.fr; dbaudry@cesi.fr; n.mustafee@exeter.ac.uk; alouis@cesi.fr; p.a.smart@exeter.ac.uk; phil.godsiff@exeter.ac.uk; bmazari@cesi.fr</t>
  </si>
  <si>
    <t>Sahnoun, M'hammed/AAD-4021-2019; Baudry, David/ABG-2242-2020; Mustafee, Navonil/B-8313-2008</t>
  </si>
  <si>
    <t>Baudry, David/0000-0002-4386-4496; Sahnoun, M'hammed/0000-0003-3515-8118; Mustafee, Navonil/0000-0002-2204-8924</t>
  </si>
  <si>
    <t>European Union through the European Program INTERREG IVA France-Channel-UK by funding project entitled MER Innovate</t>
  </si>
  <si>
    <t>Acknowledgement is made to European Union for the support of this research through the European Program INTERREG IVA France-Channel-UK by funding project entitled MER Innovate.</t>
  </si>
  <si>
    <t>10.1007/s10845-015-1171-0</t>
  </si>
  <si>
    <t>JN1KT</t>
  </si>
  <si>
    <t>WOS:000496662600012</t>
  </si>
  <si>
    <t>Cha, JH; Finkelstein, M</t>
  </si>
  <si>
    <t>Cha, Ji Hwan; Finkelstein, Maxim</t>
  </si>
  <si>
    <t>Preventive maintenance for the constrained multi-attempt minimal repair</t>
  </si>
  <si>
    <t>Minimal repair; Polya-Aeppli process; Poisson process; Maintenance; Optimal replacement</t>
  </si>
  <si>
    <t>In practice, at some instances, the repair of a failed item can be unsuccessful and should be repeated due to various reasons. This can happen in practice with a minimal repair when a failed part of a system is replaced, e. g., by the faulty spare. The corresponding stochastic model that takes into account this possibility can be described probabilistically in terms of the Polya-Aeppli process, which is a generalization of the Poisson process to the case of multiple occurrences of events. Some useful properties for considering optimal preventive maintenance problems are derived. The optimal replacement policy for a system with the multi-attempt minimal repairs is defined and analysed. The characteristic feature of this policy is that the system is replaced not only on reaching the predetermined age but also after a fixed number of unsuccessful minimal repairs. The detailed numerical examples illustrate our findings.</t>
  </si>
  <si>
    <t>[Cha, Ji Hwan] Ewha Womans Univ, Dept Stat, Seoul 120750, South Korea; [Finkelstein, Maxim] Univ Free State, Dept Math Stat, Bloemfontein, South Africa; [Finkelstein, Maxim] Univ Strathclyde, Dept Management Sci, Glasgow City, Scotland</t>
  </si>
  <si>
    <t>Ewha Womans University; University of the Free State; University of Strathclyde</t>
  </si>
  <si>
    <t>Finkelstein, Maxim/0000-0002-3018-8353</t>
  </si>
  <si>
    <t>The authors thank the reviewers for their helpful comments and advice, which have improved the presentation of this paper. The work of the first author was supported by Basic Science Research Program through the National Research Foundation of Korea (NRF) funded by the Ministry of Education (Grant No. 2019R1A6A1A11051177) .</t>
  </si>
  <si>
    <t>10.1016/j.ress.2023.109899</t>
  </si>
  <si>
    <t>IJ7Y2</t>
  </si>
  <si>
    <t>WOS:001166034700001</t>
  </si>
  <si>
    <t>Valuing data in aircraft maintenance through big data analytics: A probabilistic approach for capacity planning using Bayesian networks</t>
  </si>
  <si>
    <t>Maintenance; Capacity planning; Bayesian networks; Big data analytics; Decision support systems</t>
  </si>
  <si>
    <t>RISK ANALYSIS; MARINE TRANSPORTATION; MODELS; UNCERTAINTY; SAFETY; PLANTS</t>
  </si>
  <si>
    <t>Capacity planning is an important problem faced by aircraft Maintenance, Repair and Overhaul (MRO) organizations given the uncertainty of maintenance workloads. Despite the considerable amount of data generated and stored during the planning process, these have yet to provide a decisive competitive advantage to aircraft MROs. This paper addresses this problem by exploring Bayesian networks (BNs) as a big data and predictive analytics (BDPA) tool to cope with the uncertainty on both scheduled and unscheduled maintenance workloads and to improve the MROs capacity planning decision-making process based on incomplete information. The BNs were developed from a real industrial dataset referring to 372 aircraft maintenance projects of a Portuguese MRO and comprise information variables representing typical information collected during the planning process and hypothesis variables representing the workloads required to be estimated. The benefits of applying BNs as a BDPA tool in aircraft maintenance are demonstrated through examples referring to capacity planning, but also sales planning, using real maintenance data. The BDPA tool based on BNs is generic and can be applied to the maintenance capacity planning process of any MRO, allowing accurate estimations and more informed decisions to be made when compared to current practices, which are based on descriptive statistics of past maintenance workloads.</t>
  </si>
  <si>
    <t>duarte.dinis@tecnico.ulisboa.pt</t>
  </si>
  <si>
    <t>Dinis, Duarte/0000-0002-0515-2316; Barbosa-Povoa, Ana/0000-0001-6594-9653; Teixeira, Angelo Palos/0000-0002-0012-2652</t>
  </si>
  <si>
    <t>Portuguese National Science Foundation (FCT) [PD/BD/52345/2013]; Fundação para a Ciência e a Tecnologia [PD/BD/52345/2013] Funding Source: FCT</t>
  </si>
  <si>
    <t>Portuguese National Science Foundation (FCT)(Fundacao para a Ciencia e a Tecnologia (FCT)); Fundação para a Ciência e a Tecnologia(Fundacao para a Ciencia e a Tecnologia (FCT))</t>
  </si>
  <si>
    <t>This work was supported by the Portuguese National Science Foundation (FCT) under Grant PD/BD/52345/2013.</t>
  </si>
  <si>
    <t>10.1016/j.cie.2018.10.015</t>
  </si>
  <si>
    <t>HK8EJ</t>
  </si>
  <si>
    <t>WOS:000458221900070</t>
  </si>
  <si>
    <t>Zhang, N; Deng, YJ; Liu, B; Zhang, J</t>
  </si>
  <si>
    <t>Zhang, Nan; Deng, Yingjun; Liu, Bin; Zhang, Jun</t>
  </si>
  <si>
    <t>Condition-based maintenance for a multi-component system in a dynamic operating environment</t>
  </si>
  <si>
    <t>Dynamic environment; Condition-based maintenance; Multi-component systems; Markov decision process</t>
  </si>
  <si>
    <t>OPTIMAL INSPECTION; DEGRADATION; RELIABILITY; POLICY; AVAILABILITY; COMPONENTS; SUBJECT; MODEL</t>
  </si>
  <si>
    <t>This paper develops a condition-based maintenance (CBM) model for a multi-component system operating under a dynamic environment. The degradation process of each component depends on both its intrinsic characteristic and the common operating environment. We model the environment evolution by a continuous -time Markov process, given which, the degradation increment of each component is described by a Poisson distribution. System reliability is firstly obtained, followed by a CBM policy to sustain system operation and ensure safety. In modelling the environmental effect on component degradation processes, two scenarios are considered. The first scenario considers renewable environment evolution while the second scenario on non-renewable environment evolution. The problem is casted into the Markov decision process (MDP) framework where the total expected discounted cost in the long-run horizon is utilized as the optimization objective to assess the policy. Structural properties of the optimal maintenance policy are investigated under mild conditions, which are further embedded into the value iteration algorithm to reduce the computational burden in calculating the maintenance cost. Applicability of the proposed model is illustrated through numerical examples.</t>
  </si>
  <si>
    <t>[Zhang, Nan] Beijing Inst Technol, Sch Management &amp; Econ, Beijing, Peoples R China; [Deng, Yingjun] Tianjin Univ, Ctr Appl Math, Tianjin, Peoples R China; [Liu, Bin] Univ Strathclyde, Business Sch, Glasgow, Scotland; [Zhang, Jun] Beijing Inst Technol, Adv Res Inst Multidisciplinary Sci, Beijing, Peoples R China</t>
  </si>
  <si>
    <t>Beijing Institute of Technology; Tianjin University; University of Strathclyde; Beijing Institute of Technology</t>
  </si>
  <si>
    <t>Liu, B (corresponding author), Univ Strathclyde, Business Sch, Glasgow, Scotland.</t>
  </si>
  <si>
    <t>Liu, Bin/GZM-0167-2022; zhang, jiliang/N-5659-2015; Deng, Yingjun/AAK-1297-2020</t>
  </si>
  <si>
    <t>zhang, nan/0000-0003-0969-2456; Liu, Bin/0000-0002-3946-8124</t>
  </si>
  <si>
    <t>National Natural Science Foundation of China; [71901026]</t>
  </si>
  <si>
    <t>National Natural Science Foundation of China(National Natural Science Foundation of China (NSFC));</t>
  </si>
  <si>
    <t>Acknowledgements This work is supported by the National Natural Science Foundation of China (No. 71901026) .</t>
  </si>
  <si>
    <t>10.1016/j.ress.2022.108988</t>
  </si>
  <si>
    <t>6X8WV</t>
  </si>
  <si>
    <t>WOS:000896689600007</t>
  </si>
  <si>
    <t>Sun, QZ; Ye, ZS; Zhu, XY</t>
  </si>
  <si>
    <t>Sun, Qiuzhuang; Ye, Zhi-Sheng; Zhu, Xiaoyan</t>
  </si>
  <si>
    <t>Managing component degradation in series systems for balancing degradation through reallocation and maintenance</t>
  </si>
  <si>
    <t>Condition-based maintenance; multivariate Wiener process; semi-regenerative process; stochastic response surface method; hybrid-electric vehicles</t>
  </si>
  <si>
    <t>PREVENTIVE MAINTENANCE; REPLACEMENT POLICIES; REPAIRABLE SYSTEMS; MODEL; OPTIMIZATION; INSPECTION; UNCERTAINTY; FAILURES</t>
  </si>
  <si>
    <t>In a physical system, components are usually installed in fixed positions that are known as operating slots. Due to such reasons as user behavior and imbalanced workload, a component's degradation can be affected by the corresponding installation position in the system. As a result, components degradation levels can be significantly different even when the components come from a homogeneous population. Dynamic reallocation of the components among the installation positions is a feasible way to balance the extent of the degradation, and hence, extend the time from system installation to its replacement. In this study, we quantify the benefit of incorporating reallocation into the condition-based maintenance framework for series systems. The degradation of components in the system is modeled as a multivariate Wiener process, where the correlation between the degradation is considered. Under the periodic inspection framework, the optimal control limits for reallocation and preventive replacement are investigated. We first propose a reallocation policy of two-component systems, where the degradation process with reallocation and replacement is formulated as a semi-regenerative process. Then the long-run average operational cost is computed based on the stationary distribution of its embedded Markov chain. We then generalize the model to general series systems and use Monte Carlo simulations to approximate the maintenance cost. The optimal thresholds for reallocation and replacement are obtained from a stochastic response surface method using a stochastic kriging model. We further generalize the model to the scenario of an unknown degradation rate associated with each slot. The proposed model is applied to the tire system of a car and the battery system of hybrid-electric vehicles, where we show that the reallocation policy is capable of significantly reducing the system's long-run average operational cost.</t>
  </si>
  <si>
    <t>[Sun, Qiuzhuang; Ye, Zhi-Sheng] Natl Univ Singapore, Dept Ind Syst Engn &amp; Management, Singapore, Singapore; [Zhu, Xiaoyan] Univ Chinese Acad Sci, Sch Econ &amp; Management, Beijing, Peoples R China</t>
  </si>
  <si>
    <t>National University of Singapore; Chinese Academy of Sciences; University of Chinese Academy of Sciences, CAS</t>
  </si>
  <si>
    <t>Ye, ZS (corresponding author), Natl Univ Singapore, Dept Ind Syst Engn &amp; Management, Singapore, Singapore.</t>
  </si>
  <si>
    <t>yez@nus.edu.sg</t>
  </si>
  <si>
    <t>zhu, xiaoyan/AAQ-6601-2021; Sun, Qiuzhuang/N-8864-2019; Ye, Zhisheng/F-6635-2011</t>
  </si>
  <si>
    <t>Sun, Qiuzhuang/0000-0002-7103-1387</t>
  </si>
  <si>
    <t>National Science Foundation of Jiangsu Province [BK20180232]; National Natural Science Foundation of China (NSFC) [71571178, 71971206, 71731008]</t>
  </si>
  <si>
    <t>National Science Foundation of Jiangsu Province; National Natural Science Foundation of China (NSFC)(National Natural Science Foundation of China (NSFC))</t>
  </si>
  <si>
    <t>Sun and Ye were supported by the National Science Foundation of Jiangsu Province under grant BK20180232. Zhu was supported in part by the National Natural Science Foundation of China (NSFC) under grant #71571178, #71971206, and #71731008.</t>
  </si>
  <si>
    <t>10.1080/24725854.2019.1672908</t>
  </si>
  <si>
    <t>WOS:000493999800001</t>
  </si>
  <si>
    <t>Zhang, HY; Marsh, DWR</t>
  </si>
  <si>
    <t>Zhang, Haoyuan; Marsh, D. William R.</t>
  </si>
  <si>
    <t>Managing infrastructure asset: Bayesian networks for inspection and maintenance decisions reasoning and planning</t>
  </si>
  <si>
    <t>Condition prediction; Multi-state system; System configuration; Bayesian networks; Maintenance modelling; Observational and intervention</t>
  </si>
  <si>
    <t>MODELING APPROACH; PROBABILITY</t>
  </si>
  <si>
    <t>Models of maintenance problems must handle complex assumptions, allowing, for example, the condition of some assets to be rated directly using multiple states while in others the condition rating is inferred from that of the components from which they are assembled. The overall condition inferred, which informs the maintenance decisions, requires evidential reasoning under uncertainty. This paper uses Bayesian networks to address these challenges with real case studies. We apply the binary factorisation technique to allow inference of multi-state condition prediction, and further extend it to predict the condition of an asset with multiple components. These models are used to recommend inspection decisions such as which assets to inspect and when to inspect them. Models are also developed to evaluate the effectiveness of repair interventions and to use this to suggest repair actions. We show how to model multiple interventions within the asset life cycle considering both repair effectiveness and further deterioration. This modelling allows us to plan maintenance activities for an asset over its whole life cycle.</t>
  </si>
  <si>
    <t>[Zhang, Haoyuan; Marsh, D. William R.] Queen Mary Univ London, Sch Elect Engn &amp; Comp Sci, Risk &amp; Informat Management Res Grp, London E1 4NS, England</t>
  </si>
  <si>
    <t>University of London; Queen Mary University London</t>
  </si>
  <si>
    <t>Zhang, HY (corresponding author), Queen Mary Univ London, Sch Elect Engn &amp; Comp Sci, Risk &amp; Informat Management Res Grp, London E1 4NS, England.</t>
  </si>
  <si>
    <t>haoyuan.zhang@qmul.ac.uk</t>
  </si>
  <si>
    <t>Marsh, David/JCE-1503-2023</t>
  </si>
  <si>
    <t>EPSRC [EP/P009964/1]; EPSRC [EP/P009964/1] Funding Source: UKRI</t>
  </si>
  <si>
    <t>EPSRC(UK Research &amp; Innovation (UKRI)Engineering &amp; Physical Sciences Research Council (EPSRC)); EPSRC(UK Research &amp; Innovation (UKRI)Engineering &amp; Physical Sciences Research Council (EPSRC))</t>
  </si>
  <si>
    <t>This is supported by EPSRC (EP/P009964/1: PAMBAYESIAN). We also thank Agena for use of their software AgenaRisk.</t>
  </si>
  <si>
    <t>10.1016/j.ress.2020.107328</t>
  </si>
  <si>
    <t>WOS:000606682100012</t>
  </si>
  <si>
    <t>Cheng, JD; Cheng, MH; Liu, Y; Wu, J; Li, W; Frangopol, DM</t>
  </si>
  <si>
    <t>Cheng, Jianda; Cheng, Minghui; Liu, Yan; Wu, Jun; Li, Wei; Frangopol, Dan M.</t>
  </si>
  <si>
    <t>Knowledge transfer for adaptive maintenance policy optimization in engineering fleets based on meta-reinforcement learning</t>
  </si>
  <si>
    <t>Deep reinforcement learning; Meta-reinforcement learning; Knowledge transfer; Maintenance policy; Engineering fleet</t>
  </si>
  <si>
    <t>OPTIMUM INSPECTION; AIRCRAFT FLEET; FRAMEWORK; FATIGUE; MANAGEMENT</t>
  </si>
  <si>
    <t>Maintenance policy optimization is crucial for ensuring the efficient functioning of structures and systems and mitigating the risk of deterioration. Reinforcement learning methods, especially when combined with deep neural networks, have seen significant progress in supporting maintenance decisions. However, deep reinforcement learning (DRL) typically necessitates an extensive number of interactions with the system to acquire the optimal policy, resulting in data inefficiency issues that limit the application of DRL in practical engineering fleet problems. Deriving optimal policies with DRL repeatedly for every individual in the engineering fleet can be computationally expensive or even prohibitive. To address the data inefficiency issues, this study proposes a novel maintenance optimization approach that can transfer knowledge from previously learned maintenance cases to the new cases to accelerate the DRL process. Meta-reinforcement learning (MetaRL) method is proposed to realize the concept of knowledge transfer within a fleet by learning a meta-learned policy. In particular, the meta-learned policy can be quickly adapted to each individual case of the engineering fleet, thereby reducing the required computational burden for maintenance policy optimization. Two examples are used to demonstrate the effectiveness of knowledge transfer.</t>
  </si>
  <si>
    <t>[Cheng, Jianda; Liu, Yan; Wu, Jun; Li, Wei] Huazhong Univ Sci &amp; Technol, Sch Naval Architecture &amp; Ocean Engn, Wuhan 430074, Peoples R China; [Cheng, Minghui] Univ Miami, Dept Civil &amp; Architectural Engn, Coral Gables, FL 33146 USA; [Cheng, Minghui] Univ Miami, Sch Architecture, Coral Gables, FL 33146 USA; [Frangopol, Dan M.] Lehigh Univ, ATLSS Engn Res Ctr, Dept Civil &amp; Environm Engn, Bethlehem, PA 18015 USA</t>
  </si>
  <si>
    <t>Huazhong University of Science &amp; Technology; University of Miami; University of Miami; Lehigh University</t>
  </si>
  <si>
    <t>Liu, Y (corresponding author), Huazhong Univ Sci &amp; Technol, Sch Naval Architecture &amp; Ocean Engn, Wuhan 430074, Peoples R China.</t>
  </si>
  <si>
    <t>yanliuch@hust.edu.cn</t>
  </si>
  <si>
    <t>Frangopol, Dan/A-7408-2015; Liu, Yan/U-1083-2018</t>
  </si>
  <si>
    <t>Frangopol, Dan/0000-0002-9213-0683; Liu, Yan/0000-0002-2471-2112; Cheng, Jianda/0000-0002-0949-2190; Cheng, Minghui/0000-0002-8983-5148</t>
  </si>
  <si>
    <t>Hubei Provincial Natural Science Foundation for Innovation Groups, China [2021CFA026]; National Natural Science Foundation of China [51875225]; Ministry of Industry and Information Technology of China [TC210804R-1]</t>
  </si>
  <si>
    <t>Hubei Provincial Natural Science Foundation for Innovation Groups, China; National Natural Science Foundation of China(National Natural Science Foundation of China (NSFC)); Ministry of Industry and Information Technology of China</t>
  </si>
  <si>
    <t>We thank the anonymous referees whose comments greatly im-proved the manuscript. The support from the Hubei Provincial Natural Science Foundation for Innovation Groups, China (No. 2021CFA026) , National Natural Science Foundation of China (Grant No. 51875225) and the Ministry of Industry and Information Technology of China (Grant No. TC210804R-1) is gratefully acknowledged. The opinions and conclusions presented in this paper are those of the authors and do not necessarily reflect the views of the sponsoring organizations.</t>
  </si>
  <si>
    <t>10.1016/j.ress.2024.110127</t>
  </si>
  <si>
    <t>RF7K2</t>
  </si>
  <si>
    <t>WOS:001226315700001</t>
  </si>
  <si>
    <t>Yoon, S; Weidner, T; Hastak, M</t>
  </si>
  <si>
    <t>Yoon, Soojin; Weidner, Theodore; Hastak, Makarand</t>
  </si>
  <si>
    <t>Total-Package-Prioritization Mitigation Strategy for Deferred Maintenance of a Campus-Sized Institution</t>
  </si>
  <si>
    <t>Deferred maintenance (DeM); Facility condition assessment (FCA); Facility Condition Index (FCI); Fault tree analysis (FTA); Bayesian network analysis (BNA); Building facility management</t>
  </si>
  <si>
    <t>BAYESIAN NETWORK APPROACH</t>
  </si>
  <si>
    <t>Deferred maintenance (DeM) backlogs can accelerate facility deterioration, which can cause buildings to reach demolition conditions prematurely. Although higher-education institutions allocate DeM costs to the budget, they lack a strategic decision-making process to address the DeM backlog issue. This paper provides a new paradigm to evaluate and diagnose the DeM requirements at the system, subsystem, and component levels. The proposed total-package-prioritization (TPP) mitigation strategy for the DeM consists of five phases: (1) building selection, (2) system evaluation, (3) DeM component evaluation, (4) DeM subsystem model evaluation, and (5) total subsystem evaluation. The key performance factor was reliability, to evaluate the facility condition at the different levels. Probabilistic risk assessments, including fault tree analysis and Bayesian network analysis, were applied to develop the TPP. A case study was conducted as part of this research to validate the proposed framework with 188 DeM components. After the execution of the TPP, Facility Condition Index (FCI) values for the selected buildings were decreased below target value of 0.1, which is considered good condition for the FCI. Therefore, the proposed TPP mitigation strategy for DeM backlogs can help not only in systematically diagnosing the conditions of a building from component to the system level, but can also improve cost-effective budget allocation by improving the FCI value of a building.</t>
  </si>
  <si>
    <t>[Yoon, Soojin; Weidner, Theodore; Hastak, Makarand] Purdue Univ, Div Construct Engn &amp; Management, 550 Stadium Mall Dr, W Lafayette, IN 47907 USA</t>
  </si>
  <si>
    <t>Purdue University System; Purdue University</t>
  </si>
  <si>
    <t>Yoon, S (corresponding author), Purdue Univ, Div Construct Engn &amp; Management, 550 Stadium Mall Dr, W Lafayette, IN 47907 USA.</t>
  </si>
  <si>
    <t>yoon88@purdue.edu; tjweidne@purdue.edu; hastak@purdue.edu</t>
  </si>
  <si>
    <t>Yoon, Soojin/0000-0001-7832-6834</t>
  </si>
  <si>
    <t>10.1061/(ASCE)CO.1943-7862.0001956</t>
  </si>
  <si>
    <t>SK8DL</t>
  </si>
  <si>
    <t>WOS:000656445700017</t>
  </si>
  <si>
    <t>Zhang, Y; Li, SY; Deng, Y; Chen, HG; Yan, X; Li, J</t>
  </si>
  <si>
    <t>Zhang, Yan; Li, Shiyu; Deng, Yang; Chen, Honggen; Yan, Xin; Li, Jing</t>
  </si>
  <si>
    <t>Joint decision-making model of preventive maintenance and delayed monitoring SPC based on imperialist competitive algorithm</t>
  </si>
  <si>
    <t>JOURNAL OF INTELLIGENT &amp; FUZZY SYSTEMS</t>
  </si>
  <si>
    <t>Repairable system; delayed monitoring; preventive maintenance; statistical process control; joint economic design</t>
  </si>
  <si>
    <t>STATISTICAL PROCESS-CONTROL; (X)OVER-BAR CONTROL CHART; INTEGRATED MODEL; QUALITY-CONTROL; CONTROL POLICY; TIME; SYSTEMS; OPTIMIZATION; DESIGN; CHAIN</t>
  </si>
  <si>
    <t>This paper develops a joint decision-making model approach to preventive maintenance and SPC (statistical process control) with delayed monitoring considered. The proposal of delayed monitoring policy postpones the sampling process till a scheduled time and contributes to six renewal scenarios of the production process, where maintenance actions are triggered by scheduled duration of preventive maintenance or the alert of X chart for monitoring the shift of process mean resulted by deterioration of equipment. By analyzing the evolution of the system in different scenarios, a mathematical model is given to minimize the expected cost per unit time by optimizing values of five variables (scheduled duration without monitoring, scheduled duration of preventive maintenance, sample size, sampling interval and control limit). The results of a numerical example indicate that the hourly cost of the proposed model is lower than the model that delayed monitoring is not considered when the system has a low hazard rate during the early period. Finally, a sensitivity analysis is performed to demonstrate the effect of model parameters.</t>
  </si>
  <si>
    <t>[Zhang, Yan] Zhengzhou Univ Aeronaut, Sch Business Adm, Zhengzhou, Henan, Peoples R China; [Li, Shiyu; Deng, Yang; Chen, Honggen; Yan, Xin; Li, Jing] Zhengzhou Univ Aeronaut, Sch Management Engn, Zhengzhou, Henan, Peoples R China</t>
  </si>
  <si>
    <t>Zhengzhou University of Aeronautics; Zhengzhou University of Aeronautics</t>
  </si>
  <si>
    <t>Chen, HG (corresponding author), Zhengzhou Univ Aeronaut, Sch Management Engn, Zhengzhou, Henan, Peoples R China.</t>
  </si>
  <si>
    <t>microwr@163.com</t>
  </si>
  <si>
    <t>Li, Shiyu/ABE-4451-2020</t>
  </si>
  <si>
    <t>Nation Natural Science of China [U1404702, 71871204]; Program for Innovative Research Team (in Science and Technology) in University of Henan Province [21RTSTHN018]; Humanities and Social Sciences Foundation of Ministry of Education of China [20YJCZH235]; Science and Technology Project of Henan Science andTechnology Department, China [212102210338]</t>
  </si>
  <si>
    <t>Nation Natural Science of China(National Natural Science Foundation of China (NSFC)); Program for Innovative Research Team (in Science and Technology) in University of Henan Province; Humanities and Social Sciences Foundation of Ministry of Education of China(Ministry of Education, China); Science and Technology Project of Henan Science andTechnology Department, China</t>
  </si>
  <si>
    <t>The authors gratefully acknowledge the financial supports from the Nation Natural Science of China (No. U1404702 and 71871204), Program for Innovative Research Team (in Science and Technology) in University of Henan Province (No. 21RTSTHN018), the Humanities and Social Sciences Foundation of Ministry of Education of China (No.20YJCZH235), Science and Technology Project of Henan Science andTechnology Department, China (No. 212102210338).</t>
  </si>
  <si>
    <t>IOS PRESS</t>
  </si>
  <si>
    <t>NIEUWE HEMWEG 6B, 1013 BG AMSTERDAM, NETHERLANDS</t>
  </si>
  <si>
    <t>1064-1246</t>
  </si>
  <si>
    <t>1875-8967</t>
  </si>
  <si>
    <t>J INTELL FUZZY SYST</t>
  </si>
  <si>
    <t>J. Intell. Fuzzy Syst.</t>
  </si>
  <si>
    <t>10.3233/JIFS-211853</t>
  </si>
  <si>
    <t>0Y9GE</t>
  </si>
  <si>
    <t>WOS:000790690300036</t>
  </si>
  <si>
    <t>Eddouh, Y; Daya, A; El Otmani, R; Touache, A</t>
  </si>
  <si>
    <t>Eddouh, Yassine; Daya, Abdelmajid; El Otmani, Rabie; Touache, Abdelhamid</t>
  </si>
  <si>
    <t>Maximizing Wind Turbine Efficiency: Monte Carlo Simulation Based on Cost and Energy Loss Analysis for Optimal Preventive Maintenance</t>
  </si>
  <si>
    <t>Wind turbine; Preventive maintenance; Optimization; Monte Carlo; Reliability; Production process</t>
  </si>
  <si>
    <t>OPTIMIZATION; POLICY</t>
  </si>
  <si>
    <t>In response to the urgent need for sustainable energy, this study addresses a critical challenge in wind turbine optimization. It focuses on developing a nuanced preventive maintenance strategy to minimize costs and mitigate energy losses. Within this framework, our paper introduces a novel approach employing a Monte Carlo simulation to identify the optimal preventive maintenance frequency, striking a balance between cost efficiency and energy loss mitigation. The results show, that grouped maintenance approach, pinpointing an optimal frequency of 93 months. This strategic configuration minimizes costs to $9997 while concurrently maintaining an average energy loss of 32.014 MWh, resulting in a notable 4.29% increase in total energy production. Variability analysis reveals that increasing maintenance frequency reduces cost fluctuations, while energy loss remains relatively stable. These findings elucidate the interplay among preventive maintenance strategies, cost, and reliability in the realm of wind turbine performance optimization.</t>
  </si>
  <si>
    <t>[Eddouh, Yassine; El Otmani, Rabie] Chouaib Doukkali Univ, Sci Energy Lab LabSIPE, ENSAJ, El Jadida, Morocco; [Daya, Abdelmajid] Moulay Ismail Univ, Dept Phys, Lab M3ER, FSTE, Meknes, Morocco; [Touache, Abdelhamid] Sidi Mohamed Ben Abdellah Univ, Mech Engn Lab, Fes, Morocco</t>
  </si>
  <si>
    <t>Chouaib Doukkali University of El Jadida; Moulay Ismail University of Meknes; Sidi Mohamed Ben Abdellah University of Fez</t>
  </si>
  <si>
    <t>Eddouh, Y (corresponding author), Chouaib Doukkali Univ, Sci Energy Lab LabSIPE, ENSAJ, El Jadida, Morocco.</t>
  </si>
  <si>
    <t>y.eddouh@gmail.com</t>
  </si>
  <si>
    <t>EDDOUH, YASSINE/AAQ-1410-2021</t>
  </si>
  <si>
    <t>EDDOUH, YASSINE/0000-0003-2510-3201</t>
  </si>
  <si>
    <t>10.24425/mper.2024.149994</t>
  </si>
  <si>
    <t>OK7I1</t>
  </si>
  <si>
    <t>WOS:001207226000004</t>
  </si>
  <si>
    <t>Alkabaa, AS; Taylan, O; Guloglu, B; Baik, S; Sharma, V; Mishra, R; Alharbi, R; Upreti, G</t>
  </si>
  <si>
    <t>Alkabaa, Abdulaziz S.; Taylan, Osman; Guloglu, Bulent; Baik, Shefaa; Sharma, Viven; Mishra, Rajesh; Alharbi, Rami; Upreti, Girish</t>
  </si>
  <si>
    <t>A fuzzy ANP-based criticality analyses approach of reliability-centered maintenance for CNC lathe machine components</t>
  </si>
  <si>
    <t>JOURNAL OF RADIATION RESEARCH AND APPLIED SCIENCES</t>
  </si>
  <si>
    <t>Criticality analysis; Reliability prediction; CNC lathe; Fuzzy analytical network process (FANP); Reliability-centered maintenance (RCM); Predictive maintenance</t>
  </si>
  <si>
    <t>DECISION-ANALYSIS; RISK-ASSESSMENT; FAILURE MODES; IDENTIFICATION; IMPACT; FMECA; AHP</t>
  </si>
  <si>
    <t>Calculation of the criticality score and its analysis are important for the reliability-centered maintenance (RCM) of CNC lathe machine components. The tools of a CNC lathe machine include complex critical part and sub-systems. The reliability of parts decline due to the independent system fault. To identify the essential compo-nents of CNC lathe machine tools, a system level component criticality analysis method is proposed. In this study, a comprehensive framework of criticality-based RCM implementation through experimentation of a CNC-lathe machine is proposed. The criticality of machine components were identified by investigating their dependency on the criteria and sub-criteria. Five main criteria were found effective for the criticality of the components which are the cost, complexity, sustainability, functional dependency, and safety impacts. Fuzzy analytical network process (FANP) approach was employed to evaluate criticality scores for eleven-component of a CNC lathe machine. This is a preliminary study and aims to contribute to the literature and practitioners in many ways. The primary focus of our method lies in its capability to predict criticality values for a manufacturing system in absence of historical maintenance data relying on the expertise/intuition of the operator(s) for decision making for the predictive maintenance of the system with the help of fuzzy ANP approach. It was found that the turret was the most critical component with a metric of 0.0641 which was also found to be over 3 times more critical than the least critical hydraulic system, which had a criticality metric of 0.0187. This novel FANP framework provides a credible solution to real-world RCM scheduling and can be applied to any manufacturing system-related application.</t>
  </si>
  <si>
    <t>[Alkabaa, Abdulaziz S.; Taylan, Osman; Baik, Shefaa; Alharbi, Rami] King Abdulaziz Univ, Dept Ind Engn, POB 80204, Jeddah 21589, Saudi Arabia; [Guloglu, Bulent] Istanbul Tech Univ, Fac Management, Dept Econ, Istanbul, Turkiye; [Sharma, Viven] Univ Minnesota Twin Cities, Dept Earth &amp; Environm Sci, 116 Church St SE, Minneapolis, MN 55455 USA; [Mishra, Rajesh] BITS Pilani, Mech Engn Dept, Pilani Campus, Pilani 333031, Rajasthan, India; [Upreti, Girish] Methodist Univ, Dept Engn, 5400 Ramsey St, Fayetteville, NC 28311 USA</t>
  </si>
  <si>
    <t>King Abdulaziz University; Istanbul Technical University; University of Minnesota System; University of Minnesota Twin Cities; Birla Institute of Technology &amp; Science Pilani (BITS Pilani)</t>
  </si>
  <si>
    <t>Guloglu, B (corresponding author), Istanbul Tech Univ, Fac Management, Dept Econ, Istanbul, Turkiye.</t>
  </si>
  <si>
    <t>aalkabaa@kau.edu.sa; otaylan@kau.edu.sa; bulent.guloglu@gmail.com; sbaik@kau.edu.sa; sharmaviven1@gmail.com; rpm@pilani.bits-pilani.ac.in; rmalharbi007@stu.kau.eu.sa; gupreti@methodist.edu</t>
  </si>
  <si>
    <t>Taylan, Osman/L-6000-2019; Alkabaa, Abdulaziz/AAU-3090-2021</t>
  </si>
  <si>
    <t>Sharma, Viven/0000-0002-4320-7533</t>
  </si>
  <si>
    <t>Deanship of Scientific Research (DSR) at King Abdulaziz University (KAU), Jeddah, Saudi Arabia [KEP-MSc: 74-135- 1443]</t>
  </si>
  <si>
    <t>Deanship of Scientific Research (DSR) at King Abdulaziz University (KAU), Jeddah, Saudi Arabia</t>
  </si>
  <si>
    <t>The Deanship of Scientific Research (DSR) at King Abdulaziz University (KAU), Jeddah, Saudi Arabia has funded this project, under grant no. (KEP-MSc: 74-135- 1443). Therefore, authors gratefully acknowledge technical and financial support.</t>
  </si>
  <si>
    <t>1687-8507</t>
  </si>
  <si>
    <t>J RADIAT RES APPL SC</t>
  </si>
  <si>
    <t>J. Radiat. Res. Appl. Sci.</t>
  </si>
  <si>
    <t>10.1016/j.jrras.2023.100738</t>
  </si>
  <si>
    <t>Multidisciplinary Sciences; Radiology, Nuclear Medicine &amp; Medical Imaging</t>
  </si>
  <si>
    <t>Science &amp; Technology - Other Topics; Radiology, Nuclear Medicine &amp; Medical Imaging</t>
  </si>
  <si>
    <t>CN8W2</t>
  </si>
  <si>
    <t>WOS:001126029500001</t>
  </si>
  <si>
    <t>Ashrafi, M; Davoudpour, H</t>
  </si>
  <si>
    <t>Ashrafi, Maryam; Davoudpour, Hamid</t>
  </si>
  <si>
    <t>A HIERARCHICAL BAYESIAN NETWORK TO COMPARE MAINTENANCE STRATEGIES BASED ON COST AND RELIABILITY: A CASE OF ONSHORE WIND TURBINES</t>
  </si>
  <si>
    <t>reliability; maintenance strategy; complex technological systems; Bayesian network; wind turbine</t>
  </si>
  <si>
    <t>RISK-ASSESSMENT; POWER-SYSTEMS; OPERATION; BENEFIT; MODELS</t>
  </si>
  <si>
    <t>Today we encounter systems, which consist of several vital components interacting with environment, and organizational factors. This necessitates an approach which is enabled to consider various aspects of systems and underlying interactions. To clearly illustrate this concept, we develop a Bayesian network (BN). The model enables decision makers to trace the impacts of applying different maintenance strategies on subsystems reliabilities. The model is applied to evaluate various maintenance strategies impacts on the reliability of a wind turbine. A low reliable wind turbine suffers from high turbine failure rate leading to a high Cost of Energy (CoE) due to high Operating and Maintenance (O&amp;M) costs, as well as lost revenue from electricity sales. The most effective means of minimizing O&amp;M costs is to improve reliability. This paper examines the consequences of applying maintenance strategies on O&amp;M costs. Applying this integrated approach in reliability analysis can contribute to costs and revenues trade-off.</t>
  </si>
  <si>
    <t>[Ashrafi, Maryam; Davoudpour, Hamid] Amirkabir Univ Technol, Dept Ind Engn &amp; Management Syst, Tehran, Iran</t>
  </si>
  <si>
    <t>Amirkabir University of Technology</t>
  </si>
  <si>
    <t>Ashrafi, M (corresponding author), Amirkabir Univ Technol, Dept Ind Engn &amp; Management Syst, Tehran, Iran.</t>
  </si>
  <si>
    <t>ashrafi.mm@aut.ac.ir</t>
  </si>
  <si>
    <t>Ashrafi, Maryam/N-1081-2018</t>
  </si>
  <si>
    <t>Ashrafi, Maryam/0000-0003-0953-6381</t>
  </si>
  <si>
    <t>JP3TV</t>
  </si>
  <si>
    <t>WOS:000498190900007</t>
  </si>
  <si>
    <t>Shi, LX; Lv, XL; He, YD; He, Z</t>
  </si>
  <si>
    <t>Shi, Liangxing; Lv, Xiaolei; He, Yingdong; He, Zhen</t>
  </si>
  <si>
    <t>Optimising production, maintenance, and quality control for imperfect manufacturing systems considering timely replenishment</t>
  </si>
  <si>
    <t>Imperfect manufacturing system; Joint optimisation; Quality management; Timely replenishment; Uncertain buffer stocking time</t>
  </si>
  <si>
    <t>OPTIMAL BUFFER INVENTORY; PREVENTIVE MAINTENANCE; INTEGRATED PRODUCTION; DETERIORATING SYSTEM; JOINT OPTIMIZATION; UNRELIABLE PRODUCTION; INSPECTION; POLICY; MODEL; REPLACEMENT</t>
  </si>
  <si>
    <t>To optimise production planning, maintenance strategies, and quality control in imperfect manufacturing systems, most existing works set the buffer stocking time at the cycle start time. However, excess inventory holding costs will be incurred if the buffer is stocked too early. This means that while the abovementioned setting can make the optimisation model simple, it might increase costs. Taking the uncertain practical buffer stocking time of an imperfect manufacturing system into account, this study aimed to find the production cycle, maintenance frequency, quality inspection cycle, and number of inspections that will minimise the expectation unit cost of the system. To this end, we developed a new model to optimise production, maintenance, and quality control considering timely replenishment. First, excess inventory holding and shortage costs were considered and the production process was divided into five scenarios based on the buffer stocking time and inspection time for assignable causes. Second, the link between production, maintenance, and quality was addressed by capturing the dynamic and random behaviour of production systems. An x-bar control chart was integrated into the model to monitor quality. A case study and sensitivity analysis were undertaken to verify the effectiveness and superiority of the proposed optimisation strategy.</t>
  </si>
  <si>
    <t>[Shi, Liangxing; Lv, Xiaolei; He, Yingdong; He, Zhen] Tianjin Univ, Coll Management &amp; Econ, Tianjin, Peoples R China; [Shi, Liangxing; Lv, Xiaolei; He, Yingdong; He, Zhen] Tianjin Univ Zhejiang, Int Inst Innovat Design &amp; Intelligent Mfg, Shaoxing, Zhejiang, Peoples R China; [He, Yingdong] Tianjin Univ, Coll Management &amp; Econ, Tianjin 300072, Peoples R China</t>
  </si>
  <si>
    <t>Tianjin University; Tianjin University</t>
  </si>
  <si>
    <t>He, YD (corresponding author), Tianjin Univ, Coll Management &amp; Econ, Tianjin 300072, Peoples R China.</t>
  </si>
  <si>
    <t>yingdong.he@tju.edu.cn</t>
  </si>
  <si>
    <t>National Natural Science Foundation of China [72101177, 72231005, 72261147706]; Tianjin Natural Science Foundation [22JCQNJC01190]</t>
  </si>
  <si>
    <t>National Natural Science Foundation of China(National Natural Science Foundation of China (NSFC)); Tianjin Natural Science Foundation(Natural Science Foundation of Tianjin)</t>
  </si>
  <si>
    <t>This work was supported by National Natural Science Foundation of China: [Grant Numbers 72101177, 72231005, 72261147706]; Tianjin Natural Science Foundation: [Grant Number 22JCQNJC01190].</t>
  </si>
  <si>
    <t>MAY 18</t>
  </si>
  <si>
    <t>10.1080/00207543.2023.2241563</t>
  </si>
  <si>
    <t>MO4G8</t>
  </si>
  <si>
    <t>WOS:001042492100001</t>
  </si>
  <si>
    <t>Rodrigues, AJD; da Motta, FA; Cavalcante, CAV; Alberti, AR</t>
  </si>
  <si>
    <t>da Silva Rodrigues, Augusto Jose; da Motta, Flavia Ataide; Virginio Cavalcante, Cristiano Alexandre; Ramalho Alberti, Alexandre</t>
  </si>
  <si>
    <t>A hybrid maintenance policy for a protection system under internal degradation and shocks: a case study in a steel industry</t>
  </si>
  <si>
    <t>Maintenance modelling; shock damage; preventive maintenance; imperfect inspection</t>
  </si>
  <si>
    <t>PREVENTIVE MAINTENANCE; IMPERFECT INSPECTION; SUBJECT; FAILURE; RELIABILITY; MODEL; QUALITY</t>
  </si>
  <si>
    <t>Protection systems are designed so that they can prevent disasters when critical events (demands) occur. These systems are usually inactive and their functionality is only noticeable during a demand or through inspections. Furthermore, the level of deterioration of the system can worsen due to the actions of external events (shocks), which can accelerate the process of its natural wear. Thus, in order to ensure the readiness of such systems, we modeled a hybrid inspection and replacement policy for safety brakes subject to shocks. The policy considers additional inspections beyond the scheduled inspections subject to misclassification. The system is replaced when any inspection indicates that it has failed, either immediately after the Mth inspection, or immediately after the Kth met demand, or immediately after an unmet demand - whichever comes first. Our model is motivated by a real case of a safety brake in a steel mill. We compared this policy with two other classical policies and saw that it has significant cost-saving potential in relation to both. The results indicate how important inspections are for systems with hidden failures and show when the observation of shocks should be prioritized over inspection actions.</t>
  </si>
  <si>
    <t>[da Silva Rodrigues, Augusto Jose; da Motta, Flavia Ataide; Virginio Cavalcante, Cristiano Alexandre; Ramalho Alberti, Alexandre] Univ Fed Pernambuco UFPE, Res Grp Risk &amp; Decis Anal Operat &amp; Maintenance RA, Recife, Brazil; [da Silva Rodrigues, Augusto Jose; da Motta, Flavia Ataide; Virginio Cavalcante, Cristiano Alexandre; Ramalho Alberti, Alexandre] Univ Fed Pernambuco UFPE, Dept Ind Engn, Recife, Brazil</t>
  </si>
  <si>
    <t>Universidade Federal de Pernambuco; Universidade Federal de Pernambuco</t>
  </si>
  <si>
    <t>Cavalcante, CAV (corresponding author), Univ Fed Pernambuco UFPE, Res Grp Risk &amp; Decis Anal Operat &amp; Maintenance RA, BR-50740550 Recife, Brazil.;Cavalcante, CAV (corresponding author), Univ Fed Pernambuco UFPE, Dept Ind Engn, BR-50740550 Recife, Brazil.</t>
  </si>
  <si>
    <t>c.a.v.cavalcante@random.org.br</t>
  </si>
  <si>
    <t>Alberti, Alexandre/AAU-8260-2020; Rodrigues, Augusto/B-1283-2019; Cavalcante, Cristiano/AAA-5048-2019</t>
  </si>
  <si>
    <t>Rodrigues, Augusto Jose da Silva/0000-0002-7042-9270</t>
  </si>
  <si>
    <t>Coordenacao de Aperfeicoamento de Pessoal de Nivel Superior - Brasil (CAPES); FACEPE (Fundacao de Amparo a Ciencia e Tecnologia do Estado de Pernambuco); CNPq (Conselho Nacional de Desenvolvimento Cientifico e Tecnologico); Conselho Nacional de Desenvolvimento Cientifico e Tecnologico Conselho Nacional de Desenvolvimento Cientifico e Tecnologico [CNPq-435591/2018-5]; Coordenacao de Aperfeicoamento de Pessoal de Nivel Superior [001]; Fundacao de Amparo a Ciencia e Tecnologia do Estado de Pernambuco [IBPG-1297-3.08/19]</t>
  </si>
  <si>
    <t>Coordenacao de Aperfeicoamento de Pessoal de Nivel Superior - Brasil (CAPES)(Coordenacao de Aperfeicoamento de Pessoal de Nivel Superior (CAPES)); FACEPE (Fundacao de Amparo a Ciencia e Tecnologia do Estado de Pernambuco)(Fundacao de Amparo a Ciencia e Tecnologia do Estado de Pernambuco (FACEPE)); CNPq (Conselho Nacional de Desenvolvimento Cientifico e Tecnologico)(Conselho Nacional de Desenvolvimento Cientifico e Tecnologico (CNPQ)); Conselho Nacional de Desenvolvimento Cientifico e Tecnologico Conselho Nacional de Desenvolvimento Cientifico e Tecnologico(Conselho Nacional de Desenvolvimento Cientifico e Tecnologico (CNPQ)Fundacao de Apoio a Pesquisa do Distrito Federal (FAPDF)); Coordenacao de Aperfeicoamento de Pessoal de Nivel Superior(Coordenacao de Aperfeicoamento de Pessoal de Nivel Superior (CAPES)); Fundacao de Amparo a Ciencia e Tecnologia do Estado de Pernambuco(Fundacao de Amparo a Ciencia e Tecnologia do Estado de Pernambuco (FACEPE))</t>
  </si>
  <si>
    <t>The work was supported by the Conselho Nacional de Desenvolvimento Cientifico e Tecnologico Conselho Nacional de Desenvolvimento Cientifico e Tecnologico [CNPq-435591/2018-5]; Coordenacao de Aperfeicoamento de Pessoal de Nivel Superior [Finance Code 001]; Fundacao de Amparo a Ciencia e Tecnologia do Estado de Pernambuco [IBPG-1297-3.08/19].</t>
  </si>
  <si>
    <t>NOV 1</t>
  </si>
  <si>
    <t>10.1080/16843703.2023.2257974</t>
  </si>
  <si>
    <t>I2C5M</t>
  </si>
  <si>
    <t>WOS:001067038800001</t>
  </si>
  <si>
    <t>Wan, Q; Chen, L; Zhu, M</t>
  </si>
  <si>
    <t>Wan, Qiang; Chen, Ling; Zhu, Mei</t>
  </si>
  <si>
    <t>A reliability-oriented integration model of production control, adaptive quality control policy and maintenance planning for continuous flow processes</t>
  </si>
  <si>
    <t>Production control; Maintenance management; Control chart; Variable sampling interval; Continuous flow process</t>
  </si>
  <si>
    <t>ECONOMIC PRODUCTION QUANTITY; PRODUCTION RUN-LENGTH; (X)OVER-BAR CONTROL CHART; PREVENTIVE MAINTENANCE; JOINT DETERMINATION; IMPERFECT QUALITY; EPQ MODEL; DESIGN; OPTIMIZATION; PARAMETERS</t>
  </si>
  <si>
    <t>Many studies reveal that integrating the concepts of production, maintenance and quality control helps reduce costs compared to studying them separately. But almost all the research works in this field are centred on piece part manufacturing. This paper presents an integrated model of the three concepts for the continuous flow process of manufacturing which is vastly different from piece-parts processes, as there is no explicit production unit. To quickly detect the assignable cause occurrence, an adaptive (X) over bar control chart with variable sampling interval designed for the continuous flow process is employed as the quality control tool. A mathematical definition is presented to describe the proposed model before a genetic algorithm is developed to find the optimal setting values of decision parameters that minimize the expected total cost per unit time. The numerical comparison indicates that the proposed model has reduced the cost by an average of 1.5% than the classical model with fixed sampling interval policy in continuous flow manufacturing. Finally, Taguchi's design of experiments (DOE) is employed to investigate the main effects of cost and process parameters.</t>
  </si>
  <si>
    <t>[Wan, Qiang; Chen, Ling] Xinyang Normal Univ, Sch Business, Xinyang 464000, Peoples R China; [Zhu, Mei] Xinyang Normal Univ, Coll Int Educ, Xinyang 464000, Peoples R China</t>
  </si>
  <si>
    <t>Xinyang Normal University; Xinyang Normal University</t>
  </si>
  <si>
    <t>Wan, Q (corresponding author), Xinyang Normal Univ, Sch Business, Xinyang 464000, Peoples R China.</t>
  </si>
  <si>
    <t>w77happy@xynu.edu.cn</t>
  </si>
  <si>
    <t>National Natural Science Foundation of China, China [12001469]; Henan Provincial Philosophy and Social Science Planning Project [2020CJJ093]; Postgraduate Education Reform Project of Henan Province [2019SJGLX037Y]; Henan Provincial Federation of Social Sciences Research Project [SKL-2022-2354]; Nanhu Scholars Program for Young Scholars of XYNU, China</t>
  </si>
  <si>
    <t>National Natural Science Foundation of China, China(National Natural Science Foundation of China (NSFC)); Henan Provincial Philosophy and Social Science Planning Project; Postgraduate Education Reform Project of Henan Province; Henan Provincial Federation of Social Sciences Research Project; Nanhu Scholars Program for Young Scholars of XYNU, China</t>
  </si>
  <si>
    <t>We would like to thank the anonymous reviewers for their extremely helpful suggestions and comments. We also wish to thank the editor for handling this paper. This research was supported in part by the National Natural Science Foundation of China, China [grant number 12001469] ; Henan Provincial Philosophy and Social Science Planning Project [grant number 2020CJJ093] ; Postgraduate Education Reform Project of Henan Province [grant number 2019SJGLX037Y] ; Henan Provincial Federation of Social Sciences Research Project [grant number SKL-2022-2354] ; the Nanhu Scholars Program for Young Scholars of XYNU, China.</t>
  </si>
  <si>
    <t>10.1016/j.cie.2023.108985</t>
  </si>
  <si>
    <t>8N7HE</t>
  </si>
  <si>
    <t>WOS:000925317900001</t>
  </si>
  <si>
    <t>Dui, H; Lu, YH; Gao, ZF; Xing, LD</t>
  </si>
  <si>
    <t>Dui, Hongyan; Lu, Yaohui; Gao, Zhanfei; Xing, Liudong</t>
  </si>
  <si>
    <t>Performance efficiency and cost analysis of multi-state systems with successive damage and maintenance in multiple shock events</t>
  </si>
  <si>
    <t>Performance efficiency; Cost analysis; Maintenance; Multiple shocks; Successive damage</t>
  </si>
  <si>
    <t>HETEROGENEOUS STANDBY SYSTEMS; RELIABILITY; MODEL</t>
  </si>
  <si>
    <t>Real-world systems are often exposed to shocks likes earthquakes and hurricanes during service life, and these shocks may occur multiple times. However, existing studies lack research on damage and maintenance inter-acting processes under multiple shocks. In this paper, a new performance efficiency and budget surplus rate model for multi-state systems is developed under the interaction of damage and maintenance. System perfor-mance efficiency measures the ability of the system to recover its performance from multiple shocks. The budget surplus rate model is introduced for measuring the system's ability to respond to losses from multiple shocks. Multiple cumulative shocks not only cause the system to transfer from a high-performance state to a low -performance state, but also accelerate the performance degradation of the system bringing successive damage, which is reflected by the reduced transition time between states. Markov processes are used to characterize the state transition process between the system suffering damage and maintenance under multiple shock events. A case study of a nuclear power plant is used to demonstrate the proposed methods. Sensitivity analysis of per-formance efficiency and budget surplus rate is also performed to reflect the shock resistance and maintenance capability of the nuclear power plant system.</t>
  </si>
  <si>
    <t>[Dui, Hongyan] Zhengzhou Univ, Sch Management, Zhengzhou 450001, Peoples R China; [Lu, Yaohui] Beihang Univ, Sch Automat Sci &amp; Elect Engn, Beijing 100191, Peoples R China; [Gao, Zhanfei] Beihang Univ, Sch Reliabil &amp; Syst Engn, Beijing 100191, Peoples R China; [Xing, Liudong] Univ Massachusetts, Dept Elect &amp; Comp Engn, Dartmouth, MA 02747 USA</t>
  </si>
  <si>
    <t>Zhengzhou University; Beihang University; Beihang University; University of Massachusetts System; University Massachusetts Dartmouth</t>
  </si>
  <si>
    <t>Dui, Hongyan/0000-0002-2277-6454; Lu, Yaohui/0009-0009-7604-8063; Xing, Liudong/0000-0003-1606-1644</t>
  </si>
  <si>
    <t>National Natural Science Foundation of China [72071182]; Key Science and Technology Program of Henan Province [222102520019]; Program for Science amp; Technology Innovation Talents in Universities of Henan Province [22HAS-TIT022]; Program for young backbone teachers in Universities of Henan Province [2021GGJS007]</t>
  </si>
  <si>
    <t>National Natural Science Foundation of China(National Natural Science Foundation of China (NSFC)); Key Science and Technology Program of Henan Province; Program for Science amp; Technology Innovation Talents in Universities of Henan Province; Program for young backbone teachers in Universities of Henan Province</t>
  </si>
  <si>
    <t>The authors gratefully acknowledge the financial support for this research from the National Natural Science Foundation of China (Nos. 72071182), the Key Science and Technology Program of Henan Province (No. 222102520019), the Program for Science &amp; Technology Innovation Talents in Universities of Henan Province (No. 22HAS-TIT022), the Program for young backbone teachers in Universities of Henan Province (No. 2021GGJS007).</t>
  </si>
  <si>
    <t>10.1016/j.ress.2023.109403</t>
  </si>
  <si>
    <t>J9SR6</t>
  </si>
  <si>
    <t>WOS:001012957300001</t>
  </si>
  <si>
    <t>Peng, SZ; Jiang, W; Zhao, WH</t>
  </si>
  <si>
    <t>Peng, Shizhe; Jiang, Wei; Zhao, Wenhui</t>
  </si>
  <si>
    <t>A preventive maintenance policy with usage-dependent failure rate thresholds under two-dimensional warranties</t>
  </si>
  <si>
    <t>Preventive maintenance; two-dimensional warranty; usage-dependent threshold policy; dynamic programming</t>
  </si>
  <si>
    <t>EXTENDED WARRANTY; REPLACEMENT POLICIES; PRODUCTS SOLD; STRATEGY; DEGRADATION; MODELS; SUBJECT; SYSTEM</t>
  </si>
  <si>
    <t>This article considers Preventive Maintenance (PM) under a two-dimensional (2-D) warranty contract with time and usage limits. From a manufacturer's point of view, we develop a dynamic maintenance model with a random horizon to include the impact of random and dynamic usage rates on PM decisions. The model treats the cumulative amount of usage as a state variable that provides information about the failure rate and the expiration of the 2-D warranty. We characterize the optimal PM policy by a sequence of usage-dependent failure rate thresholds. Each threshold is a function of the cumulative usage. Our failure rate threshold policy chooses one of the following two actions in each period: performing perfect PM or no PM. Specifically, the manufacturer should bring the failure rate back to its original level when it exceeds the threshold in the corresponding period. This policy is also optimal under a constant usage rate. In the numerical experiments, we demonstrate the effectiveness of the proposed policy and conduct a sensitivity analysis to investigate how this policy is affected by the model parameters.</t>
  </si>
  <si>
    <t>[Peng, Shizhe; Jiang, Wei; Zhao, Wenhui] Shanghai Jiao Tong Univ, Antai Coll Econ &amp; Management, Shanghai, Peoples R China</t>
  </si>
  <si>
    <t>Jiang, W (corresponding author), Shanghai Jiao Tong Univ, Antai Coll Econ &amp; Management, Shanghai, Peoples R China.</t>
  </si>
  <si>
    <t>jiangwei08@gmail.com</t>
  </si>
  <si>
    <t>National Science Foundation of China [71531010, 71831006, 7191101307, 71421002]</t>
  </si>
  <si>
    <t>National Science Foundation of China(National Natural Science Foundation of China (NSFC))</t>
  </si>
  <si>
    <t>We are grateful to the associate editor and three anonymous referees for their constructive comments. This research is supported by National Science Foundation of China grants #71531010, 71831006, 7191101307, and 71421002.</t>
  </si>
  <si>
    <t>10.1080/24725854.2020.1825879</t>
  </si>
  <si>
    <t>UC8PN</t>
  </si>
  <si>
    <t>WOS:000590804400001</t>
  </si>
  <si>
    <t>Lu, BA; Chen, Z; Zhao, XF</t>
  </si>
  <si>
    <t>Lu, Biao; Chen, Zhen; Zhao, Xufeng</t>
  </si>
  <si>
    <t>Data-driven dynamic predictive maintenance for a manufacturing system with quality deterioration and online sensors</t>
  </si>
  <si>
    <t>Manufacturing system; Dynamic predictive maintenance; Product quality; Online degradation data; Bayesian updating</t>
  </si>
  <si>
    <t>USEFUL LIFE PREDICTION; OPTIMAL TOOL REPLACEMENT; WEAR; MODEL; POPULATION; DECISIONS; TIME</t>
  </si>
  <si>
    <t>Manufacturing systems are generally subject to product quality deterioration as a result of degradation of machine tooling-components, and thus tooling-component replacement has always been an effective way to ensure high product quality. For individual tooling components, online degradation data from sensors contain the information about their unique degradation patterns, which can be used to achieve precise degradation prediction. Therefore, this paper proposes a data-driven dynamic predictive maintenance policy which utilizes online degradation data to continuously enhance the degradation prediction of tooling components and further constantly revise the maintenance schedule. To account for individual heterogeneity, the tooling-component degradation rates are assumed as random variables, whose posteriori distributions are continuously updated using the online degradation data based on Bayesian approach. The real-time degradation prediction of tooling components is further used to predict the deterioration of product quality and machine reliability based on the response model and integrated hazard function. The quality and reliability deteriorations are measured by costs to construct a dynamic cost rate function, which is used to make adaptive PM schedules. Case study shows that the proposed policy can make practical maintenance schedules and achieve cost saving in general.</t>
  </si>
  <si>
    <t>[Lu, Biao; Zhao, Xufeng] Nanjing Univ Aeronaut &amp; Astronaut, Coll Econ &amp; Management, Nanjing 211106, Peoples R China; [Chen, Zhen] Shanghai Jiao Tong Univ, Sch Mech Engn, Shanghai 200240, Peoples R China</t>
  </si>
  <si>
    <t>Nanjing University of Aeronautics &amp; Astronautics; Shanghai Jiao Tong University</t>
  </si>
  <si>
    <t>Lu, BA (corresponding author), Nanjing Univ Aeronaut &amp; Astronaut, Coll Econ &amp; Management, Nanjing 211106, Peoples R China.</t>
  </si>
  <si>
    <t>lubiao123@nuaa.edu.cn</t>
  </si>
  <si>
    <t>National Natural Science Foundation of China [71801126, 52005260]; Jiangsu Province Natural Science Foundation [BK20180412, BK20200446]; Starting Foundation for New Faculty of Nanjing University of Aeronautics and Astronautics [56SYAH20014]</t>
  </si>
  <si>
    <t>National Natural Science Foundation of China(National Natural Science Foundation of China (NSFC)); Jiangsu Province Natural Science Foundation(Natural Science Foundation of Jiangsu Province); Starting Foundation for New Faculty of Nanjing University of Aeronautics and Astronautics</t>
  </si>
  <si>
    <t>This work is supported by National Natural Science Foundation of China (no. 71801126, 52005260), Jiangsu Province Natural Science Foundation (no. BK20180412, BK20200446), and Starting Foundation for New Faculty of Nanjing University of Aeronautics and Astronautics (no. 56SYAH20014).</t>
  </si>
  <si>
    <t>10.1016/j.ress.2021.107628</t>
  </si>
  <si>
    <t>SV6DJ</t>
  </si>
  <si>
    <t>WOS:000663910000029</t>
  </si>
  <si>
    <t>Chang, J; Dong, WJ; Fang, ZG</t>
  </si>
  <si>
    <t>Chang, Jun; Dong, Wenjie; Fang, Zhigeng</t>
  </si>
  <si>
    <t>Implementing a bivariate preventive maintenance strategy for stochastically deteriorating systems with two types of shocks</t>
  </si>
  <si>
    <t>degradation modelling; random shocks; mutual dependence; two types of shocks; preventive maintenance</t>
  </si>
  <si>
    <t>COMPETING FAILURE PROCESSES; REPLACEMENT POLICIES; DEGRADATION; RELIABILITY; SUBJECT; COMPONENTS; MODEL; QUALITY; COST</t>
  </si>
  <si>
    <t>This paper mainly investigates a preventive replacement policy for a system subject to both a deteriorating process and a shock process. Firstly, the stochastic deterioration is modelled with a general degradation path model, and the arrival numbers of external shocks are described with a non-homogeneous Poisson process (NHPP). The two processes are mutually dependent and the shock process itself has two distinct effectiveness including a minor one and a major one. Afterwards, system reliability function is constructed analytically. Finally, a bivariate preventive maintenance policy is put forward. The average maintenance cost rate is formulated and optimised for two special cases, respectively. To demonstrate the effectiveness of the proposed model, a sliding spool in a realistic hydraulic control system is studied.</t>
  </si>
  <si>
    <t>[Chang, Jun; Dong, Wenjie; Fang, Zhigeng] Nanjing Univ Aeronaut &amp; Astronaut, Coll Econ &amp; Management, 29 Jiangjun Ave, Nanjing 211106, Peoples R China; [Chang, Jun] Huaiyin Normal Univ, Sch Econ &amp; Management, 71 Jiaotong Rd, Huaian 223001, Peoples R China</t>
  </si>
  <si>
    <t>Nanjing University of Aeronautics &amp; Astronautics; Huaiyin Normal University</t>
  </si>
  <si>
    <t>Dong, WJ (corresponding author), Nanjing Univ Aeronaut &amp; Astronaut, Coll Econ &amp; Management, 29 Jiangjun Ave, Nanjing 211106, Peoples R China.</t>
  </si>
  <si>
    <t>changjun@hytc.edu.cn; dongwenjie@nuaa.edu.cn; zhigengfang@163.com</t>
  </si>
  <si>
    <t>National Natural Science Foundation of China [72071111, 71671091]; Talent Research Start-up Fund in Nanjing University of Aeronautics and Astronautics [YAH21001]; Fundamental Research Funds for the Central Universities; Funding of Jiangsu Innovation Program for Graduate Education [KYZZ 0102]</t>
  </si>
  <si>
    <t>National Natural Science Foundation of China(National Natural Science Foundation of China (NSFC)); Talent Research Start-up Fund in Nanjing University of Aeronautics and Astronautics; Fundamental Research Funds for the Central Universities(Fundamental Research Funds for the Central Universities); Funding of Jiangsu Innovation Program for Graduate Education</t>
  </si>
  <si>
    <t>The authors are very thankful to the Editor Jose M. Framinan and two anonymous reviewers for their constructive comments which improved the quality of the original work. The project is funded in part by the National Natural Science Foundation of China under Grant Nos. 72071111 and 71671091, the Talent Research Start-up Fund in Nanjing University of Aeronautics and Astronautics under Grant No. YAH21001, the Fundamental Research Funds for the Central Universities, and the Funding of Jiangsu Innovation Program for Graduate Education under Grant No. KYZZ 0102. The corresponding author would like to specially thank Prof. Sifeng Liu (sfliu@nuaa.edu.cn) from Nanjing University of Aeronautics and Astronautics for his kind help and support.</t>
  </si>
  <si>
    <t>10.1504/EJIE.2023.129450</t>
  </si>
  <si>
    <t>9S8JM</t>
  </si>
  <si>
    <t>WOS:000946582800001</t>
  </si>
  <si>
    <t>Lu, B; Wang, X; Cui, WW; Ye, ZS</t>
  </si>
  <si>
    <t>Lu, Biao; Wang, Xin; Cui, Weiwei; Ye, Zhisheng</t>
  </si>
  <si>
    <t>A predictive opportunistic maintenance policy fora serial-parallel multi-station manufacturing system with heterogeneous components</t>
  </si>
  <si>
    <t>Maintenance; Serial-parallel multi-station manufacturing system; Heterogeneous degradation; Structural dependence; Remaining useful life prediction</t>
  </si>
  <si>
    <t>REPLACEMENT</t>
  </si>
  <si>
    <t>This paper proposes a predictive opportunistic maintenance (OM) policy tailored fora serial-parallel multi- station manufacturing system (SP-MMS) characterized by heterogeneous degradation of critical components, alongside economic and structural dependencies among them. The OM policy comprises interactive component- level predictive maintenance (PdM) scheduling and system-level OM optimization. In the component-level PdM scheduling, online degradation data for each critical component are utilized to dynamically estimate the posterior distribution of its degradation rate and its remaining useful life (RUL), ensuring precise RUL predictions. Leveraging this real-time RUL prediction, the optimal preventive maintenance (PM) time for each critical component is determined based on a cost rate model. System-level OM optimization is initiated whenever the optimal PM time for a critical component is reached, aiming to identify the optimal group of components for OM. A novel group-cost-saving indicator, consisting of penalty cost, saving of production loss and saving of maintenance-setup cost, is proposed to determine the optimal OM group, considering the two dependencies. The OM optimization is formulated as a mixed integer linear programming problem, and component classification based on the structural dependence is proposed to reduce the solution space. Two case studies are conducted to validate the effectiveness and applicability of the proposed OM policy.</t>
  </si>
  <si>
    <t>[Lu, Biao] Nanjing Univ Aeronaut &amp; Astronaut, Coll Econ &amp; Management, Nanjing 211106, Peoples R China; [Wang, Xin; Ye, Zhisheng] Natl Univ Singapore, Dept Ind Syst Engn &amp; Management, Singapore 117576, Singapore; [Cui, Weiwei] Shanghai Univ, Sch Management, Shanghai 200444, Peoples R China</t>
  </si>
  <si>
    <t>Nanjing University of Aeronautics &amp; Astronautics; National University of Singapore; Shanghai University</t>
  </si>
  <si>
    <t>National Natural Science Foundation of China [52005260]; Natural Science Foundation of Jiangsu Province, China [BK20200446]; Fundamental Research Funds for the Central Universities, China [NJ2023027]; Key Labo-ratory of Intelligent Decision and Digital operation, Ministry of Industry and Information Technology [KLADDO-200304]</t>
  </si>
  <si>
    <t>National Natural Science Foundation of China(National Natural Science Foundation of China (NSFC)); Natural Science Foundation of Jiangsu Province, China(Natural Science Foundation of Jiangsu Province); Fundamental Research Funds for the Central Universities, China(Fundamental Research Funds for the Central Universities); Key Labo-ratory of Intelligent Decision and Digital operation, Ministry of Industry and Information Technology</t>
  </si>
  <si>
    <t>Acknowledgments This work is supported by National Natural Science Foundation of China (NO. 52005260) , Natural Science Foundation of Jiangsu Province, China (NO. BK20200446) , and the Fundamental Research Funds for the Central Universities, China (NO. NJ2023027) , Key Labo-ratory of Intelligent Decision and Digital operation, Ministry of Industry and Information Technology (KLADDO-200304) .</t>
  </si>
  <si>
    <t>10.1016/j.ress.2024.110711</t>
  </si>
  <si>
    <t>Q6K8M</t>
  </si>
  <si>
    <t>WOS:001385751900001</t>
  </si>
  <si>
    <t>Zhang, N; Tian, S; Xu, JT; Deng, YJ; Cai, KQ</t>
  </si>
  <si>
    <t>Zhang, Nan; Tian, Sen; Xu, Jiatao; Deng, Yingjun; Cai, Kaiquan</t>
  </si>
  <si>
    <t>Optimal production lot-sizing and condition-based maintenance policy considering imperfect manufacturing process and inspection errors</t>
  </si>
  <si>
    <t>Economic manufacturing quantity; Condition-based maintenance; Imperfect manufacturing process; Inspection error; Semi-Markov decision process</t>
  </si>
  <si>
    <t>PREVENTIVE MAINTENANCE; INTEGRATED PRODUCTION; RELIABILITY-ANALYSIS; JOINT OPTIMIZATION; PRODUCTION SYSTEM; BALANCED SYSTEMS; QUALITY-CONTROL; SUBJECT; MODEL</t>
  </si>
  <si>
    <t>In this paper, we propose an integrated Economic manufacturing quantity (EMQ) model combining both the concepts of condition-based maintenance (CBM) and imperfect manufacturing process. The manufacturing process is modelled by two indicators. One possesses binary state, indicating whether the manufacturing process is in-control or not. The other one is modelled by a homogeneous Gamma process, representing the degradation of the manufacturing equipment. The system is inspected at the end of each production run, upon which, the deterioration level can be perfectly observed, while two types of errors may occur in revealing the state of the manufacturing process. Defective products can be fabricated when the manufacturing state degrades. An integrated production and CBM policy is proposed. The objective is to develop the optimal production lot-sizing and preventive maintenance threshold in order to minimize the expected cost rate in the long-time horizon. We model the problem in the framework of a semi-Markov decision process. The successive-approximations method is applied to solve the problem numerically. The applicability of the proposed model and some sensitivity analysis are presented in a numerical illustration. It can provide theoretical reference to the decision-maker in production and maintenance planning.</t>
  </si>
  <si>
    <t>[Zhang, Nan; Tian, Sen; Xu, Jiatao] Beijing Inst Technol, Sch Management &amp; Econ, Beijing, Peoples R China; [Deng, Yingjun] Tianjin Univ, Ctr Appl Math, Tianjin, Peoples R China; [Cai, Kaiquan] Beihang Univ, Sch Elect &amp; Informat Engn, Beijing, Peoples R China</t>
  </si>
  <si>
    <t>Beijing Institute of Technology; Tianjin University; Beihang University</t>
  </si>
  <si>
    <t>nan.zhang@bit.edu.cn; 3121211643@bit.edu.cn; 3120221622@bit.edu.cn; yingjun.deng@tju.edu.cn; caikq@buaa.edu.cn</t>
  </si>
  <si>
    <t>Deng, Yingjun/AAK-1297-2020; Cai, Kaiquan/ADM-6168-2022</t>
  </si>
  <si>
    <t>10.1016/j.cie.2022.108929</t>
  </si>
  <si>
    <t>D3VC5</t>
  </si>
  <si>
    <t>WOS:000968027800001</t>
  </si>
  <si>
    <t>Zhang, N; Tian, S; Liu, B; Zhang, J</t>
  </si>
  <si>
    <t>Zhang, Nan; Tian, Sen; Liu, Bin; Zhang, Jun</t>
  </si>
  <si>
    <t>Joint optimization of production lot-sizing and condition-based maintenance in an imperfect production process with dependent indicators</t>
  </si>
  <si>
    <t>Economic manufacturing quantity; condition-based maintenance; dependent indicators; semi-Markov decision process</t>
  </si>
  <si>
    <t>PRODUCTION SYSTEM; POLICY; DEMAND; RELIABILITY; MODEL</t>
  </si>
  <si>
    <t>This paper addresses the integrated optimization of the economic manufacturing quantity and the condition-based maintenance policy of a deteriorating manufacturing system. The considered facility produces a single type of product and is inspected at the end of each production run. Upon inspection, two dependent indicators are revealed: one implies whether the production process is in control or not and the other one represents the deterioration level of the facility. The dependence between the two indicators is that whenever the facility deterioration exceeds a pre-determined level, the system becomes more vulnerable such that the production process may switch to the out-of-control state. In the out-of-control state, a proportion of defective items is fabricated. Considering the inter-dependencies between production process and machine degradation, this paper develops an integrated production and maintenance model to minimize the overall cost. The expected cost rate in the long run is taken as the objective function to assess the proposed model, where the joint optimization of the lot-sizing and the maintenance policy is developed. The problem is formulated in the context of a semi-Markov decision process and solved with the successive approximation method. A numerical example is given to illustrate the applicability of the proposed model.</t>
  </si>
  <si>
    <t>[Zhang, Nan; Tian, Sen] Beijing Inst Technol, Sch Management &amp; Econ, Beijing, Peoples R China; [Liu, Bin] Univ Strathclyde, Dept Management Sci, Glasgow, Lanark, Scotland; [Zhang, Jun] Beijing Inst Technol, Adv Res Inst Multidisciplinary Sci, Beijing, Peoples R China</t>
  </si>
  <si>
    <t>Beijing Institute of Technology; University of Strathclyde; Beijing Institute of Technology</t>
  </si>
  <si>
    <t>Liu, B (corresponding author), Univ Strathclyde, 16 Richmond St, Glasgow G1 1XQ, Lanark, Scotland.</t>
  </si>
  <si>
    <t>zhang, jiliang/N-5659-2015; Liu, Bin/GZM-0167-2022</t>
  </si>
  <si>
    <t>National Natural Science Foundation of China [61827901,71901026]</t>
  </si>
  <si>
    <t>This work is supported by the National Natural Science Foundation of China (61827901,71901026)</t>
  </si>
  <si>
    <t>10.1080/16843703.2022.2126263</t>
  </si>
  <si>
    <t>G8KG4</t>
  </si>
  <si>
    <t>WOS:000883268600001</t>
  </si>
  <si>
    <t>Lu, B; Luo, YM</t>
  </si>
  <si>
    <t>Lu, Biao; Luo, Yumei</t>
  </si>
  <si>
    <t>A dynamic condition-based maintenance policy for heterogeneous-wearing tools with considering product quality deterioration</t>
  </si>
  <si>
    <t>Cutting tools; heterogeneous wear; product quality deterioration; condition-based maintenance; Bayesian approach; cost optimisation</t>
  </si>
  <si>
    <t>JOINT OPTIMIZATION; REPLACEMENT POLICY; PREDICTION SYSTEM; COMPONENTS; TIME</t>
  </si>
  <si>
    <t>The wear of a cutting tool can lead to tool failure and product quality deterioration, and thus timely maintenance of tools is crucial. Meanwhile, the wear of tools from a same population usually exhibits heterogeneous patterns. Therefore, this paper proposes a dynamic condition-based maintenance (CBM) policy for heterogeneous-wearing tools with considering the product quality deterioration caused by tool wear. The tool wear is modelled by an Inverse Gaussian (IG) process, and the wear rate is assumed to be a random variable to characterise the heterogeneity among tool wear processes. The posterior distribution of reciprocal of tool wear rate is dynamically estimated using the online wear data based on a Bayesian approach. Moreover, the impact of tool wear on product quality deterioration is modelled. The IG process is discretized into a discrete time Markov chain (DTMC). Under the frame of the DTMC, a cost function, containing product quality loss, preventive maintenance (PM) cost and corrective maintenance cost, is developed to determine the optimal PM threshold. The cost function updates dynamically with the dynamic estimation of tool wear rate and thus enables the optimal PM threshold to be dynamically revised. The effectiveness of the proposed CBM policy is demonstrated through a case study.</t>
  </si>
  <si>
    <t>[Lu, Biao; Luo, Yumei] Nanjing Univ Aeronaut &amp; Astronaut, Coll Econ &amp; Management, 29 Jiangjun Rd, Nanjing 211106, Peoples R China</t>
  </si>
  <si>
    <t>Lu, BA (corresponding author), Nanjing Univ Aeronaut &amp; Astronaut, Coll Econ &amp; Management, 29 Jiangjun Rd, Nanjing 211106, Peoples R China.</t>
  </si>
  <si>
    <t>National Natural Science Foundation of China [52005260]; Natural Science Foundation of Jiangsu Province [BK20200446]; Fundamental Research Funds for the Central Universities [NJ2023027]; Key Laboratory of Intelligent Decision and Digital operation, Ministry of Industry and Information Technology [KLADDO-200304]</t>
  </si>
  <si>
    <t>National Natural Science Foundation of China(National Natural Science Foundation of China (NSFC)); Natural Science Foundation of Jiangsu Province(Natural Science Foundation of Jiangsu Province); Fundamental Research Funds for the Central Universities(Fundamental Research Funds for the Central Universities); Key Laboratory of Intelligent Decision and Digital operation, Ministry of Industry and Information Technology</t>
  </si>
  <si>
    <t>This work is supported by National Natural Science Foundation of China (NO. 52005260), Natural Science Foundation of Jiangsu Province (NO. BK20200446), and the Fundamental Research Funds for the Central Universities (NO. NJ2023027), Key Laboratory of Intelligent Decision and Digital operation, Ministry of Industry and Information Technology (KLADDO-200304).</t>
  </si>
  <si>
    <t>OCT 1</t>
  </si>
  <si>
    <t>10.1080/00207543.2024.2318489</t>
  </si>
  <si>
    <t>E0D4D</t>
  </si>
  <si>
    <t>WOS:001175724200001</t>
  </si>
  <si>
    <t>Wang, XY; Zhao, X; Wang, SQ; Sun, LP</t>
  </si>
  <si>
    <t>Wang, Xiaoyue; Zhao, Xian; Wang Siqi; Sun Leping</t>
  </si>
  <si>
    <t>Reliability and maintenance for performance-balanced systems operating in a shock environment</t>
  </si>
  <si>
    <t>Performance-balanced system; Shock environment; Two-step finite Markov chain imbedding approach; Maintenance policy</t>
  </si>
  <si>
    <t>OF-N SYSTEM; CONSECUTIVE-K; MODELS; OPTIMIZATION; SUBJECT; BATTERY; POLICY</t>
  </si>
  <si>
    <t>Due to practical engineering applications, the research on balanced systems has moved into development in recent years. The concept of balance differs from various perspectives and more reliability problems on balanced systems need to be further investigated. The system consists of multiple components with two-stage lifetime. When the locations of the components which are in poor operation stage concentrate in a particular range in the system, the high level of non-uniformed operation states of the components would speed up the failure process of the whole system. The interpretation of this real engineering situation is defined as that the system loses the performance balance and then the performance-balanced system with three competing criteria of system performance imbalance is established in this paper. A two-step finite Markov chain imbedding approach is employed to derive probabilistic indices both for components and whole system which operate in a shock environment. A combined maintenance policy is designed for the proposed model and an optimization model is constructed by minimizing mean maintenance cost. Numerical examples based on a battery pack system have served the purpose to present to applicability of the performance-balanced systems and the effectiveness of the proposed approach.</t>
  </si>
  <si>
    <t>[Wang, Xiaoyue] Beijing Technol &amp; Business Univ, Business Sch, Beijing 100048, Peoples R China; [Zhao, Xian; Wang Siqi; Sun Leping] Beijing Inst Technol, Sch Management &amp; Econ, Beijing 100081, Peoples R China</t>
  </si>
  <si>
    <t>Beijing Technology &amp; Business University; Beijing Institute of Technology</t>
  </si>
  <si>
    <t>National Natural Science Foundation of China [71971026, 71572014]; Research Foundation for Youth Scholars of Beijing Technology and Business University [QNJJ2020-44]</t>
  </si>
  <si>
    <t>National Natural Science Foundation of China(National Natural Science Foundation of China (NSFC)); Research Foundation for Youth Scholars of Beijing Technology and Business University</t>
  </si>
  <si>
    <t>This work is supported by the National Natural Science Foundation of China (71971026, 71572014) and the Research Foundation for Youth Scholars of Beijing Technology and Business University (QNJJ2020-44).</t>
  </si>
  <si>
    <t>10.1016/j.ress.2019.106705</t>
  </si>
  <si>
    <t>KO2ZA</t>
  </si>
  <si>
    <t>WOS:000515416500019</t>
  </si>
  <si>
    <t>Optimal non-periodic replacement and reactivation in standby systems with protection and maintenance options</t>
  </si>
  <si>
    <t>Element reactivation; Maintenance; Mission success probability; Preventive replacement; Warm standby</t>
  </si>
  <si>
    <t>PREVENTIVE MAINTENANCE; GENETIC ALGORITHM; SUBJECT; REPAIR; POLICY</t>
  </si>
  <si>
    <t>Traditional standby system models have mostly assumed that each element can be online and used once during the mission time. In practice especially when a long mission task is performed, it is beneficial to reactivate some used elements to enhance the mission success probability. This paper proposes a new standby system model, where non-periodic preventive replacements (PR) are conducted to mitigate operating elements' accumulated deterioration and an element may be activated several times to be online executing the mission task. Moreover, each used element undergoes idle time dependent protection or maintenance actions before its next reactivation. The mission is successful if during the specified mission time no activated element fails while online and operating or before its activation. The mission success probability is evaluated using a probabilistic approach proposed in this paper. The optimal PR scheduling problem is further formulated and solved, which determines the element activation/reactivation schedule maximizing the mission success probability. Examples of homogeneous and heterogeneous standby systems are provided to examine influences of several model parameters and their interactions on the mission success probability as well as on optimal PR schedules. The application of the proposed model to the element sensitivity analysis is also illustrated through example analysis.</t>
  </si>
  <si>
    <t>[Levitin, Gregory; Dai, Yuanshun] Univ Elect Sci &amp; Technol China, Sch Comp Sci, Collaborat Auton Comp Lab, Chengdu 611731, Sichuan, Peoples R China; [Levitin, Gregory] Israel Syst Management Co, Haifa, Israel; [Xing, Liudong] Univ Massachusetts, Dartmouth, MA 02747 USA</t>
  </si>
  <si>
    <t>University of Electronic Science &amp; Technology of China; University of Massachusetts System; University Massachusetts Dartmouth</t>
  </si>
  <si>
    <t>Dai, YS (corresponding author), Univ Elect Sci &amp; Technol China, Sch Comp Sci, Collaborat Auton Comp Lab, Chengdu 611731, Sichuan, Peoples R China.;Xing, LD (corresponding author), Univ Massachusetts, Dartmouth, MA 02747 USA.</t>
  </si>
  <si>
    <t>gregory.levitin@sysmc.co.il; lxing@umassd.edu; 1125105129@qq.com</t>
  </si>
  <si>
    <t>10.1016/j.cie.2021.107178</t>
  </si>
  <si>
    <t>RU4CS</t>
  </si>
  <si>
    <t>WOS:000645096600019</t>
  </si>
  <si>
    <t>Wei, XH; Bai, SJ; Wu, B</t>
  </si>
  <si>
    <t>Wei, Xiaohua; Bai, Sijun; Wu, Bei</t>
  </si>
  <si>
    <t>A novel shock-dependent preventive maintenance policy for degraded systems subject to dynamic environments and N-critical shocks</t>
  </si>
  <si>
    <t>Dynamic environment; N-critical shock model; Degradation modeling; Reliability analysis; Shock-dependent maintenance policy</t>
  </si>
  <si>
    <t>COMPETING FAILURE PROCESSES; RELIABILITY-ANALYSIS; DEGRADATION; MODEL; AVAILABILITY; WEAR</t>
  </si>
  <si>
    <t>As a protective device for vehicles, shock absorbers are designed to maintain the safety and stability of vehicles. However, the constantly changing road conditions along with various dependent failure mechanisms pose challenges to their performance stability and maintenance strategy formulation. This paper investigates a linearly degraded system subject to both a dynamically changing operating environment and a series of external shocks, where an N-critical shock model is utilized to describe the limited shock resistance of shock absorbers and a continuous-time Markov process is employed to characterize the random evolution of environments. Explicit formulas for computing system reliability functions are proposed, along with a simulation algorithm as the alternative method. Furthermore, a novel shock-dependent preventive maintenance policy is developed to fully take advantage of the information on shock arrivals, which is observable and measurable, for degraded systems operating in a dynamic environment. Valuable conclusions are drawn that increasing the critical or shock failure threshold can enhance system performance while reducing maintenance costs; an increase in corrective maintenance costs indicates a need for earlier replacement, while an increase in preventive maintenance costs leads to postponed replacement.</t>
  </si>
  <si>
    <t>[Wei, Xiaohua; Bai, Sijun; Wu, Bei] Northwest Polytech Univ, Sch Management, Xian 710072, Peoples R China</t>
  </si>
  <si>
    <t>Wu, B (corresponding author), Northwest Polytech Univ, Sch Management, Xian 710072, Peoples R China.</t>
  </si>
  <si>
    <t>chen, jia/JDW-7660-2023</t>
  </si>
  <si>
    <t>National Natural Science Foundation of China [72101205]; Fundamental Research Funds for the Central Universities, China [3102021XJS05]</t>
  </si>
  <si>
    <t>The study is supported by the National Natural Science Foundation of China under grant 72101205 and the Fundamental Research Funds for the Central Universities, China under grant 3102021XJS05.</t>
  </si>
  <si>
    <t>10.1016/j.ress.2023.109535</t>
  </si>
  <si>
    <t>S2FW5</t>
  </si>
  <si>
    <t>WOS:001069388300001</t>
  </si>
  <si>
    <t>Li, XP; Liu, ZX; Wang, YK; Li, M</t>
  </si>
  <si>
    <t>Li, Xiaopeng; Liu, Zixian; Wang, Yukun; Li, Mei</t>
  </si>
  <si>
    <t>Optimal burn-in strategy for two-dimensional warranted products considering preventive maintenance</t>
  </si>
  <si>
    <t>Burn-in; two-dimensional warranty; performance; warranty cost; preventive maintenance</t>
  </si>
  <si>
    <t>FREE REPLACEMENT; TIME; DESIGN; MODELS; POLICY; SOLD; RELIABILITY; MINIMIZE; COST</t>
  </si>
  <si>
    <t>Burn-in and preventive maintenance (PM) are effective approaches to reduce the number of warranty claims and warranty cost during post-sale support. With harsher burn-in settings, early product defects can be removed, but at the same time product degradation is accelerated and more wear-out failures may be introduced. PM actions within warranty alleviate these negative effects. This paper proposes an optimal burn-in strategy for repairable products sold with a two-dimensional base warranty (BW) and an optional extended warranty (EW). Both performance-based and cost-based models incorporating PMs are developed to obtain optimal burn-in settings, including the burn-in duration and the burn-in usage rate, so as to minimise the expected number of warranty claims and total cost respectively. The impacts of different accelerated coefficients and PM degrees on the optimal burn-in strategy are analysed. In view of the performance and cost structures, we conduct numerical examples to illustrate the applicability of the proposed models. Practical implications from a sensitivity analysis for key parameters are also elaborated.</t>
  </si>
  <si>
    <t>[Li, Xiaopeng; Liu, Zixian; Li, Mei] Tianjin Univ, Coll Management &amp; Econ, Tianjin, Peoples R China; [Wang, Yukun] Tianjin Chengjian Univ, Sch Econ &amp; Management, Tianjin, Peoples R China; [Li, Xiaopeng; Wang, Yukun] Norwegian Univ Sci &amp; Technol, Dept Mech &amp; Ind Engn, Trondheim, Norway</t>
  </si>
  <si>
    <t>Tianjin University; Tianjin Chengjian University; Norwegian University of Science &amp; Technology (NTNU)</t>
  </si>
  <si>
    <t>Wang, YK (corresponding author), Tianjin Chengjian Univ, Sch Econ &amp; Management, Tianjin, Peoples R China.;Wang, YK (corresponding author), Norwegian Univ Sci &amp; Technol, Dept Mech &amp; Ind Engn, Trondheim, Norway.</t>
  </si>
  <si>
    <t>Wang, Yukun/AAO-1651-2020; 李, 孝鹏/GZG-7652-2022; Li, Xiaopeng/B-5675-2018</t>
  </si>
  <si>
    <t>wang, yukun/0000-0003-0318-2471; Li, Xiaopeng/0000-0002-8237-9194</t>
  </si>
  <si>
    <t>National Natural Science Foundation of China [71532008, 71171142]</t>
  </si>
  <si>
    <t>This paper was supported by the National Natural Science Foundation of China [grant number 71532008 and 71171142].</t>
  </si>
  <si>
    <t>10.1080/00207543.2018.1526419</t>
  </si>
  <si>
    <t>IS0NM</t>
  </si>
  <si>
    <t>WOS:000481847500003</t>
  </si>
  <si>
    <t>Dendauw, P; Goeman, T; Claeys, D; De Turck, K; Fiems, D; Bruneel, H</t>
  </si>
  <si>
    <t>Dendauw, Pieterjan; Goeman, Thomas; Claeys, Dieter; De Turck, Koen; Fiems, Dieter; Bruneel, Herwig</t>
  </si>
  <si>
    <t>Condition-based critical level policy for spare parts inventory management</t>
  </si>
  <si>
    <t>Spare parts; Condition based maintenance; Critical level policy; Markov chain</t>
  </si>
  <si>
    <t>CONDITION-BASED MAINTENANCE; REALIZING PRESCRIPTIVE MAINTENANCE; PREDICTIVE MAINTENANCE; MODEL; SYSTEMS; OPTIMIZATION; REPLACEMENT; PRIMA</t>
  </si>
  <si>
    <t>Condition-based maintenance is a proactive maintenance strategy where the condition of machinery is monitored. A machine is preventively maintained when it shows signs of degradation, in which case the necessary spare parts are provided from stock. However, machines may occasionally suffer from sudden shocks, or they may fail before showing any signs of deterioration. Having stock-outs in case of failures leads to costly downtimes. To avoid such downtimes, we propose a condition-based critical level policy. In this policy, preventive maintenance can be carried out such that spare parts can be consumed when the stock level is not below the critical level. In order to assess the potential impact of this policy, we develop a conceptual model for which we establish a simple numerical procedure that allows to select the optimal base-stock and critical level thresholds. We compare the operational cost under the optimal critical level policy to that under the optimal base-stock policy. The results indicate that the proposed critical level policy can indeed reduce the operational cost significantly as compared to the base-stock policy.</t>
  </si>
  <si>
    <t>[Dendauw, Pieterjan; Claeys, Dieter] Univ Ghent, Dept Ind Syst Engn &amp; Prod Design, Technologiepk 46, B-9052 Zwijnaarde, Belgium; [Dendauw, Pieterjan; Claeys, Dieter] Univ Ghent, Ind Syst Engn ISyE Flanders Make, Graaf Karel de Goedelaan 5, B-8500 Kortrijk, Belgium; [Goeman, Thomas; De Turck, Koen; Fiems, Dieter; Bruneel, Herwig] Univ Ghent, Dept Telecommun &amp; Informat Proc, Sint Pietersnieuwstr 41, B-9000 Ghent, Belgium; [De Turck, Koen] CentraleSupelec, Lab Signals &amp; Syst L2S, Dept Telecommun, Plateau Moulon UMR8506, 3 Rue Joliot Curie, F-91192 Gif Sur Yvette, France</t>
  </si>
  <si>
    <t>Ghent University; Ghent University; Ghent University; Universite Paris Saclay</t>
  </si>
  <si>
    <t>Claeys, D (corresponding author), Univ Ghent, Dept Ind Syst Engn &amp; Prod Design, Technologiepk 46, B-9052 Zwijnaarde, Belgium.</t>
  </si>
  <si>
    <t>pieterjan.dendauw@ugent.be; Dieter.Claeys@ugent.be</t>
  </si>
  <si>
    <t>Fiems, Dieter/J-4442-2013; De+Turck, Koen/AAN-1386-2021</t>
  </si>
  <si>
    <t>Dendauw, Pieterjan/0000-0001-6839-4075</t>
  </si>
  <si>
    <t>10.1016/j.cie.2021.107369</t>
  </si>
  <si>
    <t>WOS:000659146800060</t>
  </si>
  <si>
    <t>Pond, G; Abdullah, MA; Turgeon, Y</t>
  </si>
  <si>
    <t>Pond, Geoff; Abdullah, Muhammad Ali; Turgeon, Yves</t>
  </si>
  <si>
    <t>Intersection of corrosion prevention strategy and practice</t>
  </si>
  <si>
    <t>Maintenance strategies; Maintenance policy; Maintainability; Maintenance planning; Maintenance analytics</t>
  </si>
  <si>
    <t>PERFORMANCE-MEASUREMENT; MAINTENANCE; COST</t>
  </si>
  <si>
    <t>Purpose The purpose of this paper is to objectively evaluate the cost benefit of applying corrosion prevention coatings throughout a mid-life logistics fleet supporting the Canadian Army. Design/methodology/approach A database of maintenance records for an Army logistics vehicle throughout a four-year study period is mined. Statistical analysis (primarily ANOVA) accounting for the frequency of treatment and geographic region is executed. Findings Statistical analysis indicates counter-intuitive results. Vehicles that are most frequently treated to prevent corrosion incur the highest maintenance costs. Consultation with operational units suggests that a strategic approach to corrosion prevention is largely absent. Instead, vehicles are treated on an ad hoc basis, or - equivalently - on an as available basis. Originality/value Clearly, having corrosion prevention compounds applied to a fleet on an ad hoc basis suffers from the natural bias occurring among operators to retain vehicles in best condition for operational purposes. Corrosion prevention requires a more strategic approach including disciplined maintenance operations in order to provide dividends on a fleet-wide basis.</t>
  </si>
  <si>
    <t>[Pond, Geoff] Royal Mil Coll Canada, Dept Management, Kingston, ON, Canada; [Abdullah, Muhammad Ali] Canadian Special Operat Forces Command, Ottawa, ON, Canada; [Turgeon, Yves] Royal Mil Coll Canada, Dept Appl Mil Sci, Kingston, ON, Canada</t>
  </si>
  <si>
    <t>Royal Military College - Canada; Royal Military College - Canada</t>
  </si>
  <si>
    <t>Pond, G (corresponding author), Royal Mil Coll Canada, Dept Management, Kingston, ON, Canada.</t>
  </si>
  <si>
    <t>geoffrey.pond@rmc.ca; Muhammad.Abdullah@rmc.ca; Luc.Turgeon@rmc.ca</t>
  </si>
  <si>
    <t>Pond, Gregory/JOZ-2926-2023</t>
  </si>
  <si>
    <t>Pond, Gregory/0000-0003-1033-0882</t>
  </si>
  <si>
    <t>10.1108/JQME-01-2018-0004</t>
  </si>
  <si>
    <t>WOS:000511243400008</t>
  </si>
  <si>
    <t>Peng, SZ; Jiang, W; Huang, WP; Luo, QL</t>
  </si>
  <si>
    <t>Peng, Shizhe; Jiang, Wei; Huang, Wenpo; Luo, Qinglin</t>
  </si>
  <si>
    <t>The impact of gamma usage processes on preventive maintenance policies under two-dimensional warranty</t>
  </si>
  <si>
    <t>Preventive maintenance; Two-dimensional warranty; Gamma usage process</t>
  </si>
  <si>
    <t>EXTENDED WARRANTY; PRODUCTS SOLD; MODEL; RELIABILITY; STRATEGY; REPLACEMENT; SYSTEMS; TIME; AGE</t>
  </si>
  <si>
    <t>This study considers a manufacturer performing preventive maintenance (PM) on a product according to a one-or two-dimensional (2-D) policy. The one-dimensional PM policy is based on either time or usage, while in the two-dimensional case, PM is scheduled based on both scales. The product carries a 2-D warranty that offers protection for a certain amount of time and usage. Its cumulative usage is continuously monitored by the manufacturer and is assumed to follow a gamma process. In this context, we first propose a doubly stochastic Poisson process model for product failures where the stochastic intensity is influenced by the gamma usage process in an additive manner. We then explicitly derive the expected total costs of the two one-dimensional PM policies using the concepts of first hitting times and gamma bridges. For the 2-D PM policy, we express the associated cost in terms of the value function of a dynamic programming model. In the numerical experiments, we show how the variability of the usage process affects the costs of the three PM policies and find that the optimal 2-D policy degenerates into a one-dimensional policy.</t>
  </si>
  <si>
    <t>[Peng, Shizhe; Luo, Qinglin] Changsha Univ Sci &amp; Technol, Sch Econ &amp; Management, Changsha, Peoples R China; [Jiang, Wei] Shanghai Jiao Tong Univ, Antai Coll Econ &amp; Management, Shanghai, Peoples R China; [Huang, Wenpo] Hangzhou Dianzi Univ, Sch Management, Hangzhou, Peoples R China</t>
  </si>
  <si>
    <t>Changsha University of Science &amp; Technology; Shanghai Jiao Tong University; Hangzhou Dianzi University</t>
  </si>
  <si>
    <t>Huang, WP (corresponding author), Hangzhou Dianzi Univ, Sch Management, Hangzhou, Peoples R China.</t>
  </si>
  <si>
    <t>pengshiz@126.com; jiangwei08@gmail.com; whuang@hdu.edu.cn; qinglinloo@hotmail.com</t>
  </si>
  <si>
    <t>jiang, wei/ABD-7395-2021</t>
  </si>
  <si>
    <t>Luo, Qinglin/0000-0001-6916-2217</t>
  </si>
  <si>
    <t>National Science Foundation of China [72171064, 71831006]; Humanities and Social Science Fund of Ministry of Edu-cation of the People's Republic of China [20YJC910006]; Zhejiang Provincial Natural Science Foundation of China [LZ20G010001]</t>
  </si>
  <si>
    <t>National Science Foundation of China(National Natural Science Foundation of China (NSFC)); Humanities and Social Science Fund of Ministry of Edu-cation of the People's Republic of China; Zhejiang Provincial Natural Science Foundation of China(Natural Science Foundation of Zhejiang Province)</t>
  </si>
  <si>
    <t>The authors would like to thank the associate editor and anonymous reviewers for their constructive comments. This work was supported by the National Science Foundation of China [grant numbers 72171064, 71831006] ; the Humanities and Social Science Fund of Ministry of Edu-cation of the People's Republic of China [grant number 20YJC910006] ; and the Zhejiang Provincial Natural Science Foundation of China [grant number LZ20G010001] .</t>
  </si>
  <si>
    <t>10.1016/j.ress.2023.109743</t>
  </si>
  <si>
    <t>X7YU1</t>
  </si>
  <si>
    <t>WOS:001100567100001</t>
  </si>
  <si>
    <t>Zhang, N; Tian, S; Li, L; Wang, ZB; Zhang, J</t>
  </si>
  <si>
    <t>Zhang, Nan; Tian, Sen; Li, Le; Wang, Zhongbin; Zhang, Jun</t>
  </si>
  <si>
    <t>Maintenance analysis of a partial observable K-out-of-N system with load sharing units</t>
  </si>
  <si>
    <t>Maintenance optimization; K-out-of-N system; load sharing; partially observable Markov decision process; dynamic environment</t>
  </si>
  <si>
    <t>BALANCED SYSTEMS; RELIABILITY; POLICY; OPTIMIZATION</t>
  </si>
  <si>
    <t>In this paper, we consider the inspection and maintenance optimization of a K-out-of-N load-sharing system that operates in a deteriorating working condition. The failure rate of each component depends on its load-sharing and the system working condition. During the operation, the system working condition can be deteriorated from the healthy state to the abnormal state. Both the states of the components and the system working environment are hidden. To ensure the system safety, periodical inspection is implemeted, upon which, two-folds of information can be obtained: the state of each component and the partial revealed information corresponding to the state of the working condition. A maintenance policy is proposed based on the observations. The policy is assessed by the total expected discounted maintenance cost in the long-run horizon. We cast the problem into a partially observable Markov decision process framework. We utilize the value iteration algorithm to solve the inspection and maintenance optimization problem. Sensitivity analyses through numerical examples are carried out. A case study of a parallel system with electric motors is examined to show the applicability of the proposed model.</t>
  </si>
  <si>
    <t>[Zhang, Nan; Tian, Sen] Beijing Inst Technol, Sch Management &amp; Econ, Beijing, Peoples R China; [Li, Le] Hetao Coll, Dept Math &amp; Comp Sci, Bayannur 015000, Inner Mongolia, Peoples R China; [Wang, Zhongbin] Tianjin Univ, Coll Management &amp; Econ, Tianjin, Peoples R China; [Zhang, Jun] Beijing Inst Technol, Adv Res Inst Multidisciplinary Sci, Beijing, Peoples R China</t>
  </si>
  <si>
    <t>Beijing Institute of Technology; Hetao College; Tianjin University; Beijing Institute of Technology</t>
  </si>
  <si>
    <t>Li, L (corresponding author), Hetao Coll, Dept Math &amp; Comp Sci, Bayannur 015000, Inner Mongolia, Peoples R China.</t>
  </si>
  <si>
    <t>lacie007@126.com</t>
  </si>
  <si>
    <t>zhang, jiliang/N-5659-2015</t>
  </si>
  <si>
    <t>, nan/0000-0001-5599-5373</t>
  </si>
  <si>
    <t>National Natural Science Foundation of China [61827901, 71901026]</t>
  </si>
  <si>
    <t>The author(s) disclosed receipt of the following financial support for the research, authorship, and/or publication of this article: This work is supported by the National Natural Science Foundation of China (61827901,71901026);</t>
  </si>
  <si>
    <t>10.1177/1748006X221109351</t>
  </si>
  <si>
    <t>M5UA0</t>
  </si>
  <si>
    <t>WOS:000825038100001</t>
  </si>
  <si>
    <t>Summers, DJ; Visser, JK</t>
  </si>
  <si>
    <t>Summers, D. J.; Visser, J. K.</t>
  </si>
  <si>
    <t>FACTORS THAT INFLUENCE THE DECISION TO OUTSOURCE MAINTENANCE IN THE PROCESSING INDUSTRY</t>
  </si>
  <si>
    <t>SERVICES; SUCCESS</t>
  </si>
  <si>
    <t>The success rate of outsourcing in South Africa is fairly low. Companies that make the incorrect decision to outsource maintenance place themselves at risk of poor maintenance performance, a high operational cost of maintenance, and substantial costs to redevelop internal maintenance capabilities. The identification of the factors applicable to the decision to outsource maintenance can form the basis of a decision framework or model, and has the potential to improve the quality of decision-making in maintenance management. This paper discusses the results of a survey that was carried out to determine the main decision factors that maintenance and asset managers could use when they consider outsourcing some maintenance work. Most of the 62 respondents were from the oil and energy sector or the chemicals sector of South African industry. The main decision factors were identified as contractor experience, the availability of a suitable contractor, and the scarcity of skills or employees. The findings of this survey are useful for maintenance and asset managers to decide whether or not to outsource an activity, and to rank potential contractors.</t>
  </si>
  <si>
    <t>[Summers, D. J.; Visser, J. K.] Univ Pretoria, Dept Engn &amp; Technol Management, Pretoria, South Africa</t>
  </si>
  <si>
    <t>University of Pretoria</t>
  </si>
  <si>
    <t>Visser, JK (corresponding author), Univ Pretoria, Dept Engn &amp; Technol Management, Pretoria, South Africa.</t>
  </si>
  <si>
    <t>krige.visser@up.ac.za</t>
  </si>
  <si>
    <t>10.7166/32-1-2127</t>
  </si>
  <si>
    <t>SL7MV</t>
  </si>
  <si>
    <t>gold, Green Submitted</t>
  </si>
  <si>
    <t>WOS:000657099400004</t>
  </si>
  <si>
    <t>Zhang, YJ; Wang, YK; Li, XP; Liu, YL; Gao, WZ</t>
  </si>
  <si>
    <t>Zhang, Yujie; Wang, Yukun; Li, Xiaopeng; Liu, Yiliu; Gao, Weizheng</t>
  </si>
  <si>
    <t>Condition-based maintenance optimization for deteriorating systems considering performance-based contracting and destructive inspections</t>
  </si>
  <si>
    <t>Condition-based maintenance; performance-based contracting; destructive inspections; degradation</t>
  </si>
  <si>
    <t>PRODUCT-SERVICE SYSTEMS; MULTICOMPONENT SYSTEMS; FAILURE PROCESSES; DEGRADATION; POLICY; SUBJECT; RELIABILITY; DEPENDENCE; STRATEGIES; MODELS</t>
  </si>
  <si>
    <t>As a novel contracting approach, the performance-based contracting (PBC) utilizes defined performance goals and structured incentives to improve the system availability and reduce the cost by tying the compensation to the service supplier to the system performance outcome. In this paper, two new CBM optimization models within the PBC framework are proposed considering the impacts of destructive inspections on the system degradation behavior. The average maintenance cost rate and the system availability within the contract horizon are estimated. Under the inspection-based replacement scheme, the objectives are to maximize the expected profit rate to the supplier and/or the resulting system average availability. A solution procedure based on the non-dominated sorting genetic algorithm (NSGA-II) combining with the weighted sum method (WSM) is introduced to derive the optimal CBM policies. Numerical examples and sensitivity analysis are conducted to examine the applicability of the proposed models.</t>
  </si>
  <si>
    <t>[Zhang, Yujie; Wang, Yukun; Gao, Weizheng] Tianjin Chengjian Univ, Sch Econ &amp; Management, Tianjin, Peoples R China; [Li, Xiaopeng] Nanjing Univ Finance &amp; Econ, Nanjing, Peoples R China; [Liu, Yiliu] Norwegian Univ Sci &amp; Technol, Trondheim, Norway; [Wang, Yukun] Tianjin Chengjian Univ, Sch Econ &amp; Management, 26 Jinjing Rd, Tianjin 300384, Peoples R China</t>
  </si>
  <si>
    <t>Tianjin Chengjian University; Nanjing University of Finance &amp; Economics; Norwegian University of Science &amp; Technology (NTNU); Tianjin Chengjian University</t>
  </si>
  <si>
    <t>Wang, YK (corresponding author), Tianjin Chengjian Univ, Sch Econ &amp; Management, 26 Jinjing Rd, Tianjin 300384, Peoples R China.</t>
  </si>
  <si>
    <t>Zhang, Yujie/HQY-2476-2023; Li, Xiaopeng/JPX-0647-2023; wang, yukun/IYJ-1976-2023; Li, Xiaopeng/B-5675-2018; Liu, Yiliu/AAY-2097-2021</t>
  </si>
  <si>
    <t>The author(s) disclosed receipt of the following financial support for the research, authorship, and/or publi-cation of this article: This work was supported by the National Natural Science Foundation of China (No.71801171).</t>
  </si>
  <si>
    <t>10.1177/1748006X221148239</t>
  </si>
  <si>
    <t>MX8B2</t>
  </si>
  <si>
    <t>WOS:000913452100001</t>
  </si>
  <si>
    <t>Huang, YS; Fang, CC; Wijaya, S</t>
  </si>
  <si>
    <t>Huang, Yeu-Shiang; Fang, Chih-Chiang; Wijaya, Stevan</t>
  </si>
  <si>
    <t>Condition-based preventive maintenance with a yield rate threshold for deteriorating repairable systems</t>
  </si>
  <si>
    <t>condition-based preventive maintenance (CBPM); effective age; non-homogeneous poisson process (NHPP); yield rate</t>
  </si>
  <si>
    <t>POLICIES; RELIABILITY; SUBJECT; QUALITY; MODELS</t>
  </si>
  <si>
    <t>Repairable systems deteriorate with age and usage. In order to maintain acceptable reliability and prevent sudden failures, preventive maintenance (PM) is often applied to such systems. Scheduled PM actions can improve system availability and minimize losses due to breakdowns and failures. However, condition-based PM is considered more relevant to system status than age-based PM for deteriorating repairable systems. In this study, we consider the production yield rate as the condition variable when determining the optimal PM schedule. A non-homogeneous Poisson process is used to describe the system deterioration, and the concept of system effective (virtual) age is also considered to make the proposed model more realistic. Three different condition-based PM strategies are presented to provide more diverse choices for decision makers in terms of solving problems based on the situation at hand. The results show that the optimal yield rate threshold can reduce system failure while maintaining acceptable system availability and product quality with affordable costs due to a proper PM schedule. Furthermore, the results of the numerical application showed that the maintenance and penalty costs are the most sensitive to the total cost, where the adoption of the proposed PM strategies are more profitable when related costs are low.</t>
  </si>
  <si>
    <t>[Huang, Yeu-Shiang] Natl Cheng Kung Univ, Ctr Innovat Finlech Business Models, Dept Ind &amp; Informat Management, Tainan, Taiwan; [Fang, Chih-Chiang] Zhaoqing Univ, Sch Comp Sci &amp; Software, Zhaoqing, Peoples R China; [Wijaya, Stevan] Natl Cheng Kung Univ, Dept Ind &amp; Informat Management, 1 Univ Rd, Tainan 701, Taiwan</t>
  </si>
  <si>
    <t>National Cheng Kung University; Zhaoqing University; National Cheng Kung University</t>
  </si>
  <si>
    <t>Huang, YS (corresponding author), Natl Cheng Kung Univ, Dept Ind &amp; Informat Management, 1 Univ Rd, Tainan 701, Taiwan.</t>
  </si>
  <si>
    <t>Huang, Yeu-Shiang/ABB-1360-2021; Fang, Chih-Chiang/AAG-4981-2021</t>
  </si>
  <si>
    <t>Chih-Chiang, Fang/0000-0002-3597-5700</t>
  </si>
  <si>
    <t>10.1002/qre.3191</t>
  </si>
  <si>
    <t>5X3DC</t>
  </si>
  <si>
    <t>WOS:000844219200001</t>
  </si>
  <si>
    <t>Si, GJ; Xia, TB; Gebraeel, N; Wang, D; Pan, ES; Xi, LF</t>
  </si>
  <si>
    <t>Si, Guojin; Xia, Tangbin; Gebraeel, Nagi; Wang, Dong; Pan, Ershun; Xi, Lifeng</t>
  </si>
  <si>
    <t>A reliability-and-cost-based framework to optimize maintenance planning and diverse-skilled technician routing for geographically distributed systems</t>
  </si>
  <si>
    <t>Maintenance scheduling; Diverse-skilled technician routing; Geographically distributed system; Multi-objective decision making; Technician team composition</t>
  </si>
  <si>
    <t>We present an agile maintenance framework where technician assignment and maintenance schedules are planned jointly to ensure timely operation and maintenance (O&amp;M) services. Such an agile framework can quickly respond to organizational scheduling requirements while controlling service costs and not compromising machine reliability. For preventive maintenance (PM) and replacement tasks, a diverse-skilled technician organizing and routing model (D-STORM) is developed for geographically distributed systems with the following decision variables: (1) the scheduled maintenance start time, (2) the appropriate maintenance level (i.e. PM or replacement) for a network of machines, (3) the composition of technician teams subject to constraints controlling the number of technicians per team and their skill levels, (4) the optimal service route for each team. And the two objectives are: (1) maximizing the total reliability improvement and (2) minimizing the total service cost. Other than traditional maintenance policies, we propose a machine-team-technician assignment approach to provide a flexible and unified maintenance framework that can incorporate diverse-skilled technicians and multilevel maintenance operations. Numerical studies show significant advantages in terms of improved reliability and reduced costs, providing a set of alternative solutions for global original equipment manufacturers (OEMs). Moreover, Pareto solutions help OEMs to adopt the most appropriate maintenance scheme for their practices.</t>
  </si>
  <si>
    <t>[Si, Guojin; Xia, Tangbin; Wang, Dong; Pan, Ershun; Xi, Lifeng] Shanghai Jiao Tong Univ, SJTU Fraunhofer Ctr, Sch Mech Engn, Dept Ind Engn &amp; Management,State Key Lab Mech Sys, Shanghai 200240, Peoples R China; [Gebraeel, Nagi] Georgia Inst Technol, H Milton Stewart Sch Ind &amp; Syst Engn, 765 Ferst Dr, Atlanta, GA 30332 USA</t>
  </si>
  <si>
    <t>Shanghai Jiao Tong University; University System of Georgia; Georgia Institute of Technology</t>
  </si>
  <si>
    <t>Xia, TB (corresponding author), Shanghai Jiao Tong Univ, SJTU Fraunhofer Ctr, Sch Mech Engn, Dept Ind Engn &amp; Management,State Key Lab Mech Sys, Shanghai 200240, Peoples R China.</t>
  </si>
  <si>
    <t>Si, Guojin/HLP-9772-2023; Wang, Dong/K-6297-2019; Wang, Dong/AAB-1090-2022</t>
  </si>
  <si>
    <t>Xia, Tangbin/0000-0001-9121-1716; Wang, Dong/0000-0003-4872-4860</t>
  </si>
  <si>
    <t>National Natural Science Foundation of China [51875359]; Natural Science Foundation of Shanghai [20ZR1428600]; Shanghai Science &amp; Technology Innovation Center for System Engineering of Commercial Aircraft [FASE-2021-M7]; Ministry of Education-China Mobile Joint Foundation Construction Project [MCM20180703]; Oceanic Interdisciplinary Program of Shanghai Jiao Tong University [SL2021MS008]; CSSC-SJTU Marine Equipment For-ward Looking Innovation Foundation [22B010432]</t>
  </si>
  <si>
    <t>National Natural Science Foundation of China(National Natural Science Foundation of China (NSFC)); Natural Science Foundation of Shanghai(Natural Science Foundation of Shanghai); Shanghai Science &amp; Technology Innovation Center for System Engineering of Commercial Aircraft; Ministry of Education-China Mobile Joint Foundation Construction Project; Oceanic Interdisciplinary Program of Shanghai Jiao Tong University; CSSC-SJTU Marine Equipment For-ward Looking Innovation Foundation</t>
  </si>
  <si>
    <t>This work was supported by the National Natural Science Foundation of China (51875359) , Natural Science Foundation of Shanghai (20ZR1428600) , Shanghai Science &amp; Technology Innovation Center for System Engineering of Commercial Aircraft (FASE-2021-M7) , Ministry of Education-China Mobile Joint Foundation Construction Project (MCM20180703) , Oceanic Interdisciplinary Program of Shanghai Jiao Tong University (SL2021MS008) , CSSC-SJTU Marine Equipment For-ward Looking Innovation Foundation (22B010432) .</t>
  </si>
  <si>
    <t>10.1016/j.ress.2022.108652</t>
  </si>
  <si>
    <t>2S6RG</t>
  </si>
  <si>
    <t>WOS:000821917000008</t>
  </si>
  <si>
    <t>Penchev, P; Vitliemov, P; Georgiev, I</t>
  </si>
  <si>
    <t>Penchev, Plamen; Vitliemov, Pavel; Georgiev, Ivan</t>
  </si>
  <si>
    <t>Optimization model for production scheduling taking into account preventive maintenance in an uncertainty-based production system</t>
  </si>
  <si>
    <t>HELIYON</t>
  </si>
  <si>
    <t>Scheduling; Production planning; MILP; Optimization model; Uncertainty; Maintenance</t>
  </si>
  <si>
    <t>INTEGRATION</t>
  </si>
  <si>
    <t>In the dynamic yet uncertain environment of Industry 4.0, industrial companies are utilizing the benefits of contemporary technologies in manufacturing by striving to implement optimization models in each stage of the decision-making process. Many organizations are focusing particularly on the optimization of two key aspects of the manufacturing process - production schedules and maintenance plans. This article presents a mathematical model with the main advantage of finding a valid production schedule (if such exists) for the distribution of individual production orders on the available production lines over a specified period. The model further considers the scheduled preventive maintenance activities on the production lines, as well as the preferences of the production planners regarding the start of the production orders and non-use of certain machines. When necessary, it also offers the possibility to make timely changes in the production schedule, and thus to handle the uncertainty as precisely as possible. For the verification of the model, two experiments were conducted (quasi-real and real-life), with data from a discrete automotive manufacturer of locking systems. The results from the sensitivity analysis demonstrated that the model further optimizes the execution times of all orders, and specifically the production lines usage - their optimal load and non-use of unnecessary machines (valid plan with 4 out of 12 lines not used). This allows for cost savings and raises the overall efficiency of the production process. Thus, the model adds value for the organization by presenting a production plan with optimal machine usage and product allocation. If incorporated into an ERP system, it could distinctly save time and streamline the production scheduling process.</t>
  </si>
  <si>
    <t>[Penchev, Plamen; Vitliemov, Pavel] Univ Ruse, Dept Business &amp; Management, Studentska 8, Ruse 7017, Bulgaria; [Georgiev, Ivan] Univ Ruse, Dept Appl Math &amp; Stat, Studentska 8, Ruse 7017, Bulgaria; [Georgiev, Ivan] Bulgarian Acad Sci, Inst Math &amp; Informat, Dept Informat Modeling, Acad Georgi Bonchev Str,Block 8, Sofia 1113, Bulgaria</t>
  </si>
  <si>
    <t>University of Ruse; University of Ruse; Bulgarian Academy of Sciences</t>
  </si>
  <si>
    <t>Penchev, P (corresponding author), Univ Ruse, Dept Business &amp; Management, Studentska 8, Ruse 7017, Bulgaria.</t>
  </si>
  <si>
    <t>prpenchev@uni-ruse.bg</t>
  </si>
  <si>
    <t>Georgiev, Ivan/IZQ-0774-2023; Vitliemov, Pavel/H-5795-2018</t>
  </si>
  <si>
    <t>Vitliemov, Pavel/0000-0002-1747-7994</t>
  </si>
  <si>
    <t>Operational Programme Science and Education for Smart Growth [BG05M2OP001-1.001-0004]; European Union</t>
  </si>
  <si>
    <t>Operational Programme Science and Education for Smart Growth; European Union(European Union (EU))</t>
  </si>
  <si>
    <t>The publication of this study is supported by Project BG05M2OP001-1.001-0004 UNITe, funded by the Operational Programme Science and Education for Smart Growth, co-funded by the European Union trough the European Structural and Investment Funds.</t>
  </si>
  <si>
    <t>CELL PRESS</t>
  </si>
  <si>
    <t>CAMBRIDGE</t>
  </si>
  <si>
    <t>50 HAMPSHIRE ST, FLOOR 5, CAMBRIDGE, MA 02139 USA</t>
  </si>
  <si>
    <t>2405-8440</t>
  </si>
  <si>
    <t>Heliyon</t>
  </si>
  <si>
    <t>e17485</t>
  </si>
  <si>
    <t>10.1016/j.heliyon.2023.e17485</t>
  </si>
  <si>
    <t>Q3GT9</t>
  </si>
  <si>
    <t>gold, Green Published</t>
  </si>
  <si>
    <t>WOS:001056439100001</t>
  </si>
  <si>
    <t>Tian, S; Zhang, N; Fouladirad, M</t>
  </si>
  <si>
    <t>Tian, Sen; Zhang, Nan; Fouladirad, Mitra</t>
  </si>
  <si>
    <t>An integrated optimization of lot-sizing and condition-based maintenance policy of a two-stage deteriorating system</t>
  </si>
  <si>
    <t>Lot-sizing; Condition-based maintenance; Degradation modeling; Semi-Markov decision process</t>
  </si>
  <si>
    <t>EMQ MODEL; QUALITY</t>
  </si>
  <si>
    <t>In this study, a two-stage deteriorating production system is considered. The initiation time of the deterioration follows an exponential distribution. A homogeneous Gamma process is used to model the deterioration propagation process. The equipment produces a single product with a constant production rate and demand rate. To ensure the efficiency of the production, inspection is carried out at the end of each production run. The lot-sizing and the condition-based maintenance threshold are optimized by minimizing the long-run average cost rate, which is derived in the framework of a semi-Markov decision process. The traversal algorithm is used to obtain optimal results. A numerical example is presented to illustrate the applicability of the proposed model. Some sensitivity analysis are carried out in order to highlight the interest and properties of the model. It may provide a theoretical reference for production and maintenance schedules.</t>
  </si>
  <si>
    <t>[Tian, Sen; Zhang, Nan] Beijing Inst Technol, Sch Management &amp; Econ, Beijing 100081, Peoples R China; [Fouladirad, Mitra] Aix Marseille Univ, UMR CNRS 7340, M2P2, Cent Marseille, Peoples R China</t>
  </si>
  <si>
    <t>Beijing Institute of Technology; Aix-Marseille Universite</t>
  </si>
  <si>
    <t>Zhang, N (corresponding author), Beijing Inst Technol, Sch Management &amp; Econ, Beijing 100081, Peoples R China.</t>
  </si>
  <si>
    <t>Fouladirad, Mitra/ABC-3081-2021</t>
  </si>
  <si>
    <t>fouladirad, mitra/0000-0002-0482-5347</t>
  </si>
  <si>
    <t>Acknowledgments This work is supported by the National Natural Science Foundation of China (71901026) .</t>
  </si>
  <si>
    <t>10.1016/j.cie.2023.109223</t>
  </si>
  <si>
    <t>E3RT4</t>
  </si>
  <si>
    <t>WOS:000974756200001</t>
  </si>
  <si>
    <t>Optimal operation and maintenance scheduling in m-out-of-n standby systems with reusable elements</t>
  </si>
  <si>
    <t>Element reactivation; Expected mission cost; m-out-of-n standby; Mission success probability; Operation and maintenance schedule; Preventive replacement</t>
  </si>
  <si>
    <t>Intensive research efforts have been dedicated to reliability analysis and optimization of standby systems. However, only few of the existing models allow a system element to be used/activated more than once during the mission time, and the existing work assumed a 1-out-of-n structure and fully reliable element activation procedures. This paper advances the state of the art by modeling and optimizing a m-out-of-n standby system subject to preventive replacements and imperfect element activations. Each element may be activated to execute the mission task and subsequently be preventively replaced multiple times during the mission; depending on the length of idle time, the element stays on standby or undergoes protection or maintenance actions prior to its next activation. Probabilistic approaches are suggested to evaluate mission success probability (MSP) and expected mission cost (EMC) for the considered standby system. Two optimization problems are solved, which determine the optimal operation and maintenance schedule (OMS) maximizing MSP and minimizing EMC, respectively. Effects of different model parameters on the MSP and optimization results are examined through examples. The proposed methodology is also extended to a generalized m-out-of-n standby system with heterogenous element performances, where the number of operating elements m may vary during the mission to meet a certain system demand.</t>
  </si>
  <si>
    <t>[Levitin, Gregory; Dai, Yuanshun] Univ Elect Sci &amp; Technol China, Sch Comp Sci, Collaborat Auton Comp Lab, Chengdu 611731, Sichuan, Peoples R China; [Levitin, Gregory] Israel Syst Management Co, Ashdod, Israel; [Xing, Liudong] Univ Massachusetts, Dartmouth, MA 02747 USA</t>
  </si>
  <si>
    <t>Levitin, G (corresponding author), Univ Elect Sci &amp; Technol China, Sch Comp Sci, Collaborat Auton Comp Lab, Chengdu 611731, Sichuan, Peoples R China.</t>
  </si>
  <si>
    <t>10.1016/j.ress.2021.107582</t>
  </si>
  <si>
    <t>WOS:000663909700014</t>
  </si>
  <si>
    <t>Al Hanbali, A; Saleh, HH; Alsawafy, OG; Attia, AM; Ghaithan, AM; Mohammed, A</t>
  </si>
  <si>
    <t>Al Hanbali, Ahmad; Saleh, Haitham H.; Alsawafy, Omar G.; Attia, Ahmed M.; Ghaithan, Ahmed M.; Mohammed, Awsan</t>
  </si>
  <si>
    <t>Spare parts supply with incoming quality control and inspection errors in condition based maintenance</t>
  </si>
  <si>
    <t>Condition-based maintenance; Spare part quality; Incoming quality control; Type I and II inspection errors; Continuous monitoring; Gamma process</t>
  </si>
  <si>
    <t>JOINT OPTIMIZATION; INVENTORY; POLICIES; SYSTEMS</t>
  </si>
  <si>
    <t>The upcoming industrial revolution 4.0 built on the internet of things, and prescriptive analytics paves the way for the spread of continuously monitored condition-based maintenance (CBM) in the industry. In the CBM implementations, it is essential to consider the impact of spare parts quality, lead-time, and inspection errors on maintenance cost and system availability. We propose a new maintenance model that incorporates the effects of these features in addition to the different cost factors, e.g., replacement cost, holding cost, and shortage cost. In a case study, we optimize our model by deciding on the degradation level at which a spare part is ordered. We show that a proper inspection of spare parts pays back up to 22% in maintenance cost savings as the spare parts' quality deteriorates. The vendor mean lead-time, the offered spare part price, and the mean degradation per time unit significantly impact the optimal maintenance cost. Finally, the costly detection processes of defective items installed in the system due to inspection errors have a limited cost reduction.</t>
  </si>
  <si>
    <t>[Al Hanbali, Ahmad; Saleh, Haitham H.; Alsawafy, Omar G.; Attia, Ahmed M.] King Fahd Univ Petr &amp; Minerals, Dept Ind &amp; Syst Engn, Dhahran, Saudi Arabia; [Ghaithan, Ahmed M.; Mohammed, Awsan] King Fahd Univ Petr &amp; Minerals, Dept Construction Engn &amp; Management, Dhahran, Saudi Arabia; [Al Hanbali, Ahmad; Saleh, Haitham H.] King Fahd Univ Petr &amp; Minerals, Interdisciplinary Res Ctr Smart Mobil &amp; Logist, Dhahran, Saudi Arabia; [Alsawafy, Omar G.] King Fahd Univ Petr &amp; Minerals, Interdisciplinary Res Ctr Smart Mfg, Dhahran, Saudi Arabia</t>
  </si>
  <si>
    <t>King Fahd University of Petroleum &amp; Minerals; King Fahd University of Petroleum &amp; Minerals; King Fahd University of Petroleum &amp; Minerals; King Fahd University of Petroleum &amp; Minerals</t>
  </si>
  <si>
    <t>Al Hanbali, A (corresponding author), King Fahd Univ Petr &amp; Minerals, Dept Ind &amp; Syst Engn, Dhahran, Saudi Arabia.</t>
  </si>
  <si>
    <t>ahmad.alhanbali@kfupm.edu.sa</t>
  </si>
  <si>
    <t>Hanbali, Ahmad/U-3979-2018; Attia, Ahmed/ISV-5974-2023; Mohammed, Awsan/AAX-8529-2020; Ghaithan, Ahmed/H-2575-2018; Attia, Ahmed/E-6192-2019; Saleh, Haitham/B-2479-2013</t>
  </si>
  <si>
    <t>Attia, Ahmed/0000-0003-4578-5537; Saleh, Haitham/0000-0003-0997-9481</t>
  </si>
  <si>
    <t>Research Center on Smart Mobility and Logistics, King Fahd University of Petroleum Minerals; [INML2103]</t>
  </si>
  <si>
    <t>Research Center on Smart Mobility and Logistics, King Fahd University of Petroleum Minerals(King Fahd University of Petroleum &amp; Minerals);</t>
  </si>
  <si>
    <t>This work has been supported by the Research Center on Smart Mobility and Logistics, King Fahd University of Petroleum &amp; Minerals under grant INML2103.</t>
  </si>
  <si>
    <t>10.1016/j.cie.2022.108534</t>
  </si>
  <si>
    <t>6Q0KY</t>
  </si>
  <si>
    <t>WOS:000891311800015</t>
  </si>
  <si>
    <t>Zhang, YJ; Shen, JY; Ma, YZ</t>
  </si>
  <si>
    <t>Zhang, Yanjing; Shen, Jingyuan; Ma, Yizhong</t>
  </si>
  <si>
    <t>An optimal preventive maintenance policy for a two-stage competing-risk system with hidden failures</t>
  </si>
  <si>
    <t>Hidden failure; Two-stage competing-risk system; Periodic inspection; Delay-time model; Preventive maintenance</t>
  </si>
  <si>
    <t>TIME RELIABILITY EVALUATION; MULTICOMPONENT SYSTEMS; IMPERFECT INSPECTION; PROTECTION SYSTEM; DEGRADATION; SUBJECT; MODEL; OPTIMIZATION; REPLACEMENT</t>
  </si>
  <si>
    <t>In many complex industrial systems, failures are not always evident to the operating crew, thus inspections are used to identify such hidden failures and then make necessary maintenance actions. In this paper, we study a two-stage system that is subject to two competing risks of degradation and random shocks. Failures of this two-stage competing-risk system are hidden and could only be detected by periodic inspections. For such a system, a delay-time model is introduced to describe the evolution of the system behavior. Random shocks are assumed to follow a homogeneous Poisson process. A preventive maintenance policy is presented in response to the observed system state, based on which the expected cost rate of the system is derived. This paper aims to find the minimal expected cost rate by determining the optimal inspection interval. A numerical example is presented to demonstrate the applicability of the proposed method and results.</t>
  </si>
  <si>
    <t>[Zhang, Yanjing; Shen, Jingyuan; Ma, Yizhong] Nanjing Univ Sci &amp; Technol, Sch Econ &amp; Management, Nanjing 210094, Jiangsu, Peoples R China</t>
  </si>
  <si>
    <t>National Natural Science Foundation of China [71931006, 71871119, 71801128, 71771121]</t>
  </si>
  <si>
    <t>The work was supported by the National Natural Science Foundation of China [grant numbers 71931006, 71871119, 71801128, 71771121].</t>
  </si>
  <si>
    <t>10.1016/j.cie.2021.107135</t>
  </si>
  <si>
    <t>RC7GH</t>
  </si>
  <si>
    <t>WOS:000632964300035</t>
  </si>
  <si>
    <t>Zhao, XJ; Liang, ZL; Parlikad, AK; Xie, M</t>
  </si>
  <si>
    <t>Zhao, Xiujie; Liang, Zhenglin; Parlikad, Ajith K.; Xie, Min</t>
  </si>
  <si>
    <t>Performance-oriented risk evaluation and maintenance for multi-asset systems: A Bayesian perspective</t>
  </si>
  <si>
    <t>Bayesian inference; order statistics; parameter uncertainty; performance evaluation; preventive maintenance</t>
  </si>
  <si>
    <t>DEGRADATION; POLICY; OPTIMIZATION; WARRANTY</t>
  </si>
  <si>
    <t>In this article, we present a risk evaluation and maintenance strategy optimization approach for systems with parallel identical assets subject to continuous deterioration. System performance is defined by the number of functional assets, and the penalty cost is measured by the loss of performance. To overcome the practical challenges of information sparsity, we employ a Bayesian framework to dynamically update unknown parameters in a Wiener degradation model. Order statistics are utilized to describe the failure times of assets and the stepwise incurred performance penalty cost. Furthermore, based on the Bayesian parameter inferences, we propose a short-term value-based replacement policy to minimize the expected cost rate in the current planning horizon. The proposed strategy simultaneously considers the variability of parameter estimators and the inherent uncertainty of the stochastic degradation processes. A simulation study and a realistic example from the petrochemical industry are presented to demonstrate the proposed framework.</t>
  </si>
  <si>
    <t>[Zhao, Xiujie] Tianjin Univ, Coll Management &amp; Econ, Tianjin, Peoples R China; [Liang, Zhenglin] Tsinghua Univ, Dept Ind Engn, Beijing, Peoples R China; [Parlikad, Ajith K.] Univ Cambridge, Inst Mfg, Cambridge, England; [Xie, Min] City Univ Hong Kong, Dept Syst Engn &amp; Engn Management, Hong Kong, Peoples R China; [Xie, Min] City Univ Hong Kong, Sch Data Sci, Hong Kong, Peoples R China</t>
  </si>
  <si>
    <t>Tianjin University; Tsinghua University; University of Cambridge; City University of Hong Kong; City University of Hong Kong</t>
  </si>
  <si>
    <t>zhenglinliang@Tsinghua.edu.cn</t>
  </si>
  <si>
    <t>Parlikad, Ajith Kumar/A-5269-2010; Xie, Min/IUQ-1412-2023</t>
  </si>
  <si>
    <t>National Natural Science Foundation of China [72002149, 72001124, 71971181, 72032005]; Research Grants Council of Hong Kong [GRF 11203519]</t>
  </si>
  <si>
    <t>National Natural Science Foundation of China(National Natural Science Foundation of China (NSFC)); Research Grants Council of Hong Kong(Hong Kong Research Grants Council)</t>
  </si>
  <si>
    <t>This work was supported in part by the National Natural Science Foundation of China (grant numbers 72002149, 72001124, 71971181, 72032005) and the Research Grants Council of Hong Kong (GRF 11203519).</t>
  </si>
  <si>
    <t>10.1080/24725854.2020.1869871</t>
  </si>
  <si>
    <t>XT4UY</t>
  </si>
  <si>
    <t>WOS:000621535000001</t>
  </si>
  <si>
    <t>Lu, HT; Yu, M; Zhang, B</t>
  </si>
  <si>
    <t>Lu, Haotian; Yu, Ming; Zhang, Bin</t>
  </si>
  <si>
    <t>Multistage Prognosis for Nonlinear Electromechanical System With Degradation Coupling and Maintenance</t>
  </si>
  <si>
    <t>Degradation; Prognostics and health management; Electromechanical systems; Friction; Fault diagnosis; Monitoring; Couplings; Composite degradation model; degradation coupling effect; imperfect preventive maintenance; multistage prognosis</t>
  </si>
  <si>
    <t>FAULT-DIAGNOSIS; MODEL</t>
  </si>
  <si>
    <t>In this article, a multistage prognosis method is developed for the nonlinear electromechanical system in the presence of imperfect preventive maintenance (IPM) and degradation coupling effect (DCE). In this method, a composite degradation model incorporating IPM and DCE is proposed, by which the resultant remaining useful life (RUL) can be dynamically updated. First, the effects related to internal degradation, external degradation, and cumulative IPM are defined to facilitate the establishment of degradation model. Then, after the fault diagnosis with enhanced isolability using bond graph and improved temporal causal graph, degradation data obtained by cubature Kalman filter are used to estimate degradation model coefficients. Due to the RUL variation with occurrences of the first IPM and new fault, the multistage prognosis method is developed to update RULs at different stages that are distinguished by the first IPM of faulty component or the DCE caused by newly occurring fault. Finally, the proposed methods are validated by experimental results.</t>
  </si>
  <si>
    <t>[Lu, Haotian; Yu, Ming] Hefei Univ Technol, Sch Elect Engn &amp; Automat, Hefei 230009, Peoples R China; [Zhang, Bin] Univ South Carolina, Dept Elect Engn, Columbia, SC 29208 USA</t>
  </si>
  <si>
    <t>Hefei University of Technology; University of South Carolina System; University of South Carolina Columbia</t>
  </si>
  <si>
    <t>Yu, M (corresponding author), Hefei Univ Technol, Sch Elect Engn &amp; Automat, Hefei 230009, Peoples R China.</t>
  </si>
  <si>
    <t>2019110337@mail.hfut.edu.cn; yu0202@hfut.edu.cn; zhangbin@cec.sc.edu</t>
  </si>
  <si>
    <t>Zhang, Bin/U-9174-2019</t>
  </si>
  <si>
    <t>Zhang, Bin/0000-0002-4879-0211</t>
  </si>
  <si>
    <t>10.1109/TII.2023.3342425</t>
  </si>
  <si>
    <t>NW6J3</t>
  </si>
  <si>
    <t>WOS:001134387900001</t>
  </si>
  <si>
    <t>Jaderi, F; Ibrahim, ZZ; Nikoo, M; Nikoo, M</t>
  </si>
  <si>
    <t>Jaderi, F.; Ibrahim, Zelina Z.; Nikoo, Mehdi; Nikoo, Mohammad</t>
  </si>
  <si>
    <t>Utilizing self-organization systems for modeling and managing risk based on maintenance and repair in petrochemical industries</t>
  </si>
  <si>
    <t>Self-organization feature maps; Genetic algorithms; Fuzzy model; Risk management; Petrochemical industry</t>
  </si>
  <si>
    <t>NEURAL-NETWORK; CLASSIFICATION; PREDICTION; CONCRETE; RBM</t>
  </si>
  <si>
    <t>Maintenance is essential to ensure safe operation of equipment in normal conditions. Therefore, managers must identify the relative priorities and equipment maintenance requirements. Moreover, based on the results of equipment vulnerability assessments, maintenance programs can be developed and managed properly. There are different methods and techniques in the process of risk assessment and management and vulnerability of equipment. Seventy-six samples with different properties have been used in this study. Networks used in this study are self-organizing networks with constant weight, which include Kohonen networks. For this purpose, operation impact, operation flexibility, maintenance cost, impact of safety and environment and frequency parameters had been considered as input; and using this model, the risk level is calculated. Utilizing genetic algorithms, the structures of all self-organizing systems are optimized. In order to evaluate the accuracy of the model, we compare it with the fuzzy model, and the results indicate that self-organizing systems optimized with the genetic algorithm have higher ability, flexibility and accuracy than the fuzzy model in predicting risk.</t>
  </si>
  <si>
    <t>[Jaderi, F.; Ibrahim, Zelina Z.] Univ Putra Malaysia, Fac Environm Studies, Serdang 43400, Malaysia; [Jaderi, F.] Res Ctr Environm &amp; Sustainable Dev, Dept Environm, Tehran, Iran; [Nikoo, Mehdi] Islamic Azad Univ, Ahvaz Branch, Young Researchers &amp; Elite Club, Ahvaz, Iran; [Nikoo, Mohammad] Islamic Azad Univ, Ahvaz Branch, SAMA Tech &amp; Vocat Training Coll, Ahvaz, Iran</t>
  </si>
  <si>
    <t>Universiti Putra Malaysia; Islamic Azad University; Islamic Azad University</t>
  </si>
  <si>
    <t>Jaderi, F (corresponding author), Univ Putra Malaysia, Fac Environm Studies, Serdang 43400, Malaysia.;Jaderi, F (corresponding author), Res Ctr Environm &amp; Sustainable Dev, Dept Environm, Tehran, Iran.</t>
  </si>
  <si>
    <t>jaderi@doe.ir; zelina@upm.edu.my; sazeh84@yahoo.com; m.nikoo2014@gmail.com</t>
  </si>
  <si>
    <t>Nikoo, Mehdi/I-5070-2019</t>
  </si>
  <si>
    <t>Zaiton Ibrahim, Zelina/0000-0001-8582-062X; Nikoo, Mehdi/0000-0002-1765-1382; Nikoo, Mohammad/0000-0001-6364-2762</t>
  </si>
  <si>
    <t>10.1007/s00500-018-3291-x</t>
  </si>
  <si>
    <t>IG2QJ</t>
  </si>
  <si>
    <t>WOS:000473642200030</t>
  </si>
  <si>
    <t>Koutras, VP</t>
  </si>
  <si>
    <t>Koutras, Vasilis P.</t>
  </si>
  <si>
    <t>A Markov Regenerative Process Model for the Dependability and Performance of a Two-Unit Multi-State System under Maintenance</t>
  </si>
  <si>
    <t>Markov Regenerative Processes; preventive maintenance; multi -state systems; dependability; performance; two -unit system</t>
  </si>
  <si>
    <t>PREVENTIVE MAINTENANCE; AVAILABILITY; REJUVENATION; OPTIMIZATION</t>
  </si>
  <si>
    <t>Preventive maintenance (PM) is a key aspect for industrial, production and generally technological systems, since it can prevent unexpected breakdowns and their consequences. However, PM incurs additional cost and thus system designers should carefully examine how and when to implement it. Beyond this, modeling correctively the structure and the evolution of the system is of critical significance when designing the appropriate PM strategy. In this paper, a two-unit multi-state parallel system with one repair facility, which can model various industrial systems like power generation or pump systems, production systems or even computing systems, is considered, in which PM is enabled to prevent failures and improve system's dependability and performance. Given some specific system characteristics, a Markov Regenerative Process is proposed to be used to accurately model the evolution of the system in time. The asymptotic availability, the expected downtime and the expected operational cost are evaluated as measures for the system dependability and performance correspondingly. The aim is to determine the PM policies that optimize these measures either separately or jointly, through formu-lating and solving the appropriate optimization problem. The theoretical framework is illustrated through a numerical example for a pumping station consisting of two centrifugal pumps working in parallel.</t>
  </si>
  <si>
    <t>[Koutras, Vasilis P.] Univ Aegean, Sch Engn, Dept Financial &amp; Management Engn, Chios, Greece</t>
  </si>
  <si>
    <t>University of Aegean</t>
  </si>
  <si>
    <t>Koutras, VP (corresponding author), Univ Aegean, Sch Engn, Dept Financial &amp; Management Engn, Chios, Greece.</t>
  </si>
  <si>
    <t>v.koutras@aegean.gr</t>
  </si>
  <si>
    <t>Koutras, Vasilis/AFP-1742-2022</t>
  </si>
  <si>
    <t>10.1016/j.ress.2023.109433</t>
  </si>
  <si>
    <t>M4FH3</t>
  </si>
  <si>
    <t>WOS:001029767300001</t>
  </si>
  <si>
    <t>Wei, GZ; Zhao, XJ; He, SG; He, Z</t>
  </si>
  <si>
    <t>Wei, Guanzhou; Zhao, Xiujie; He, Shuguang; He, Zhen</t>
  </si>
  <si>
    <t>Reliability modeling with condition-based maintenance for binary-state deteriorating systems considering zoned shock effects</t>
  </si>
  <si>
    <t>Two-phase degradation path; Zoned shock effects; Condition-based maintenance</t>
  </si>
  <si>
    <t>BURN-IN; DEGRADATION; SUBJECT; POLICY; COMPONENTS</t>
  </si>
  <si>
    <t>Due to the necessity of usage, industrial systems often work and deteriorate in a dynamic environment, where some deleterious factors can be regarded as external shocks. In this study, we consider a binary-state deteriorating system under zoned shock effects. System internal degradation is modeled by a two-phase Wiener process, which has a larger shift and diffusion parameter when the system transfers from the normal state to the weakened state. Shock effects are comprehensively incorporated in the deteriorating system, where the imperfect shocks are added to the zoned shock effects. Further, a new condition-based maintenance (CBM) strategy is built to improve the system performances. An optimal action (i.e., no action, imperfect repair, preventive replacement or corrective replacement) is determined based on the system state by minimizing the average long run cost rate. Finally, a numerical example is presented to illustrate the applicability of the proposed reliability model with CBM.</t>
  </si>
  <si>
    <t>[Wei, Guanzhou; He, Shuguang; He, Zhen] Tianjin Univ, Coll Management &amp; Econ, Qual Management &amp; Qual Engn Lab, 25 Bldg,92 Weijin Rd, Tianjin, Peoples R China; [Zhao, Xiujie] City Univ Hong Kong, Dept Syst Engn &amp; Engn Management, Yeung Kin Man Acad Bldg AC1, Qual &amp; Reliabil Engn Lab,Kowloon Tong, P7306,83 Tat Chee Ave, Hong Kong, Peoples R China</t>
  </si>
  <si>
    <t>Tianjin University; City University of Hong Kong</t>
  </si>
  <si>
    <t>He, SG (corresponding author), Tianjin Univ, Coll Management &amp; Econ, Qual Management &amp; Qual Engn Lab, 25 Bldg,92 Weijin Rd, Tianjin, Peoples R China.</t>
  </si>
  <si>
    <t>guanzhou_wei@tju.edu.cn; xiujizhao2-c@my.cityu.edu.hk; shuguanghe@tju.edu.cn; zhhe@tju.edu.cn</t>
  </si>
  <si>
    <t>Zhao, Xiujie/0000-0003-3450-5480; Wei, Guanzhou/0000-0001-7729-1625</t>
  </si>
  <si>
    <t>National Natural Science Foundation of China [71472132, 71532008, 71802145]</t>
  </si>
  <si>
    <t>This research was supported by National Natural Science Foundation of China (Grants No. 71472132, 71532008, &amp; 71802145).</t>
  </si>
  <si>
    <t>10.1016/j.cie.2019.02.034</t>
  </si>
  <si>
    <t>HW6UC</t>
  </si>
  <si>
    <t>WOS:000466825100021</t>
  </si>
  <si>
    <t>Achamrah, FE; Attajer, A</t>
  </si>
  <si>
    <t>Achamrah, Fatima Ezzahra; Attajer, Ali</t>
  </si>
  <si>
    <t>Multi-objective reinforcement learning-based framework for solving selective maintenance problems in reconfigurable cyber-physical manufacturing systems</t>
  </si>
  <si>
    <t>Selective maintenance; reconfigurable manufacturing systems; cyber-physical manufacturing systems; imperfect repairs; imperfect observations; multi-objective deep reinforcement learning</t>
  </si>
  <si>
    <t>Unlike mass production manufacturing systems, where configurations are rarely changed after the initial design, reconfigurable cyber-physical systems (RCPMS) self-change their structures throughout missions and thus self-adjust production in response to demand requirements. Accordingly, such a paradigm requires enhancing selective maintenance strategy to optimise scheduling maintenance actions, selecting configuration layouts for capacity and product family changes, and achieving maintenance cost reduction and reliability maximisation. This paper is the first to propose a robust model for a selective maintenance problem with imperfect repairs in the RCPMS context. The model also integrates uncertainties originating from the imperfect observations of components' health status. The model's objectives are to maximise the expected reliability and minimise the variance and maintenance cost under maintenance resource constraints. Moreover, we propose a new deep reinforcement learning framework for solving the resulting multi-objective and combinatorial optimisation problem. In addition, we use decision values to enhance the scalarisation process by permitting the priorities of specific objectives to be adjusted after the learning process. Furthermore, we employ Analytical Hierarchy Process to adjust the static priorities with respect to the objective functions and the actual learning context. Finally, broad experiments are conducted to highlight the performance of the proposed model and resolution framework.</t>
  </si>
  <si>
    <t>[Achamrah, Fatima Ezzahra] PSL Univ, Ctr management Sci CGS, CNRS i3 UMR9217, Mines Paris, Paris, France; [Attajer, Ali] Univ Polytech Hauts De France, LAMIH, CNRS, UMR 8201, Valenciennes, France; [Attajer, Ali] Univ Polytech Hauts De France, LAMIH, CNRS, UMR 8201, F-59313 Valenciennes, France</t>
  </si>
  <si>
    <t>Universite PSL; MINES ParisTech; Centre National de la Recherche Scientifique (CNRS); Universite Polytechnique Hauts-de-France; Centre National de la Recherche Scientifique (CNRS); Universite Polytechnique Hauts-de-France</t>
  </si>
  <si>
    <t>Attajer, A (corresponding author), Univ Polytech Hauts De France, LAMIH, CNRS, UMR 8201, F-59313 Valenciennes, France.</t>
  </si>
  <si>
    <t>ali.attajer@uphf.fr</t>
  </si>
  <si>
    <t>ATTAJER, ALI/AAE-5970-2020; Achamrah, Fatima Ezzahra/IAO-9509-2023</t>
  </si>
  <si>
    <t>Attajer, Ali/0000-0002-1567-8653; Achamrah, Fatima Ezzahra/0000-0001-9918-4820</t>
  </si>
  <si>
    <t>10.1080/00207543.2023.2240433</t>
  </si>
  <si>
    <t>WOS:001033956900001</t>
  </si>
  <si>
    <t>Redutskiy, Y; Camitz-Leidland, CM; Vysochyna, A; Anderson, KT; Balycheva, M</t>
  </si>
  <si>
    <t>Redutskiy, Yury; Camitz-Leidland, Cecilie M.; Vysochyna, Anastasiia; Anderson, Kristanna T.; Balycheva, Marina</t>
  </si>
  <si>
    <t>Safety systems for the oil and gas industrial facilities: Design, maintenance policy choice, and crew scheduling</t>
  </si>
  <si>
    <t>Diverse redundancy; Engineering design; Maintenance planning; Markov analysis; Multi-objective optimization; Oil and gas industry; Remote and Arctic location; Requirements specification; Reliability engineering; Risk management; Safety instrumented system</t>
  </si>
  <si>
    <t>The technology of oil and gas production is associated with significant hazards. Safety Instrumented Systems (SIS) are designed to ensure proper and safe operations in this sector. This research presents a framework that produces reasonable recommendations (requirements specification) for the SIS design and maintenance with consideration of the three key perspectives relevant to any petroleum engineering project, namely those of facility operators, engineering contractors, and the authorities. The contribution of this research to the area of engineering design is simultaneously addressing the decisions on the SIS design, organization of its maintenance, and employee scheduling for the remotely-located hazardous industrial facilities. These decisions are made based on the choice of maintenance policies incorporated into a Markov model of the system functioning. Another contribution of this research to the reliability modeling area is incorporating diverse redundancy into the modeling and decision-making framework. Thus, this research explores a trade-off between the capital investments into the SIS's design complexity and the operational expenditures associated with system maintenance and expected losses due to potential hazards. The developed multi-objective decision-making framework requires a black-box optimization approach to produce results. This research is relevant to engineering departments and contractors specializing in designing technological solutions for the petroleum sector.</t>
  </si>
  <si>
    <t>[Redutskiy, Yury; Camitz-Leidland, Cecilie M.; Vysochyna, Anastasiia; Anderson, Kristanna T.] Molde Univ Coll, POB 2110, NO-6402 Molde, Norway; [Balycheva, Marina] Natl Univ Oil &amp; Gas, Gubkin Univ, 65 Leninsky Prospekt, Moscow 119991, Russia</t>
  </si>
  <si>
    <t>Molde University College; Gubkin Russian State University of Oil &amp; Gas</t>
  </si>
  <si>
    <t>Redutskiy, Y (corresponding author), Molde Univ Coll, POB 2110, NO-6402 Molde, Norway.</t>
  </si>
  <si>
    <t>Yury.Redutskiy@HiMolde.no</t>
  </si>
  <si>
    <t>Redutskiy, Yury/O-2054-2017</t>
  </si>
  <si>
    <t>10.1016/j.ress.2021.107545</t>
  </si>
  <si>
    <t>WOS:000663909400041</t>
  </si>
  <si>
    <t>Wang, YK; Gao, WZ; Li, XP; Liu, YL</t>
  </si>
  <si>
    <t>Wang, Yukun; Gao, Weizheng; Li, Xiaopeng; Liu, Yiliu</t>
  </si>
  <si>
    <t>Joint optimization of performance-based contracting, condition-based maintenance and spare parts inventory for degrading production systems</t>
  </si>
  <si>
    <t>Performance-based contracting; Condition-based maintenance; Spare parts inventory; Joint optimization; Production systems</t>
  </si>
  <si>
    <t>RELIABILITY; SUBJECT; MODELS; POLICY</t>
  </si>
  <si>
    <t>As a novel supporting approach, performance-based contracting (PBC) ties the service supplier's compensation to the performance outcome of the system owned by the customer. It enables the service supplier to implement an effective maintenance and spare parts inventory policy so as to improve system performance. In this paper, we propose a principal-agent modeling framework for deteriorating production systems operating under PBC, with the objective of maximizing the expected utilities of both stakeholders. The customer (principal) offers PBC with a fixed payment plus performance incentive form to the service supplier (agent), who in turn implements a condition-based maintenance (CBM) policy based on the system prognostic condition at periodic inspections, and sets an investment level of spare parts inventory. Considering the partial observability of the service supplier's actions, the optimal combination of performance incentive in PBC provided by the customer, and the joint CBM and spare parts inventory policy implemented by the service supplier, are determined through a two-stage and heuristic approach. Finally, a numerical example and sensitivity analysis based on a real-world scenario are presented to illustrate and verify the applicability of the proposed model.</t>
  </si>
  <si>
    <t>[Wang, Yukun; Gao, Weizheng] Tianjin Chengjian Univ, Sch Econ &amp; Management, Tianjin, Peoples R China; [Li, Xiaopeng] Nanjing Univ Finance &amp; Econ, Sch Management Sci &amp; Engn, Nanjing, Peoples R China; [Liu, Yiliu] Norwegian Univ Sci &amp; Technol, Dept Mech &amp; Ind Engn, Trondheim, Norway</t>
  </si>
  <si>
    <t>Li, XP (corresponding author), Nanjing Univ Finance &amp; Econ, Sch Management Sci &amp; Engn, Nanjing, Peoples R China.</t>
  </si>
  <si>
    <t>xiaopengli2019@nufe.edu.cn</t>
  </si>
  <si>
    <t>Wang, Yukun/AAO-1651-2020; Li, Xiaopeng/JPX-0647-2023; Liu, Yiliu/AAY-2097-2021; Li, Xiaopeng/B-5675-2018</t>
  </si>
  <si>
    <t>Liu, Yiliu/0000-0002-0612-2231; Li, Xiaopeng/0000-0002-8237-9194</t>
  </si>
  <si>
    <t>Acknowledgments This research is supported by National Natural Science Foundation of China (No. 71801171) .</t>
  </si>
  <si>
    <t>10.1016/j.ress.2023.109845</t>
  </si>
  <si>
    <t>CU5T0</t>
  </si>
  <si>
    <t>WOS:001127770600001</t>
  </si>
  <si>
    <t>Yi, KX; Xiao, H; Kou, G; Peng, R</t>
  </si>
  <si>
    <t>Yi, Kunxiang; Xiao, Hui; Kou, Gang; Peng, Rui</t>
  </si>
  <si>
    <t>Trade-off between maintenance and protection for multi-state performance sharing systems with transmission loss</t>
  </si>
  <si>
    <t>Reliability; Multi-state system; Performance sharing; Transmission loss; Maintenance; Universal generating function</t>
  </si>
  <si>
    <t>SERIES-PARALLEL SYSTEMS; CONSECUTIVELY-CONNECTED SYSTEMS; RELIABILITY-ANALYSIS; OPTIMIZATION; ALLOCATION; WIND; REDUNDANCY; POLICY; MULTICOMPONENT; ALGORITHM</t>
  </si>
  <si>
    <t>In a multi-state system with common bus performance sharing, the performance surplus from one element can be transmitted to other deficient elements as long as the total amount of transmission does not exceed the transmission capacity of the common bus. Existing literature fails to consider the transmission loss during the performance sharing process. Transmission loss widely exists in practice and is affected by many external factors. For example, the power transmission loss is affected by the distance, humility and temperature. In this research, we study a common bus performance sharing system consisting of N independent elements with consideration of performance loss during transmission. We propose three different transmission loss models that are frequently encountered in practice, and suggest their corresponding reliability evaluation algorithms. To improve the system availability, maintenance actions are taken to improve the component reliability, and protection is provided to defend the system against external impacts. We analyze the optimal trade-off between protection and maintenance by minimizing the system cost while satisfying a pre-specified system availability requirement. The proposed reliability models and algorithms are illustrated by a regional power distribution system. The numerical study has demonstrated the importance of considering transmission loss in reliability modeling and optimization.</t>
  </si>
  <si>
    <t>[Yi, Kunxiang; Xiao, Hui] Southwestern Univ Finance &amp; Econ, Sch Stat, Chengdu, Sichuan, Peoples R China; [Kou, Gang] Southwestern Univ Finance &amp; Econ, Sch Business Adm, Chengdu, Sichuan, Peoples R China; [Peng, Rui] Beijing Univ Technol, Sch Econ &amp; Management, Beijing, Peoples R China</t>
  </si>
  <si>
    <t>Southwestern University of Finance &amp; Economics - China; Southwestern University of Finance &amp; Economics - China; Beijing University of Technology</t>
  </si>
  <si>
    <t>Xiao, H (corresponding author), Southwestern Univ Finance &amp; Econ, Sch Stat, Chengdu, Sichuan, Peoples R China.</t>
  </si>
  <si>
    <t>msxh@swufe.edu.cn; kougang@swufe.edu.cn; pengrui1988@bjut.edu.cn</t>
  </si>
  <si>
    <t>Xiao, Hui/N-9777-2015; Kou, Gang/ABC-3883-2020; Peng, Rui/AAL-7506-2020</t>
  </si>
  <si>
    <t>National Natural Science Foundation of China [71601158, 71725001, 71671016]; Fundamental Research Funds for the Central Universities [JBK1902051]</t>
  </si>
  <si>
    <t>The research is supported by the National Natural Science Foundation of China under grant number 71601158, 71725001 and 71671016, and the Fundamental Research Funds for the Central Universities under grant JBK1902051.</t>
  </si>
  <si>
    <t>10.1016/j.cie.2019.07.030</t>
  </si>
  <si>
    <t>WOS:000494891000025</t>
  </si>
  <si>
    <t>Yuan, XX; Higo, E; Pandey, MD</t>
  </si>
  <si>
    <t>Yuan, Xian-Xun; Higo, Eishiro; Pandey, Mahesh D.</t>
  </si>
  <si>
    <t>Estimation of the value of an inspection and maintenance program: A Bayesian gamma process model</t>
  </si>
  <si>
    <t>Value of information; Gamma process; Bayesian updating; Inspection; Preventive maintenance; Life cycle cost; Temporal uncertainty; Parameter uncertainty</t>
  </si>
  <si>
    <t>LIFE-CYCLE MANAGEMENT; INFORMATION; COST</t>
  </si>
  <si>
    <t>This paper presents a model to quantify the economic value gained by implementation of an inspection and preventive maintenance program for managing an ageing component population. The proposed approach is a refinement of the Bayesian value of information analysis through the consideration of an intricate interaction between parameter and temporal uncertainties associated with the gamma process of degradation. This paper presents an analytical formulation and computational approach to solve this complex problem in a multivariate setting. The paper shows that the economic value is significantly sensitive to the prior information and relative costs of preventive and corrective maintenance. Since the value of inspection is dominated by a reduction in the parameter uncertainty of the gamma process model, lifecycle cost optimization which ignores this aspect would lead to a sub-optimal solution of the problem.</t>
  </si>
  <si>
    <t>[Yuan, Xian-Xun] Ryerson Univ, Dept Civil Engn, 350 Victoria St, Toronto, ON, Canada; [Higo, Eishiro; Pandey, Mahesh D.] Univ Waterloo, Dept Civil &amp; Environm Engn, 200 Univ Ave West, Waterloo, ON, Canada</t>
  </si>
  <si>
    <t>Toronto Metropolitan University; University of Waterloo</t>
  </si>
  <si>
    <t>Pandey, MD (corresponding author), Univ Waterloo, Dept Civil &amp; Environm Engn, 200 Univ Ave West, Waterloo, ON, Canada.</t>
  </si>
  <si>
    <t>mdpandey@uwaterloo.ca</t>
  </si>
  <si>
    <t>Pandey, Mahesh/AAY-7155-2021; Yuan, Arnold/E-4536-2011</t>
  </si>
  <si>
    <t>Natural Sciences and Engineering Research Council of Canada (NSERC); University Network of Excellence in Nuclear Engineering (UNENE), Canada</t>
  </si>
  <si>
    <t>Natural Sciences and Engineering Research Council of Canada (NSERC)(Natural Sciences and Engineering Research Council of Canada (NSERC)); University Network of Excellence in Nuclear Engineering (UNENE), Canada</t>
  </si>
  <si>
    <t>The financial support for this study was provided by the Natural Sciences and Engineering Research Council of Canada (NSERC) and the University Network of Excellence in Nuclear Engineering (UNENE), Canada. The authors wish to thank reviewers for their insightful comments which improved the clarity of discussions presented in this paper.</t>
  </si>
  <si>
    <t>10.1016/j.ress.2021.107912</t>
  </si>
  <si>
    <t>WOS:000702351700008</t>
  </si>
  <si>
    <t>Peimbert-García, RE; Vázquez-Serrano, JI; Limón-Robles, J</t>
  </si>
  <si>
    <t>Peimbert-Garcia, Rodrigo E.; Vazquez-Serrano, Jesus Isaac; Limon-Robles, Jorge</t>
  </si>
  <si>
    <t>The impact of early failures on maintenance costs: an empirical study in Latin America</t>
  </si>
  <si>
    <t>Early failures; Cost-of-quality; PAF model; Power systems; Electric utility</t>
  </si>
  <si>
    <t>RELIABILITY-CENTERED MAINTENANCE; INFANT-MORTALITY; SYSTEM; PREDICTION; MANAGEMENT; WEIBULL; MODEL</t>
  </si>
  <si>
    <t>Purpose Literature shows that the economics of early failures in maintenance and electric utilities have not been deeply analyzed. This study aims to focus on quantifying the economic impact that early failures in current transformers have on total maintenance costs. The empirical study is conducted in a regional transmission division of an electric utility located in Mexico. Design/methodology/approach The utility's database was accessed to collect 219 maintenance records. Clustering techniques were used to identify early failures from a bimodal distribution of failures. Confirmatory goodness-of-fit procedures followed the analysis, and finally, direct and opportunity costs were estimated by adapting the cost-of-quality (PAF) Model. Findings Around 11% of all maintenance activities are triggered by early failures, and they account for up to US$2.2m during the eight-year period under study, which represents 16% of total maintenance costs. Additionally, opportunity costs represent close to two-thirds of the total costs due to early failures. This was obtained after finding and validating a clear-cut border of 3.5 months between early failures and the rest. Originality/value Failures in energy grids and power transmission can have a large economic impact on the power industry and the society in general. Thus, the maintenance function in equipment such as current transformers is a crucial entry of the budget of any electric utility. This study is one of the very few that highlights the magnitude and importance of direct and opportunity costs derived from early failures.</t>
  </si>
  <si>
    <t>[Peimbert-Garcia, Rodrigo E.] Macquarie Univ, Sch Engn, Sydney, NSW, Australia; [Peimbert-Garcia, Rodrigo E.; Vazquez-Serrano, Jesus Isaac; Limon-Robles, Jorge] Tecnol Monterrey, Sch Engn &amp; Sci, Monterrey, Mexico</t>
  </si>
  <si>
    <t>Macquarie University; Tecnologico de Monterrey</t>
  </si>
  <si>
    <t>Vázquez-Serrano, JI (corresponding author), Tecnol Monterrey, Sch Engn &amp; Sci, Monterrey, Mexico.</t>
  </si>
  <si>
    <t>rodrigo.peimbert@mq.edu.au; a01262327@itesm.mx; jorge.limon@tec.mx</t>
  </si>
  <si>
    <t>Peimbert-García, Rodrigo/AAM-4146-2020; Vázquez Serrano, Jesús Isaac/HOF-8158-2023</t>
  </si>
  <si>
    <t>Vazquez-Serrano, Jesus Isaac/0000-0003-1296-4299; Peimbert-Garcia, Rodrigo E./0000-0001-9472-4509</t>
  </si>
  <si>
    <t>10.1108/JQME-08-2020-0086</t>
  </si>
  <si>
    <t>WOS:000619337300001</t>
  </si>
  <si>
    <t>Kamal, M; Gupta, S; Jalil, SA; Ahmed, A</t>
  </si>
  <si>
    <t>Kamal, Murshid; Gupta, Srikant; Jalil, Syed Aqib; Ahmed, Aquil</t>
  </si>
  <si>
    <t>Optimizing system reliability through selective maintenance allocation: A novel multi-objective programming approach using neutrosophic fuzzy concept</t>
  </si>
  <si>
    <t>fuzzy goal programming; multi-objective programming; neutrosophic fuzzy sets; selective maintenance problem; system reliability</t>
  </si>
  <si>
    <t>MULTISTATE SYSTEMS; OPTIMIZATION; APPORTIONMENT; FAILURES</t>
  </si>
  <si>
    <t>Selective maintenance refers to the problem of decision-making on how to maintain a multi-component complex system that can be repaired or replaced. The goal is generally to plan ahead in order to improve the likelihood of success for future maintenance tasks. In this article, we proposed a multi-objective decision-making model for maximizing the system reliability of a multi-component systems. The objective functions represent the reliability of the sub-systems arranged in series comprising of components arranged in parallel forms. The cost and total time incurred in the repair/replacement activities are considered as two sets of constraints in the proposed model. Fuzzy logic is incorporated to deal with the inherent uncertainty that exists in the parameters involved in the proposed model. To solve the uncertain multi-objective selective maintenance model, we have proposed four-valued neutrosophic technique. The proposed solution methodology combines the concept of four-valued neutrosophic fuzzy set with fuzzy goal programming technique. Four linear membership functions for the degrees of truth, uncertainty, contradiction, and false are used to obtain the compromise solution through the proposed technique. To determine the feasibility and applicability of the proposed model and solution methodology, a case problem of multi-component system of an aircraft gas turbine engine is studied.</t>
  </si>
  <si>
    <t>[Kamal, Murshid; Ahmed, Aquil] Aligarh Muslim Univ, Dept Stat &amp; Operat Res, Aligarh, India; [Gupta, Srikant] Jaipuria Inst Management, Dept Operat &amp; Decis Sci, Jaipur, India; [Jalil, Syed Aqib] Sohar Univ, Fac Business, Sohar, Oman; [Jalil, Syed Aqib] Sohar Univ, Fac Business, Sohar 311, Oman</t>
  </si>
  <si>
    <t>Aligarh Muslim University; Sohar University; Sohar University</t>
  </si>
  <si>
    <t>Jalil, SA (corresponding author), Sohar Univ, Fac Business, Sohar 311, Oman.</t>
  </si>
  <si>
    <t>murshidamu@gmail.com; operation.srikant@hotmail.com; aqibjalil@gmail.com; aquilstat@gmail.com</t>
  </si>
  <si>
    <t>Kamal, Murshid/IXD-1463-2023; Jalil, Syed/AAT-4401-2020; Gupta, Srikant/AAR-7266-2021; Gupta, Srikant/Y-3276-2018</t>
  </si>
  <si>
    <t>Kamal, Dr. Murshid/0000-0003-4456-0010; Gupta, Srikant/0000-0002-4158-2866; AHMED, AQUIL/0000-0001-6135-2331</t>
  </si>
  <si>
    <t>10.1002/qre.3385</t>
  </si>
  <si>
    <t>U0SN1</t>
  </si>
  <si>
    <t>WOS:000992811200001</t>
  </si>
  <si>
    <t>Dong, YF; Xia, TB; Fang, XL; Zhang, ZG; Xi, LF</t>
  </si>
  <si>
    <t>Dong, Yifan; Xia, Tangbin; Fang, Xiaolei; Zhang, Zhenguo; Xi, Lifeng</t>
  </si>
  <si>
    <t>Prognostic and health management for adaptive manufacturing systems with online sensors and flexible structures</t>
  </si>
  <si>
    <t>Prognostic and health management; Online sensor; Flexible structure; Time-to-failure; Flexible opportunistic window</t>
  </si>
  <si>
    <t>CONDITION-BASED MAINTENANCE; OPPORTUNISTIC MAINTENANCE; DEGRADATION SIGNALS; PREDICTION; MODEL; RECONFIGURATION; FAILURES; SUBJECT; POLICY; HARD</t>
  </si>
  <si>
    <t>Real-time monitoring and accurate predictions of machine failures are important in maintenance decision making. Traditional policies using population-specific reliability characteristics cannot represent degradation processes of individual machines, thus result in less accurate predictions of time-to-failure (TTF). Besides, most of the existing maintenance policies focus on a manufacturing system with its fixed system structure, which means the system is designed with limited flexibility. Nowadays, the flexible structure of an adaptive manufacturing system can be adjustable to meet various product types and changeable market demands. In this paper, we try to fill these gaps and develop a prognostic and health management (PHM) framework for manufacturing systems with online sensors and flexible structures. We integrate a Bayesian updating prognostic model using sensor-based degradation information for computing each machine's TTFs, with an opportunistic maintenance policy handling flexible system structures for optimizing the maintenance scheduling. This enables the dynamic prognosis updating, the notable cost reduction, and the rapid decision making for adaptive manufacturing systems.</t>
  </si>
  <si>
    <t>[Dong, Yifan; Xia, Tangbin; Zhang, Zhenguo; Xi, Lifeng] Shanghai Jiao Tong Univ, Sch Mech Engn, Dept Ind Engn, State Key Lab Mech Syst &amp; Vibrat, Shanghai 200240, Peoples R China; [Fang, Xiaolei] North Carolina State Univ, Edward P Fitts Dept Ind &amp; Syst Engn, 111 Lampe Dr, Raleigh, NC 27607 USA</t>
  </si>
  <si>
    <t>Shanghai Jiao Tong University; North Carolina State University</t>
  </si>
  <si>
    <t>Xia, TB (corresponding author), Shanghai Jiao Tong Univ, Sch Mech Engn, Dept Ind Engn, State Key Lab Mech Syst &amp; Vibrat, Shanghai 200240, Peoples R China.</t>
  </si>
  <si>
    <t>Fang, Xiaolei/AAT-4182-2020; dong, yi/KWT-8297-2024</t>
  </si>
  <si>
    <t>Xia, Tangbin/0000-0001-9121-1716; Fang, Xiaolei/0000-0002-0215-0403</t>
  </si>
  <si>
    <t>National Natural Science Foundation of China [51875359, 51535007]; State Key Lab of Mechanical System and Vibration program [MSVZD201909]; Intelligent Manufacturing Industrial Projects of Lingang Area [ZN2017020101, ZN2017020102]</t>
  </si>
  <si>
    <t>National Natural Science Foundation of China(National Natural Science Foundation of China (NSFC)); State Key Lab of Mechanical System and Vibration program; Intelligent Manufacturing Industrial Projects of Lingang Area</t>
  </si>
  <si>
    <t>The research is funded by National Natural Science Foundation of China (51875359, 51535007), State Key Lab of Mechanical System and Vibration program (MSVZD201909) and Intelligent Manufacturing Industrial Projects of Lingang Area (ZN2017020101, ZN2017020102).</t>
  </si>
  <si>
    <t>10.1016/j.cie.2019.04.051</t>
  </si>
  <si>
    <t>IE9JS</t>
  </si>
  <si>
    <t>WOS:000472691300006</t>
  </si>
  <si>
    <t>Paraschos, PD; Koulinas, GK; Koulouriotis, DE</t>
  </si>
  <si>
    <t>Paraschos, Panagiotis D.; Koulinas, Georgios K.; Koulouriotis, Dimitrios E.</t>
  </si>
  <si>
    <t>Reinforcement learning for combined production-maintenance and quality control of a manufacturing system with deterioration failures</t>
  </si>
  <si>
    <t>Deteriorating systems; Machine learning; Reinforcement learning; Control policies; Inventory control; Quality control</t>
  </si>
  <si>
    <t>PREVENTIVE MAINTENANCE; INTEGRATED PRODUCTION; JOINT PRODUCTION; DECISION-MAKING; POLICY; OPTIMIZATION; SUBJECT; MANAGEMENT; DEMAND; MODEL</t>
  </si>
  <si>
    <t>This paper describes and examines thoroughly a stochastic production/inventory system that produces a single type of products. During the production process, the system is affected by several deterioration failures. It is restored to its initial and previous deterioration state by repair and maintenance activities. Both maintenance and repair duration are assumed as exponential random variables. Moreover, the quality of the manufactured products is assumed to be affected by the current deterioration level of the system. The aim of this paper is to find the optimal trade-off between conflicting performance metrics for the optimization of the total expected profit of the system. To tackle such optimization problems, researchers frequently employ Dynamic Programming. This method, though, is not appropriate for the addressed problem due to complexity reasons. To this end, a Reinforcement Learning-based approach is proposed in order to obtain the optimal joint production, maintenance and product quality control policies. To the authors' knowledge, the proposed approach is novel and there are few examples of such implementation in the academic literature.</t>
  </si>
  <si>
    <t>[Paraschos, Panagiotis D.; Koulinas, Georgios K.; Koulouriotis, Dimitrios E.] Democritus Univ Thrace, Dept Prod &amp; Management Engn, Xanthi, Greece</t>
  </si>
  <si>
    <t>Democritus University of Thrace</t>
  </si>
  <si>
    <t>Paraschos, PD (corresponding author), Democritus Univ Thrace, Dept Prod &amp; Management Engn, Xanthi, Greece.</t>
  </si>
  <si>
    <t>pparasc@pme.duth.gr; gkoulina@pme.duth.gr; jimk@pme.duth.gr</t>
  </si>
  <si>
    <t>KOULOURIOTIS, DIMITRIOS/AAI-9437-2021; Koulinas, Georgios/AFP-5988-2022; Paraschos, Panagiotis/AAL-7843-2021</t>
  </si>
  <si>
    <t>Paraschos, Panagiotis/0000-0002-0979-9643; KOULOURIOTIS, DIMITRIOS/0000-0003-0194-0654; Koulinas, Georgios/0000-0002-0323-6954</t>
  </si>
  <si>
    <t>European Union (European Social Fund - ESF) through the Operational Programme Human Resources Development, Education and Lifelong Learning 2014-2020 [MIS 5050140]</t>
  </si>
  <si>
    <t>European Union (European Social Fund - ESF) through the Operational Programme Human Resources Development, Education and Lifelong Learning 2014-2020</t>
  </si>
  <si>
    <t>This research is co-financed by Greece and the European Union (European Social Fund - ESF) through the Operational Programme Human Resources Development, Education and Lifelong Learning 2014-2020 in the context of the project Combined production, maintenance and quality control with machine learning methods [MIS 5050140].</t>
  </si>
  <si>
    <t>10.1016/j.jmsy.2020.07.004</t>
  </si>
  <si>
    <t>NQ9YJ</t>
  </si>
  <si>
    <t>WOS:000571221600002</t>
  </si>
  <si>
    <t>Buchynskyi, A; Romanyshyn, T; Buchynskyi, M; Romanyshyn, L; Bembenek, M</t>
  </si>
  <si>
    <t>Buchynskyi, Andrii; Romanyshyn, Taras; Buchynskyi, Myroslav; Romanyshyn, Lyubomyr; Bembenek, Michal</t>
  </si>
  <si>
    <t>Ensuring efficiency of technical operation of equipment for workover operation</t>
  </si>
  <si>
    <t>PRODUCTION ENGINEERING ARCHIVES</t>
  </si>
  <si>
    <t>maintenance; management of machine operation; technical operation; workover rig; workover operation</t>
  </si>
  <si>
    <t>MAINTENANCE</t>
  </si>
  <si>
    <t>The priority of resources in the management system of influence on the system of technical operation of machines was evaluated. The proposed systemological model of information support for making managerial decisions regarding the technical operation of machines. The given analogy between the factors of technical influence and the resources required for this is substantiated. These are: action - human resource; means - material resource; environment - information resource. The priority of the information resource in ensuring the efficiency of the technical operation of the machines is determined by expert evaluation methods. The proposed systemological model consists of the structuring and systematization of information resources of dispatch reports and the procedure for performing further analytical procedures performed by information and analytical maintenance of enterprises with the help of software to obtain relevant information. Such continuous monitoring of equipment operation processes provides engineers with the necessary data for: the analysis and selection of an effective model of technical operation of the equipment; to develop alternative management decisions and make the optimal one; development of individual models and maintenance strategies with their adjustment and adaptation to real operating conditions. Also, this model provides professionals with a tool for comprehensive evaluation of the efficiency of the enterprise's production organization, the dynamics of its development, and the consequences of management decisions in different periods. It makes it possible to make informed decisions regarding the improvement of the management system and the subsequent formation of an effective strategy for the technical operation of machines.</t>
  </si>
  <si>
    <t>[Buchynskyi, Andrii] Yuriy Kondratyuk Poltava Polytech Natl Univ, Poltava, Ukraine; [Romanyshyn, Taras; Romanyshyn, Lyubomyr] Ivano Frankivsk Natl Tech Univ Oil &amp; Gas, Ivano Frankivsk, Ukraine; [Buchynskyi, Myroslav] LLC Ekspertnaftogaz, Poltava, Ukraine; [Bembenek, Michal] AGH Univ Sci &amp; Technol, Krakow, Poland</t>
  </si>
  <si>
    <t>Ministry of Education &amp; Science of Ukraine; Ivano-Frankivsk National Technical University of Oil &amp; Gas; AGH University of Krakow</t>
  </si>
  <si>
    <t>Bembenek, M (corresponding author), AGH Univ Sci &amp; Technol, Krakow, Poland.</t>
  </si>
  <si>
    <t>abuchynskyi@ukr.net; tarasromanushun@gmail.com; mbuchynskti@ukr.ne; romanyshynl@gmail.com; bembenek@agh.edu.pl</t>
  </si>
  <si>
    <t>Bembenek, Michal/AAD-6518-2019</t>
  </si>
  <si>
    <t>Bembenek, Michal/0000-0002-7665-8058; Buchynskyi, Andrii/0000-0001-7154-6404; Romanyshyn, Taras/0000-0002-0856-1537</t>
  </si>
  <si>
    <t>WALTER DE GRUYTER GMBH</t>
  </si>
  <si>
    <t>BERLIN</t>
  </si>
  <si>
    <t>GENTHINER STRASSE 13, D-10785 BERLIN, GERMANY</t>
  </si>
  <si>
    <t>2353-5156</t>
  </si>
  <si>
    <t>2353-7779</t>
  </si>
  <si>
    <t>PROD ENG ARCH</t>
  </si>
  <si>
    <t>Prod. Eng. Arch.</t>
  </si>
  <si>
    <t>SEP 1</t>
  </si>
  <si>
    <t>10.30657/pea.2023.29.39</t>
  </si>
  <si>
    <t>Engineering, Industrial; Materials Science, Multidisciplinary</t>
  </si>
  <si>
    <t>Engineering; Materials Science</t>
  </si>
  <si>
    <t>R2OE4</t>
  </si>
  <si>
    <t>WOS:001062785100013</t>
  </si>
  <si>
    <t>Xu, XW; Xie, XL; Pan, W; Wang, YK</t>
  </si>
  <si>
    <t>Xu Xiaowei; Xie Xinlian; Pan Wei; Wang Yukuan</t>
  </si>
  <si>
    <t>A hybrid method for the capability evaluation of a far-sea naval ship repair and maintenance system based on binary semantic information and the evidential reasoning approach</t>
  </si>
  <si>
    <t>Hybrid evaluation method; Group expert weighting method; Repair and maintenance; System capability</t>
  </si>
  <si>
    <t>DECISION-MAKING</t>
  </si>
  <si>
    <t>Far-sea ship repair and maintenance capability evaluation is a typical complex system capability evaluation problem, and the corresponding evaluation indices include additional quantitative and qualitative indices. With the development of modern naval ships, higher requirements have been put forward for far-sea ship repair and maintenance. To accurately evaluate the capabilities of a naval ship's repair and maintenance system far at sea, a hybrid evaluation method based on binary semantic information and the evidential reasoning approach is proposed. First, we construct an evaluation indicator system to assess the capability of naval ship repair and maintenance systems. Second, based on binary semantic information and the analytic hierarchy process, a group expert weighting method is proposed to determine the weight distribution of the indicators. Finally, to address the multiattribute problem of the indicator system, a comprehensive evaluation method is proposed based on the evidential reasoning approach. The results of the calculation examples show that the proposed group expert weighting method and the hybrid evaluation method are feasible for capability evaluation of a naval ship's repair and maintenance system far at sea. By evaluating the calculation results, we can determine advantages and disadvantages in far-sea ship repair and maintenance, and through the sensitivity analysis of the evaluation indices, we can explore the contributions of different indices to the far-sea ship repair and maintenance capability, which can provide a theoretical reference for evaluating far-sea ship repair and maintenance. The results indicate that the method proposed in this paper can also be used as a general method in other similar studies.</t>
  </si>
  <si>
    <t>[Xu Xiaowei] Anhui Univ Finance &amp; Econ, Sch Management Sci &amp; Engn, Bengbu 233000, Peoples R China; [Xu Xiaowei; Xie Xinlian] Dalian Maritime Univ, Integrated Transport Inst, Dalian 116026, Liaoning, Peoples R China; [Pan Wei] Liaoning Univ Int Business &amp; Econ, Inst Big Data Res, Dalian 116052, Liaoning, Peoples R China; [Wang Yukuan] Wuhan Univ Technol, Sch Nav, Wuhan 430063, Hubei, Peoples R China</t>
  </si>
  <si>
    <t>Anhui University of Finance &amp; Economics; Dalian Maritime University; Liaoning University of International Business &amp; Economics; Wuhan University of Technology</t>
  </si>
  <si>
    <t>Xu, XW (corresponding author), Anhui Univ Finance &amp; Econ, Sch Management Sci &amp; Engn, Bengbu 233000, Peoples R China.</t>
  </si>
  <si>
    <t>xu_xiaowei@aufe.edu.cn</t>
  </si>
  <si>
    <t>Xu, Xiaowei/A-7884-2012; Wang, Yukuan/GYD-4045-2022</t>
  </si>
  <si>
    <t>Anhui Provincial University Research Program [2022AH050598]; Anhui University of Finance and Economics Research Project [ACKY23053]</t>
  </si>
  <si>
    <t>Anhui Provincial University Research Program; Anhui University of Finance and Economics Research Project</t>
  </si>
  <si>
    <t>This paper is supported by the Anhui Provincial University Research Program [grant numbers 2022AH050598] and Anhui University of Finance and Economics Research Project [grant numbers ACKY23053] . We thank the anonymous reviewers for their constructive remarks during the finalization of this paper.</t>
  </si>
  <si>
    <t>AUG 15</t>
  </si>
  <si>
    <t>10.1016/j.eswa.2024.123373</t>
  </si>
  <si>
    <t>KG2R7</t>
  </si>
  <si>
    <t>WOS:001178744800001</t>
  </si>
  <si>
    <t>Tejasree, S; Mohan, BC</t>
  </si>
  <si>
    <t>Tejasree, S.; Chandra Mohan, B.</t>
  </si>
  <si>
    <t>An improved differential bond energy algorithm with fuzzy merging method to improve the document clustering for information mining</t>
  </si>
  <si>
    <t>EXPERT SYSTEMS</t>
  </si>
  <si>
    <t>fuzzy merging technique; differential bond energy algorithm; document clustering; hyperclique pattern based data cleaner; pre-processing; text information mining</t>
  </si>
  <si>
    <t>REDUCTION</t>
  </si>
  <si>
    <t>The vast and diversified text materials on the internet in recent years have drastically increased the importance of information mining. By organizing documents into cohesive groupings, a document clustering method is a suitable tool for dealing with massive amounts of documents. Text documents, on the other hand, include sparse and uninformative features like noise, unrelated, and unneeded features, which reduce the efficiency of the document clustering methods. For noise removal, this work employs the hyperclique pattern-based data cleaner pre-processing approach. Then, differential bond energy algorithm (DBEA) is combined with a fuzzy merging approach and termed improved differential bond energy algorithm with fuzzy merging (IDBEFM) to handle the issues present in text document clustering. It seeks to discover and display natural variable clusters among large amounts of data. IDBEFM clusters are documented in three steps: in the first step, a cluster similarity matrix is instantiated by applying the DBEA. The second step develops an innovative technique for automatically dividing the cluster matrix into compact cohesive clusters, and in the third step, a fuzzy merging approach is used for combining identical clusters by the correlations and interrelationships between the resultant clusters. The test findings demonstrated that the accomplishment of the proposed technique is much superior to standard clustering algorithms.</t>
  </si>
  <si>
    <t>[Tejasree, S.; Chandra Mohan, B.] VIT Univ, Sch Comp Sci &amp; Engn SCOPE, Vellore, Tamilnadu, India</t>
  </si>
  <si>
    <t>Vellore Institute of Technology (VIT); VIT Vellore</t>
  </si>
  <si>
    <t>Mohan, BC (corresponding author), VIT Univ, Sch Comp Sci &amp; Engn SCOPE, Vellore, Tamilnadu, India.</t>
  </si>
  <si>
    <t>samakoti.tejasree2016@vitstudent.ac.in; chandramohan.b@vit.ac.in</t>
  </si>
  <si>
    <t>Mohan, Bijuna/Y-9550-2019</t>
  </si>
  <si>
    <t>0266-4720</t>
  </si>
  <si>
    <t>1468-0394</t>
  </si>
  <si>
    <t>EXPERT SYST</t>
  </si>
  <si>
    <t>Expert Syst.</t>
  </si>
  <si>
    <t>e13261</t>
  </si>
  <si>
    <t>10.1111/exsy.13261</t>
  </si>
  <si>
    <t>Computer Science, Artificial Intelligence; Computer Science, Theory &amp; Methods</t>
  </si>
  <si>
    <t>RE2G7</t>
  </si>
  <si>
    <t>WOS:000973620400001</t>
  </si>
  <si>
    <t>Güner, GG; Sakar, CT; Yet, B</t>
  </si>
  <si>
    <t>Guner, Gurkan Guven; Sakar, Ceren Tuncer; Yet, Barbaros</t>
  </si>
  <si>
    <t>A Multicriteria Method to Form Optional Preventive Maintenance Plans: A Case Study of a Large Fleet of Vehicles</t>
  </si>
  <si>
    <t>Maintenance engineering; Reliability; Planning; Reliability engineering; Companies; Analytic hierarchy process; Systematics; After-sales service; analytic hierarchy process (AHP); multicriteria decision making (MCDM); preventive maintenance (PM); reliability analysis; technique for order preference by similarity to ideal solution (TOPSIS)</t>
  </si>
  <si>
    <t>DECISION-MAKING; MODEL; AVAILABILITY; OPTIMIZATION; REDUNDANCY; SELECTION; REPAIR; POLICY</t>
  </si>
  <si>
    <t>Motor vehicles are composed of a large number of parts, and planning the maintenance activities of different parts is a crucial decision that affects system reliability, operation costs, and capacity requirements of service providers. We propose a systematic method to determine the critical parts that should be handled with extra preventive maintenance (PM) and prepare alternative PM plans with different levels of cost and capacity usage. Our method uses a multicriteria decision-making approach to determine the critical parts and conducts statistical reliability analysis with failure data and expert knowledge to create the maintenance plans. We use the proposed method in a case study to determine optional PM packages that would support regular PM practices in the after-sales service of a large motor vehicle manufacturer. The main aim of the case study is to increase the satisfaction of customers who are more sensitive to failures, such as carriers of food and medical supplies. The results show that the optional PM packages can decrease the cost of failures while obeying the capacity limitation of the company.</t>
  </si>
  <si>
    <t>[Guner, Gurkan Guven; Sakar, Ceren Tuncer; Yet, Barbaros] Hacettepe Univ, Dept Ind Engn, TR-06800 Ankara, Turkey; [Guner, Gurkan Guven] Univ Turkish Aeronaut Assoc, Dept Ind Engn, TR-06790 Ankara, Turkey; [Yet, Barbaros] Middle East Tech Univ, Grad Sch Informat, TR-06800 Ankara, Turkey</t>
  </si>
  <si>
    <t>Hacettepe University; Turk Hava Kurumu University; Turkish Aeronautical Association; Middle East Technical University</t>
  </si>
  <si>
    <t>Sakar, CT (corresponding author), Hacettepe Univ, Dept Ind Engn, TR-06800 Ankara, Turkey.</t>
  </si>
  <si>
    <t>gguner@thk.edu.tr; cerents@hacettepe.edu.tr; byet@metu.edu.tr</t>
  </si>
  <si>
    <t>Güner, Gürkan Güven/AEH-7890-2022; Tuncer Sakar, Ceren/M-7150-2018; Yet, Barbaros/L-8355-2018</t>
  </si>
  <si>
    <t>Guner, Gurkan Guven/0000-0001-9513-3401; Tuncer Sakar, Ceren/0000-0002-6269-4234; Yet, Barbaros/0000-0003-4058-2677</t>
  </si>
  <si>
    <t>10.1109/TEM.2021.3072835</t>
  </si>
  <si>
    <t>D1KX1</t>
  </si>
  <si>
    <t>WOS:000732674200001</t>
  </si>
  <si>
    <t>Zheng, MM; Su, ZY; Wang, D; Pan, ES</t>
  </si>
  <si>
    <t>Zheng, Meimei; Su, Zhiyun; Wang, Dong; Pan, Ershun</t>
  </si>
  <si>
    <t>Joint maintenance and spare part ordering from multiple suppliers for multicomponent systems using a deep reinforcement learning algorithm</t>
  </si>
  <si>
    <t>Joint optimization; Maintenance; Multiple suppliers; Reinforcement learning; Value iteration</t>
  </si>
  <si>
    <t>INVENTORY CONTROL; OPTIMIZATION; POLICY; MODEL</t>
  </si>
  <si>
    <t>This paper investigates the joint optimization of maintenance and spare part ordering from multiple suppliers for systems consisting of multiple components. When components degrade to poor conditions, they are replaced with spare parts if available. Spare parts can be purchased from multiple suppliers, each with distinct lead times, unit prices, and setup costs. To determine the optimal replacement and ordering decisions, this paper establishes a model through a Markov decision process and designs a value iteration algorithm to solve the model. However, the value iteration algorithm takes too much time to solve problems involving large numbers of components and suppliers. Thus, we design a hybrid deep reinforcement learning algorithm (HDRL) based on the reinforcement learning algorithm to solve large-scale problems. Numerical experiments are conducted to validate the effectiveness of the HDRL algorithm and analyze the joint decisions. The results show that, compared with the value iteration algorithm, the average cost gap is 3.86%, and the solving time can be reduced by at least 95.99% for systems with more than 2 suppliers and more than 3 components under the HDRL algorithm.</t>
  </si>
  <si>
    <t>[Zheng, Meimei; Su, Zhiyun; Wang, Dong; Pan, Ershun] Shanghai Jiao Tong Univ, Sch Mech Engn, Dept Ind Engn &amp; Management, Shanghai 200240, Peoples R China</t>
  </si>
  <si>
    <t>Zheng, MM (corresponding author), Shanghai Jiao Tong Univ, Sch Mech Engn, Dept Ind Engn &amp; Management, Shanghai 200240, Peoples R China.</t>
  </si>
  <si>
    <t>meimeizheng2009@gmail.com</t>
  </si>
  <si>
    <t>National Natural Science Foundation of China [72271162]</t>
  </si>
  <si>
    <t>The authors would like to acknowledge the funding sponsored by the National Natural Science Foundation of China under Grant #72271162.</t>
  </si>
  <si>
    <t>10.1016/j.ress.2023.109628</t>
  </si>
  <si>
    <t>T9TZ6</t>
  </si>
  <si>
    <t>WOS:001081350000001</t>
  </si>
  <si>
    <t>Hao, YQ; Zhu, XY</t>
  </si>
  <si>
    <t>Hao, Yaqian; Zhu, Xiaoyan</t>
  </si>
  <si>
    <t>Redundancy Design and Preventive Maintenance for a Load-Sharing Multiasset System Considering Uncertain Environmental Conditions</t>
  </si>
  <si>
    <t>Reliability; Load modeling; Redundancy; Costs; Planning; Programming; Optimization; Load-sharing; multiasset k -out-of- n : G system; preventive maintenance; redundancy design; risk-averse stochastic programming; uncertain environmental conditions</t>
  </si>
  <si>
    <t>OPTIMIZATION; RELIABILITY; ALLOCATION; MODEL; RISK</t>
  </si>
  <si>
    <t>In industry, many systems exhibit load-sharing characteristics. In a load-sharing system, failure of an asset, in addition to affect system reliability, increases the workloads of remaining surviving assets and so their failure rates. When managing such the assets in a system, it is important for decision makers to ensure overall performance of the system, by determining redundancy of assets and a preventive maintenance plan with consideration of load sharing and uncertain environmental conditions. This article proposes an approach for synthetically optimizing redundancy design and age-based preventive maintenance for a load-sharing system with identical assets. A two-stage stochastic programming model with recourse is established, which incorporates risk-aversion preference of decision makers. A decomposition algorithm is developed to solve the joint optimization model, incorporating analytical properties of system failure rate functions and models. A comparative study with deterministic optimization and robust optimization is conducted to demonstrate the advantages of the proposed risk-averse stochastic programming approach. Finally, a numerical study on an effluent treatment system is conducted to analyze the optimal redundancy design and maintenance plan and practical insights.</t>
  </si>
  <si>
    <t>[Hao, Yaqian; Zhu, Xiaoyan] Univ Chinese Acad Sci, Sch Econ &amp; Management, Beijing 100190, Peoples R China; [Hao, Yaqian] Univ Chinese Acad Sci, China Mobile Res Inst, Ctr Artificial Intelligence &amp; Intelligent Operat R, Beijing 100053, Peoples R China</t>
  </si>
  <si>
    <t>Chinese Academy of Sciences; University of Chinese Academy of Sciences, CAS; China Mobile; Chinese Academy of Sciences; University of Chinese Academy of Sciences, CAS</t>
  </si>
  <si>
    <t>Zhu, XY (corresponding author), Univ Chinese Acad Sci, Sch Econ &amp; Management, Beijing 100190, Peoples R China.</t>
  </si>
  <si>
    <t>haoyaqian@chinamobile.com; xzhu5@ucas.ac.cn</t>
  </si>
  <si>
    <t>Zhu, Xiaoyan/AAL-3354-2021</t>
  </si>
  <si>
    <t>10.1109/TII.2024.3383492</t>
  </si>
  <si>
    <t>YH3Q7</t>
  </si>
  <si>
    <t>WOS:001205814700001</t>
  </si>
  <si>
    <t>Jin, K; Liu, XT; Liu, M; Qian, KF</t>
  </si>
  <si>
    <t>Jin, Kai; Liu, Xintian; Liu, Miao; Qian, Kangfeng</t>
  </si>
  <si>
    <t>Modified quality loss for the analysis of product quality characteristics considering maintenance cost</t>
  </si>
  <si>
    <t>service life; quality loss; key quality characteristic; multi-stage linear degradation</t>
  </si>
  <si>
    <t>PREVENTIVE MAINTENANCE; SYSTEM; MODEL; AGE; POLICY</t>
  </si>
  <si>
    <t>In view of the fact that the product cannot be restored to new for the actual maintenance, and the degradation rate gradually increases after the maintenance. A concept, quality characteristics of products should obey a multi-stage linear variation during service life, is proposed, which can be used to modify the quality loss model. The correlation among maintenance cost, quality loss, and the range of key quality characteristics (KQC) of product is considered, products' preventive maintenance (PM) schedules are further adjusted to obtain the optimal range of KQC. Failure data of the air bearing of the air conditioner and the piston are used as examples. This paper compares and analyzes the best preventive maintenance of in-service equipment from two dimensions of quality loss and maintenance cost. The results show that the optimal preventive maintenance range can reduce the total operating cost of enterprises. Scientific evaluation of the service life of in-service products, reasonable arrangement of product maintenance and decommissioning work, improved product utilization, and provided a new perspective for product quality research in the whole life cycle.</t>
  </si>
  <si>
    <t>[Jin, Kai; Liu, Xintian; Liu, Miao; Qian, Kangfeng] Shanghai Univ Engn Sci, Sch Mech &amp; Automot Engn, 333 Longteng Rd, Shanghai, Peoples R China</t>
  </si>
  <si>
    <t>Shanghai University of Engineering Science</t>
  </si>
  <si>
    <t>Liu, XT (corresponding author), Shanghai Univ Engn Sci, Sch Mech &amp; Automot Engn, 333 Longteng Rd, Shanghai, Peoples R China.</t>
  </si>
  <si>
    <t>xintianster@gmail.com</t>
  </si>
  <si>
    <t>Liu, Xintian/K-9506-2018</t>
  </si>
  <si>
    <t>MAY 4</t>
  </si>
  <si>
    <t>10.1080/16843703.2022.2044120</t>
  </si>
  <si>
    <t>0I1DL</t>
  </si>
  <si>
    <t>WOS:000761494900001</t>
  </si>
  <si>
    <t>Shouroki, MHK; Saber, NFM; Owlia, MS; Zare, HK</t>
  </si>
  <si>
    <t>Kargar Shouroki, Mohammad Hossein; Fallah Mohammad Saber, Nezhad; Owlia, Mohammad Saleh; Zare, Hasan Khademi</t>
  </si>
  <si>
    <t>A Method for Analyzing Maintenance Decisions Based on the Discrete Markov Chain</t>
  </si>
  <si>
    <t>PREVENTIVE MAINTENANCE; MULTISTATE SYSTEM; POLICY</t>
  </si>
  <si>
    <t>Production systems are stopped due to malfunctions such as rotting equipment, imbalance of rotating parts, and high vibration, which leads to loss of customers, reduction of market share and unemployment of personnel. In this research, using the absorbing Markov process, a mathematical model is formulated to analyze the maintenance policy of the production process, through which one of the four states of new, old, or failure due to deterioration or sudden failure can be allocated to the machine. It is assumed that the machine changes from one state to another with different probabilities, which are determined using a discrete Markov chain. The different maintenance policies can be analyzed to minimize the average production cost. The mathematical model is obtained using discrete Markov chain equations, and the optimal maintenance and repair policy can be analyzed by considering all types of costs, including maintenance, production, and failure costs, so that the average cost of the production process can be minimized.</t>
  </si>
  <si>
    <t>[Kargar Shouroki, Mohammad Hossein; Fallah Mohammad Saber, Nezhad; Owlia, Mohammad Saleh; Zare, Hasan Khademi] Yazd Univ, Dept Ind Engn, Pejoohesh St, Safaieh, Yazd, Iran</t>
  </si>
  <si>
    <t>Saber, NFM (corresponding author), Yazd Univ, Dept Ind Engn, Pejoohesh St, Safaieh, Yazd, Iran.</t>
  </si>
  <si>
    <t>fallahnezhad@yazd.ac.ir</t>
  </si>
  <si>
    <t>Owlia, Mohammad/O-4290-2019</t>
  </si>
  <si>
    <t>10.24425/mper.2024.151487</t>
  </si>
  <si>
    <t>T4I6C</t>
  </si>
  <si>
    <t>WOS:001404665500008</t>
  </si>
  <si>
    <t>Han, M; Zhou, XF; Jiao, JL; Chen, JB; Xu, K</t>
  </si>
  <si>
    <t>Han, Meng; Zhou, Xianfei; Jiao, Jianlin; Chen, Jiabo; Xu, Kai</t>
  </si>
  <si>
    <t>Design and application of secondary operation and maintenance supervision system based on AR modeling and indoor positioning</t>
  </si>
  <si>
    <t>PLOS ONE</t>
  </si>
  <si>
    <t>AUGMENTED REALITY; EQUIPMENT; MANAGEMENT</t>
  </si>
  <si>
    <t>In order to facilitate the observation in the process of secondary equipment operation and maintenance supervision and the detection and tracking of operation and maintenance personnel, a secondary operation and maintenance supervision system based on AR modeling and indoor positioning is designed. The whole system is divided into seven levels and a unified information base, in which the basic level contains all kinds of secondary equipment; AR modeling layer uses augmented reality technology to create models for each secondary equipment in the basic layer, and determines the equipment position information based on ranging positioning technology; The data acquisition layer collects all kinds of original management data based on the constructed secondary equipment model; The data analysis layer reads and analyzes the information of the data acquisition layer through the data bus; The process support layer provides task scheduling support for the integrated management application based on the data analysis results; The integrated application layer uniformly monitors the secondary equipment based on the task scheduling results; The presentation layer is responsible for the interface presentation of all operation and maintenance and security management information of the system, and the unified information base provides data support for the whole system. The experimental results show that the secondary equipment model in the designed system has high definition, can obtain more image details, can realize the 3D display and real-time interaction of the secondary equipment operation and maintenance supervision results, and accurately mark the target and track for the staff.</t>
  </si>
  <si>
    <t>[Han, Meng; Zhou, Xianfei; Jiao, Jianlin; Chen, Jiabo; Xu, Kai] State Grid Beijing Elect Power Corp, Beijing, Peoples R China</t>
  </si>
  <si>
    <t>Han, M (corresponding author), State Grid Beijing Elect Power Corp, Beijing, Peoples R China.</t>
  </si>
  <si>
    <t>queyongmeng4a2@163.com</t>
  </si>
  <si>
    <t>Xu, Kai/GZL-3098-2022</t>
  </si>
  <si>
    <t>PUBLIC LIBRARY SCIENCE</t>
  </si>
  <si>
    <t>SAN FRANCISCO</t>
  </si>
  <si>
    <t>1160 BATTERY STREET, STE 100, SAN FRANCISCO, CA 94111 USA</t>
  </si>
  <si>
    <t>1932-6203</t>
  </si>
  <si>
    <t>PLoS One</t>
  </si>
  <si>
    <t>OCT 25</t>
  </si>
  <si>
    <t>e0290419</t>
  </si>
  <si>
    <t>10.1371/journal.pone.0290419</t>
  </si>
  <si>
    <t>X5EJ5</t>
  </si>
  <si>
    <t>WOS:001098677400048</t>
  </si>
  <si>
    <t>Andriotis, CP; Papakonstantinou, KG</t>
  </si>
  <si>
    <t>Andriotis, C. P.; Papakonstantinou, K. G.</t>
  </si>
  <si>
    <t>Deep reinforcement learning driven inspection and maintenance planning under incomplete information and constraints</t>
  </si>
  <si>
    <t>Inspection and maintenance planning; System risk and reliability; Constrained stochastic optimization; Partially observable Markov decision processes; Deep reinforcement learning; Decentralized multi-agent control</t>
  </si>
  <si>
    <t>MARKOV DECISION-PROCESSES; STRUCTURAL INSPECTION; FRAMEWORK; ALGORITHMS; POLICIES; INFRASTRUCTURE; OPERATION; SYSTEMS; DESIGN; POMDP</t>
  </si>
  <si>
    <t>Determination of inspection and maintenance policies for minimizing long-term risks and costs in deteriorating engineering environments constitutes a complex optimization problem. Major computational challenges include the (i) curse of dimensionality, due to exponential scaling of state/action set cardinalities with the number of components; (ii) curse of history, related to exponentially growing decision-trees with the number of decisionsteps; (iii) presence of state uncertainties, induced by inherent environment stochasticity and variability of inspection/monitoring measurements; (iv) presence of constraints, pertaining to stochastic long-term limitations, due to resource scarcity and other infeasible/undesirable system responses. In this work, these challenges are addressed within a joint framework of constrained Partially Observable Markov Decision Processes (POMDP) and multi-agent Deep Reinforcement Learning (DRL). POMDPs optimally tackle (ii)-(iii), combining stochastic dynamic programming with Bayesian inference principles. Multi-agent DRL addresses (i), through deep function parametrizations and decentralized control assumptions. Challenge (iv) is herein handled through proper state augmentation and Lagrangian relaxation, with emphasis on life-cycle risk-based constraints and budget limitations. The underlying algorithmic steps are provided, and the proposed framework is found to outperform well-established policy baselines and facilitate adept prescription of inspection and intervention actions, in cases where decisions must be made in the most resource- and risk-aware manner.</t>
  </si>
  <si>
    <t>[Andriotis, C. P.] Delft Univ Technol, Fac Architecture &amp; Built Environm, NL-2628 BL Delft, Netherlands; [Papakonstantinou, K. G.] Penn State Univ, Dept Civil &amp; Environm Engn, University Pk, PA USA</t>
  </si>
  <si>
    <t>Delft University of Technology; Pennsylvania Commonwealth System of Higher Education (PCSHE); Pennsylvania State University; Penn State Behrend; Pennsylvania State University - University Park</t>
  </si>
  <si>
    <t>Andriotis, CP (corresponding author), Delft Univ Technol, Fac Architecture &amp; Built Environm, NL-2628 BL Delft, Netherlands.</t>
  </si>
  <si>
    <t>c.andriotis@tudelft.nl</t>
  </si>
  <si>
    <t>Andriotis, Charalampos P./GPG-1047-2022</t>
  </si>
  <si>
    <t>Andriotis, Charalampos P./0000-0002-0140-5021</t>
  </si>
  <si>
    <t>U.S. National Science Foundation [1751941]; Center for Integrated Asset Management for Multimodal Transportation Infrastructure Systems (CIAMTIS), 2018 U.S. DOT Region 3 University Center; Directorate For Engineering; Div Of Civil, Mechanical, &amp; Manufact Inn [1751941] Funding Source: National Science Foundation</t>
  </si>
  <si>
    <t>U.S. National Science Foundation(National Science Foundation (NSF)); Center for Integrated Asset Management for Multimodal Transportation Infrastructure Systems (CIAMTIS), 2018 U.S. DOT Region 3 University Center; Directorate For Engineering; Div Of Civil, Mechanical, &amp; Manufact Inn(National Science Foundation (NSF)NSF - Directorate for Engineering (ENG))</t>
  </si>
  <si>
    <t>This material is based upon work supported by the U.S. National Science Foundation under CAREER Grant No. 1751941, and the Center for Integrated Asset Management for Multimodal Transportation Infrastructure Systems (CIAMTIS), 2018 U.S. DOT Region 3 University Center.</t>
  </si>
  <si>
    <t>10.1016/j.ress.2021.107551</t>
  </si>
  <si>
    <t>Green Submitted, Green Published</t>
  </si>
  <si>
    <t>WOS:000663910000007</t>
  </si>
  <si>
    <t>Zhi-gang, H; Jing-jun, L; Bin, Z</t>
  </si>
  <si>
    <t>Zhi-gang, Hu; Jing-jun, Lou; Bin, Zeng</t>
  </si>
  <si>
    <t>Mission-oriented determination of regional weapon maintenance demand in simulation</t>
  </si>
  <si>
    <t>SCIENTIFIC REPORTS</t>
  </si>
  <si>
    <t>Determining maintenance demand ahead of mission is crucial to practical weapon maintenance, particularly to regional warship weapon maintenance. Attention is paid only to reliability, and the nature of mission or the consequence of damage is ignored while determining the regional warship weapon maintenance demand. For this reason, a method for determining regional maintenance demand based on simulation is put forward in this paper. Regional weapon maintenance system is first analyzed to build a mission-oriented maintenance demand model with the concept of mission-induced failure. Subsequently, the Anylogic platform is employed because of its advantages including agent modeling simulation and visualized process display. Four types of agent are designed for the regional maintenance system. The process of determining maintenance demand based on simulation is established on this basis. An example is eventually taken to calculate and verify the universality and effectiveness of the simulation model.</t>
  </si>
  <si>
    <t>[Zhi-gang, Hu; Bin, Zeng] Navy Univ Engn, Dept Management Engn &amp; Equipment Econ, Wuhan 430033, Peoples R China; [Jing-jun, Lou] Naval Univ Engn, Coll Naval Architecture &amp; Ocean, Wuhan 430033, Peoples R China</t>
  </si>
  <si>
    <t>Wuhan Naval University of Engineering</t>
  </si>
  <si>
    <t>Zhi-gang, H (corresponding author), Navy Univ Engn, Dept Management Engn &amp; Equipment Econ, Wuhan 430033, Peoples R China.</t>
  </si>
  <si>
    <t>532930547@qq.com</t>
  </si>
  <si>
    <t>hu, zhi-gang/JGE-5851-2023</t>
  </si>
  <si>
    <t>NATURE PORTFOLIO</t>
  </si>
  <si>
    <t>HEIDELBERGER PLATZ 3, BERLIN, 14197, GERMANY</t>
  </si>
  <si>
    <t>2045-2322</t>
  </si>
  <si>
    <t>SCI REP-UK</t>
  </si>
  <si>
    <t>Sci Rep</t>
  </si>
  <si>
    <t>10.1038/s41598-023-49769-9</t>
  </si>
  <si>
    <t>EZ5U3</t>
  </si>
  <si>
    <t>WOS:001142781100739</t>
  </si>
  <si>
    <t>Izquierdo, J; Márquez, AC; Uribetxebarria, J</t>
  </si>
  <si>
    <t>Izquierdo, J.; Crespo Marquez, A.; Uribetxebarria, J.</t>
  </si>
  <si>
    <t>Dynamic artificial neural network-based reliability considering operational for context of assets</t>
  </si>
  <si>
    <t>Dynamic reliability; Proportional hazards model; Artificial neural networks; Operational context; Maintenance management; Epistemic uncertainty</t>
  </si>
  <si>
    <t>MODELS; UNCERTAINTY; SYSTEM; PREDICTION; RISK; AVAILABILITY; OPTIMIZATION; DEGRADATION; REGRESSION; COMPONENT</t>
  </si>
  <si>
    <t>Assets reliability is a key issue to consider in the maintenance management policy and given its importance several estimation methods and models have been proposed within the reliability engineering discipline. However, these models involve certain assumptions which are the source of different uncertainties inherent to the estimations. An important source of uncertainty is the operational context in which the assets operate and how it affects the different failures. Therefore, this paper contributes to the reduction of the uncertainty coming from the operational context with the proposal of a novel method and its validation through a case study. The proposed model specifically addresses changes in the operational context by implementing dynamic capabilities in a new conception of the Proportional Hazards Model. It also allows to model interactions among working environment variables as well as hidden phenomena thanks to the integration within the model of artificial neural network methods.</t>
  </si>
  <si>
    <t>[Izquierdo, J.; Uribetxebarria, J.] Ikerlan Technol Res Ctr, Operat &amp; Maintenance Technol Area, Gipuzkoa 20500, Spain; [Izquierdo, J.; Crespo Marquez, A.] Univ Seville, Sch Engn, Dept Ind Management 1, Camino Descubrimientos S-N, Seville 41092, Spain</t>
  </si>
  <si>
    <t>Izquierdo, J (corresponding author), Ikerlan Technol Res Ctr, Operat &amp; Maintenance Technol Area, Gipuzkoa 20500, Spain.;Izquierdo, J; Márquez, AC (corresponding author), Univ Seville, Sch Engn, Dept Ind Management 1, Camino Descubrimientos S-N, Seville 41092, Spain.</t>
  </si>
  <si>
    <t>jizquierdo@ikerlan.es; adolfo@etsi.us.es; juribetxebarria@ikerlan.es</t>
  </si>
  <si>
    <t>Márquez, Adolfo/O-4907-2019; Crespo Marquez, Adolfo/L-3995-2014</t>
  </si>
  <si>
    <t>Izquierdo, Juan/0000-0002-1459-0123; Crespo Marquez, Adolfo/0000-0002-2027-7096; Uribetxebarria, Jone/0000-0001-9454-6909</t>
  </si>
  <si>
    <t>EU Framework Programme Horizon 2020; MSCA-RISE-2014: Marie Sktodowska-Curie Research and Innovation Staff Exchange (RISE) [645733 - Sustain-Owner - H2020-MSCA-RISE-2014]; EmaitekPlus 2018-2019 Program of the Basque Government</t>
  </si>
  <si>
    <t>EU Framework Programme Horizon 2020; MSCA-RISE-2014: Marie Sktodowska-Curie Research and Innovation Staff Exchange (RISE); EmaitekPlus 2018-2019 Program of the Basque Government</t>
  </si>
  <si>
    <t>This research work was performed within both the context of SustainOwner ('Sustainable Design and Management of Industrial Assets through Total Value and Cost of Ownership'), a project sponsored by the EU Framework Programme Horizon 2020, MSCA-RISE-2014: Marie Sktodowska-Curie Research and Innovation Staff Exchange (RISE) (grant agreement number 645733 - Sustain-Owner - H2020-MSCA-RISE-2014) and the EmaitekPlus 2018-2019 Program of the Basque Government.</t>
  </si>
  <si>
    <t>10.1016/j.ress.2019.03.054</t>
  </si>
  <si>
    <t>IB5WE</t>
  </si>
  <si>
    <t>WOS:000470341400043</t>
  </si>
  <si>
    <t>Wakiru, JM; Pintelon, L; Muchiri, PN; Chemweno, PK</t>
  </si>
  <si>
    <t>Wakiru, James M.; Pintelon, Liliane; Muchiri, Peter N.; Chemweno, Peter K.</t>
  </si>
  <si>
    <t>A simulation-based optimization approach evaluating maintenance and spare parts demand interaction effects</t>
  </si>
  <si>
    <t>PREVENTIVE MAINTENANCE; REPLACEMENT; QUALITY; MODELS; RELIABILITY; STRATEGIES; OPERATION; SYSTEMS; TIME</t>
  </si>
  <si>
    <t>Industrial facilities frequently experience significant production losses due to unanticipated failures, sub-optimal maintenance, operational and spare parts logistics challenges. These among other factors directly affect the plant's performance measures such as availability, repair time and costs. Consequently, optimization addresses such challenges. However, a fundamental problem presented here relates to the need for a framework that assists in the determination of critical system to be optimized, variables that significantly impact the performance of such systems, and subsequently undertake optimization. To realistically model such complexities, a framework that applies the discrete simulation model of critical repairable subsystems, undergoing deterioration is proposed. The study utilises empirical maintenance data, where Pareto analysis is employed to identify critical subsystems, while expert input is incorporated to derive model variables. A full factorial Design of Experiment (DOE), is employed to establish the variables with significant main and interaction effects on the total repair time and subsequently employed as decision variables for a simulation-based optimization. The proposed framework is demonstrated in a case study of a thermal power plant. Simulation results highlight the turbocharger as the critical subsystem, while spares availability, the time between overhaul (TBO) and reliance on different maintenance strategies exhibit most significant main and interaction effects. The optimization results obtained demonstrate that TBO, spares availability and reliance on various maintenance strategies, provide a significant impact on the reduction of the repair time. The framework enhances maintenance decision making by optimizing the plants' operational and maintenance related factors identified.</t>
  </si>
  <si>
    <t>[Wakiru, James M.; Pintelon, Liliane] Katholieke Univ Leuven, Ctr Ind Management Traff &amp; Infrastruct, Celestijnenlaan 300, B-3001 Heverlee, Belgium; [Muchiri, Peter N.] Dedan Kimathi Univ Technol, Dept Mech Engn, Nyeri, Kenya; [Chemweno, Peter K.] Univ Twente, Dept Design Prod &amp; Management, Drienerlohaan 5, NL-7522 NB Enschede, Netherlands</t>
  </si>
  <si>
    <t>Wakiru, JM (corresponding author), Katholieke Univ Leuven, Ctr Ind Management Traff &amp; Infrastruct, Celestijnenlaan 300, B-3001 Heverlee, Belgium.</t>
  </si>
  <si>
    <t>Chemweno, Peter/0000-0001-5252-3813</t>
  </si>
  <si>
    <t>10.1016/j.ijpe.2018.12.014</t>
  </si>
  <si>
    <t>WOS:000457952300024</t>
  </si>
  <si>
    <t>Sánchez-Herguedas, A; Mena-Nieto, A; Crespo-Márquez, A; Rodrigo-Muñoz, F</t>
  </si>
  <si>
    <t>Sanchez-Herguedas, Antonio; Mena-Nieto, Angel; Crespo-Marquez, Adolfo; Rodrigo-Munoz, Francisco</t>
  </si>
  <si>
    <t>Finite time preventive maintenance optimization by using a Semi-Markov process with a degraded state. A case study for diesel engines in mining</t>
  </si>
  <si>
    <t>Preventive interval; Costs and income; Maintenance model; Semi-Markov process; Finite horizon; Degraded state</t>
  </si>
  <si>
    <t>MEDIAN-RANK REGRESSION; MAXIMUM-LIKELIHOOD; SYSTEMS; HORIZON; POLICY</t>
  </si>
  <si>
    <t>During the design of maintenance plans for an asset, the frequency calculation of preventive interventions is a maintenance engineer's essential task. This document presents a tool (mathematical formula) to calculate the preventive maintenance interval. The tool considers the maintenance costs and the income generated for the company by its use. Managers can benefit from its simple application to gain efficiency. Typically, business projects are executed over a period. The tool calculates the optimal interval for any given project duration. It also allows the analysis of the size of the preventive interval when the income received changes. This change may be due to asset impairment or changes in the market price of the business product. For the development of the tool, a semi-Markovian model is designed with four states representing the operation and maintenance of the asset. The asset evolves by transiting between states and accumulating costs and income in the form of returns. From the model, a system of difference equations is developed whose variable is the expected accumulated return at any transition, and the z-transform is used to solve it. Deriving its mathematical expression, the formula for the preventive interval that maximizes the expected accumulated return is obtained. Both formulae are used in a case study. Taking advantage of the degraded state, it is shown that higher income increases the interval size while lower-income decreases it. The limits of these variations are also established. Simulation and numerical methods are used to validate analytic results.</t>
  </si>
  <si>
    <t>[Sanchez-Herguedas, Antonio; Crespo-Marquez, Adolfo] Univ Seville, Sch Engn, Dept Ind Management, Camino Descubrimientos S-N, Seville 41092, Spain; [Mena-Nieto, Angel] Univ Huelva, Ctr Adv Studies Phys, Sch Engn, Dept Elect &amp; Thermal Engn Design &amp; Projects, Campus El Carmen, Huelva 21071, Spain; [Rodrigo-Munoz, Francisco] Univ Seville, Sch Engn, Dept Appl Math 2, Camino Descubrimientos S-N, Seville 41092, Spain</t>
  </si>
  <si>
    <t>Mena-Nieto, A (corresponding author), Univ Huelva, Ctr Adv Studies Phys, Sch Engn, Dept Elect &amp; Thermal Engn Design &amp; Projects, Campus El Carmen, Huelva 21071, Spain.</t>
  </si>
  <si>
    <t>antoniosh@us.es; mena@uhu.es; adolfo@us.es; frodrigo@us.es</t>
  </si>
  <si>
    <t>Mena-Nieto (3 sexenios), Angel/F-1754-2013; Márquez, Adolfo/O-4907-2019; Crespo Marquez, Adolfo/L-3995-2014; Sanchez Herguedas, Antonio Jesus/AAA-9367-2019</t>
  </si>
  <si>
    <t>Rodrigo Munoz, Francisco/0000-0001-5350-9378; Crespo Marquez, Adolfo/0000-0002-2027-7096; Sanchez Herguedas, Antonio Jesus/0000-0001-5135-3250; Mena-Nieto (3 sexenios), Angel/0000-0002-0828-0612</t>
  </si>
  <si>
    <t>Consejeria de Transformacion Economica, Industria, Conocimiento y Universidades de la Junta de Andalucia; European Regional Development Fund (FEDER) [UHU-202031]</t>
  </si>
  <si>
    <t>Consejeria de Transformacion Economica, Industria, Conocimiento y Universidades de la Junta de Andalucia; European Regional Development Fund (FEDER)(European Union (EU))</t>
  </si>
  <si>
    <t>This research was funded by the Consejeria de Transformacion Economica, Industria, Conocimiento y Universidades de la Junta de Andalucia and the European Regional Development Fund (FEDER) , within the framework of the FEDER of Andalusia 2014-2020. Project Reference UHU-202031.</t>
  </si>
  <si>
    <t>10.1016/j.cie.2024.110083</t>
  </si>
  <si>
    <t>PW9V0</t>
  </si>
  <si>
    <t>WOS:001217245100001</t>
  </si>
  <si>
    <t>Ribeiro, CE; Zárate, LE</t>
  </si>
  <si>
    <t>Ribeiro, Caio Eduardo; Zarate, Luis Enrique</t>
  </si>
  <si>
    <t>Classifying longevity profiles through longitudinal data mining</t>
  </si>
  <si>
    <t>Machine learning; Longitudinal data; Cluster analysis; Ageing studies</t>
  </si>
  <si>
    <t>DEPRESSIVE SYMPTOMS; HEALTH</t>
  </si>
  <si>
    <t>Populational studies of human ageing often generate longitudinal datasets with high dimensionality. In order to discover knowledge in such datasets, the traditional knowledge discovery in database task needs to be adapted. In this article, we present a full knowledge discovery process that was performed on a longitudinal dataset, mentioning the singularities of this process. We investigated the English Longitudinal Study of Ageing's (ELSA's) database, employing both semi-supervised and supervised learning techniques to determine and describe the profiles of individuals annotated with the class labels short-lived and long-lived who participated in the study. We report on the data preprocessing, the clustering task of finding the best sets of representatives of the profiles of each class, and the use of supervised learning to describe these profiles and perform a longitudinal classification on the dataset to investigate how consistently the unlabelled records would fit into the classes. The results show that several aspects are used to discriminate the individuals between the longevity profiles. Those aspects include economic, social and health-related attributes. The findings have pointed towards a need to further investigate the relationships between the different aspects, especially those related to physical health and wellbeing, and how they affect the lifespan of an individual. Furthermore, our methodology and the adopted procedures can be applied to any other data mining applications for longitudinal studies of ageing. (C) 2018 Elsevier Ltd. All rights reserved.</t>
  </si>
  <si>
    <t>[Ribeiro, Caio Eduardo; Zarate, Luis Enrique] Univ Minas Gerais, LICAP Pontifical Catholic, Dept Comp Sci, Appl Computat Intelligence Lab, 255 Walter Lanni St, BR-31980110 Belo Horizonte, MG, Brazil</t>
  </si>
  <si>
    <t>Zárate, LE (corresponding author), Univ Minas Gerais, LICAP Pontifical Catholic, Dept Comp Sci, Appl Computat Intelligence Lab, 255 Walter Lanni St, BR-31980110 Belo Horizonte, MG, Brazil.</t>
  </si>
  <si>
    <t>zarate@pucminas.br</t>
  </si>
  <si>
    <t>Zárate, Luis/C-5541-2013</t>
  </si>
  <si>
    <t>Zarate, Luis/0000-0001-7063-1658</t>
  </si>
  <si>
    <t>National Institute of Aging in the United States; consortium of UK government departments; National Council for Scientific and Technological Development of Brazil [001]; International Cooperation Program CAPES/COFECUB at the PUC- Minas University; CAPES Brazilian Federal Agency for Support and Evaluation of Graduate Education within the Ministry of Education of Brazil</t>
  </si>
  <si>
    <t>National Institute of Aging in the United States(United States Department of Health &amp; Human ServicesNational Institutes of Health (NIH) - USANIH National Institute on Aging (NIA)); consortium of UK government departments; National Council for Scientific and Technological Development of Brazil(Conselho Nacional de Desenvolvimento Cientifico e Tecnologico (CNPQ)); International Cooperation Program CAPES/COFECUB at the PUC- Minas University; CAPES Brazilian Federal Agency for Support and Evaluation of Graduate Education within the Ministry of Education of Brazil(Coordenacao de Aperfeicoamento de Pessoal de Nivel Superior (CAPES))</t>
  </si>
  <si>
    <t>The data were made available through the UK Data Archive. ELSA was developed by a team of researchers based at the Nat-Cen Social Research, University College London and the Institute for Fiscal Studies. The data were collected by NatCen Social Research. The funding is provided by the National Institute of Aging in the United States, and a consortium of UK government departments co-ordinated by the Office for National Statistics. The developers and funders of ELSA and the Archive do not bear any responsibility for the analyses or interpretations presented here. This work was funded by the National Council for Scientific and Technological Development of Brazil (Finance code 001) (CNPq - Conselho Nacional de Desenvolvimento Cientfico e Tecnolgico) and the International Cooperation Program CAPES/COFECUB at the PUC- Minas University. Financed by CAPES Brazilian Federal Agency for Support and Evaluation of Graduate Education within the Ministry of Education of Brazil.</t>
  </si>
  <si>
    <t>10.1016/j.eswa.2018.09.035</t>
  </si>
  <si>
    <t>HA0IP</t>
  </si>
  <si>
    <t>WOS:000449892000006</t>
  </si>
  <si>
    <t>Lin, CC; Pozzi, M</t>
  </si>
  <si>
    <t>Lin, Chaochao; Pozzi, Matteo</t>
  </si>
  <si>
    <t>Optimal adaptive inspection and maintenance for redundant systems</t>
  </si>
  <si>
    <t>Optimal inspection scheduling; optimal redundancy; POMDP; redundant systems; value of information</t>
  </si>
  <si>
    <t>INFORMATION</t>
  </si>
  <si>
    <t>Optimal exploration of engineering systems can be guided by the principle of Value of Information (VoI), which accounts for the topological important of components, their reliability and the management costs. For series systems, in most cases higher inspection priority should be given to unreliable components. For redundant systems such as parallel systems, analysis of one-shot decision problems shows that higher inspection priority should be given to more reliable components. This paper investigates the optimal exploration of redundant systems in long-term decision making with sequential inspection and repairing. When the expected, cumulated, discounted cost is considered, it may become more efficient to give higher inspection priority to less reliable components, in order to preserve system redundancy. To investigate this problem, we develop a Partially Observable Markov Decision Process (POMDP) framework for sequential inspection and maintenance of redundant systems, where the VoI analysis is embedded in the optimal selection of exploratory actions. We investigate the use of alternative approximate POMDP solvers for parallel and more general systems, compare their computation complexities and performance, and show how the inspection priorities depend on the economic discount factor, the degradation rate, the inspection precision, and the repair cost.</t>
  </si>
  <si>
    <t>[Lin, Chaochao; Pozzi, Matteo] Carnegie Mellon Univ, Pittsburgh, PA 15213 USA</t>
  </si>
  <si>
    <t>Carnegie Mellon University</t>
  </si>
  <si>
    <t>Pozzi, M (corresponding author), Carnegie Mellon Univ, Dept Civil &amp; Environm Engn, 5000 Forbes Ave,107b Porter Hall, Pittsburgh, PA 15217 USA.</t>
  </si>
  <si>
    <t>mpozzi@cmu.edu</t>
  </si>
  <si>
    <t>Pozzi, Matteo/O-8657-2016</t>
  </si>
  <si>
    <t>Pozzi, Matteo/0000-0002-9727-2824</t>
  </si>
  <si>
    <t>NSF [1653716]; Div Of Civil, Mechanical, &amp; Manufact Inn; Directorate For Engineering [1653716] Funding Source: National Science Foundation</t>
  </si>
  <si>
    <t>NSF(National Science Foundation (NSF)); Div Of Civil, Mechanical, &amp; Manufact Inn; Directorate For Engineering(National Science Foundation (NSF)NSF - Directorate for Engineering (ENG))</t>
  </si>
  <si>
    <t>The author(s) disclosed receipt of the following financial support for the research, authorship, and/or publication of this article: The authors acknowledge the support of NSF project CMMI 1653716, titled CAREER: Infrastructure Management under Model Uncertainty: Adaptive Sequential Learning and Decision Making.''</t>
  </si>
  <si>
    <t>1748006X211020151</t>
  </si>
  <si>
    <t>10.1177/1748006X211020151</t>
  </si>
  <si>
    <t>WOS:000657080600001</t>
  </si>
  <si>
    <t>Shahri, MM; Jahromi, AE; Houshmand, M</t>
  </si>
  <si>
    <t>Shahri, Majid Mardani; Jahromi, Abdolhamid Eshraghniaye; Houshmand, Mahmoud</t>
  </si>
  <si>
    <t>An integrated fuzzy inference system and AHP approach for criticality analysis of assets: A case study of a gas refinery</t>
  </si>
  <si>
    <t>Assets criticality analysis; maintenance management; fuzzy inference system; risk matrix; analytical hierarchy process</t>
  </si>
  <si>
    <t>RISK-BASED MAINTENANCE; RELIABILITY-CENTERED MAINTENANCE; IDENTIFYING CRITICAL COMPONENTS; MULTIATTRIBUTE DECISION-MAKING; POWER DISTRIBUTION-SYSTEMS; IDENTIFICATION; STRATEGY; MODEL; MANAGEMENT; EQUIPMENT</t>
  </si>
  <si>
    <t>The purpose of maintenance is to ensure the maximum efficiency and availability of production assets at optimal cost considering quality, safety, and environmental aspects. Assets criticality analysis is one of the main steps in many maintenance methodologies, including Reliability Centered Maintenance. The present study seeks to provide a solution for determining critical assets for more efficient maintenance management. In this regard, an integrated approach of the analytical hierarchy process and fuzzy inference system was proposed based on the concept of the risk matrix. According to the concept of the risk matrix, two main criteria of failure consequences and probability were employed to determine assets criticality. Analytic Hierarchy Process (AHP) was used to consider all sub-criteria of failure consequences and probability. Finally, using two main criteria as inputs, a fuzzy inference system was developed to determine the criticality of the assets. The proposed approach was implemented in a gas refinery; the results showed its effectiveness and applicability in the process of prioritizing assets based on criticality criteria. The proposed approach has the advantages of multi-criteria decision-making techniques, modeling ambiguity and uncertainty in real issues, modeling the process of inference in the human mind, and storing the knowledge of the organization's expert.</t>
  </si>
  <si>
    <t>[Shahri, Majid Mardani; Jahromi, Abdolhamid Eshraghniaye; Houshmand, Mahmoud] Sharif Univ Technol, Dept Ind Engn, Tehran, Iran</t>
  </si>
  <si>
    <t>Sharif University of Technology</t>
  </si>
  <si>
    <t>Jahromi, AE (corresponding author), Sharif Univ Technol, Dept Ind Engn, Tehran, Iran.</t>
  </si>
  <si>
    <t>Eshragh@sharif.edu</t>
  </si>
  <si>
    <t>mardani, majid/JPK-9206-2023; Houshmand, Mahmoud/F-3525-2010</t>
  </si>
  <si>
    <t>Mardani shahri, Majid/0000-0003-1552-9604</t>
  </si>
  <si>
    <t>10.3233/JIFS-201407</t>
  </si>
  <si>
    <t>UB5PA</t>
  </si>
  <si>
    <t>WOS:000685896700014</t>
  </si>
  <si>
    <t>Rasay, H; Fallahnezhad, MS; Zaremehrjerdi, Y</t>
  </si>
  <si>
    <t>Rasay, Hasan; Fallahnezhad, Mohammad Saber; Zaremehrjerdi, Yahia</t>
  </si>
  <si>
    <t>An integrated model of statistical process control and maintenance planning for a two-stage dependent process under general deterioration</t>
  </si>
  <si>
    <t>statistical process control; SPC; maintenance planning; multi-stage dependent process; failure mechanism; integrated model; cause-selecting control chart</t>
  </si>
  <si>
    <t>CONTROL CHART SYSTEM; ECONOMIC DESIGN; PREVENTIVE MAINTENANCE; QUALITY-CONTROL; POLICY; OPTIMIZATION; MANAGEMENT</t>
  </si>
  <si>
    <t>Consider a two-stage dependent process in which each stage has a unique quality characteristic. Based on a regression formula, the quality characteristic of the second stage is dependent on that of the first stage. There may be two assignable causes in the process. Each cause can lead to a change in the mean of the process. The process failure mechanism for each stage follows a general continuous distribution function, and two control charts are simultaneously used to monitor the process. Specifically, the first stage is monitored using a Shwehart control chart, and the second stage is monitored using a cause-selecting control chart. An integrated model is developed for maintenance planning (MP) and statistical process control (SPC). To analyse the performance of the integrated model, a stand-alone model for SPC is developed. A comparison of the two models, i.e., the integrated model and the stand-alone model, is conducted. Finally, using a fractional factorial design, a depth analysis is performed about the integrated model.</t>
  </si>
  <si>
    <t>[Rasay, Hasan] Kermanshah Univ Technol, Dept Ind Engn, Kermanshah, Iran; [Fallahnezhad, Mohammad Saber; Zaremehrjerdi, Yahia] Yazd Univ, Dept Ind Engn, Yazd, Iran</t>
  </si>
  <si>
    <t>Kermanshah University of Technology; University of Yazd</t>
  </si>
  <si>
    <t>Rasay, H (corresponding author), Kermanshah Univ Technol, Dept Ind Engn, Kermanshah, Iran.</t>
  </si>
  <si>
    <t>Hasan.Rasay@gmail.com; Fallahnezhad@yazd.ac.ir; Yzare@yazd.ac.ir</t>
  </si>
  <si>
    <t>Rasay, Hasan/IAR-8269-2023; Fallah nezhad, Mohammad saber/AFR-5558-2022</t>
  </si>
  <si>
    <t>Fallah Nezhad, Mohammad Saber/0000-0003-3343-2769; Rasay, Hasan/0000-0001-9774-5671</t>
  </si>
  <si>
    <t>10.1504/EJIE.2019.098508</t>
  </si>
  <si>
    <t>HQ5OH</t>
  </si>
  <si>
    <t>WOS:000462462000001</t>
  </si>
  <si>
    <t>Asghari, V; Hsu, SC</t>
  </si>
  <si>
    <t>Asghari, Vahid; Hsu, Shu-Chien</t>
  </si>
  <si>
    <t>Upscaling Complex Project-Level Infrastructure Intervention Planning to Network Assets</t>
  </si>
  <si>
    <t>Asset management; Monte Carlo simulation (MCS); Maintenance optimization; Random forests; Bridge management</t>
  </si>
  <si>
    <t>OPTIMIZATION; RELIABILITY</t>
  </si>
  <si>
    <t>Probabilistic and nonlinear models have been used to accurately model various phenomena in asset management systems (AMS). With a commonly adopted framework using Monte Carlo simulation and heuristic algorithms, AMS proposed in the literature aim to maintain the functionality of assets in their life-cycle by optimally allocating limited resources to different intervention actions. However, due to their high computational costs, upscaling complex project-level AMS to a multitude of assets currently is far from practical. To address this gap between the literature and the practice of project-level AMS, this paper presents a new machine learning-based methodology to estimate (near-)optimal intervention timings which usually are derived by optimization algorithms. To illustrate, an ensemble of random forests models was trained on optimal maintenance timings of more than 1.6 million semisynthesized bridges. The trained model yielded optimized maintenance, rehabilitation, and reconstruction (MRR) plans with greater than 95% accuracy on the test set and greater than 89% accuracy on more than 4,600 highway bridges in Indiana, and did so 6 orders of magnitude faster than the conventional framework of complex MRR optimization. Practitioners can adopt the proposed methodology to enhance their decision-making systems, obtain optimal maintenance plans without sacrificing complex and accurate models, and take another step toward sustainability objectives.</t>
  </si>
  <si>
    <t>[Asghari, Vahid; Hsu, Shu-Chien] Hong Kong Polytech Univ, Dept Civil &amp; Environm Engn, Kowloon, 181 Chatham Rd South, Hong Kong 999077, Peoples R China</t>
  </si>
  <si>
    <t>Hong Kong Polytechnic University</t>
  </si>
  <si>
    <t>Hsu, SC (corresponding author), Hong Kong Polytech Univ, Dept Civil &amp; Environm Engn, Kowloon, 181 Chatham Rd South, Hong Kong 999077, Peoples R China.</t>
  </si>
  <si>
    <t>vahid.asghari@connect.polyu.hk; mark.hsu@polyu.edu.hk</t>
  </si>
  <si>
    <t>Asghari, Vahid/GLU-3244-2022; Hsu, Shu-Chien/AAD-3314-2020</t>
  </si>
  <si>
    <t>Asghari, Vahid/0000-0002-2399-4592; Hsu, Shu-Chien/0000-0002-7232-9839</t>
  </si>
  <si>
    <t>10.1061/(ASCE)CO.1943-7862.0002221</t>
  </si>
  <si>
    <t>WY8MT</t>
  </si>
  <si>
    <t>WOS:000719532100013</t>
  </si>
  <si>
    <t>Ossai, CI</t>
  </si>
  <si>
    <t>Ossai, Chinedu I.</t>
  </si>
  <si>
    <t>Remaining useful life estimation for repairable multi-state components subjected to multiple maintenance actions</t>
  </si>
  <si>
    <t>Mean time to failure; Multi-state components; Reliability; Remaining useful life; Repairable system; Universal generating function</t>
  </si>
  <si>
    <t>RELIABILITY ASSESSMENT; SYSTEMS; MODEL</t>
  </si>
  <si>
    <t>This paper discusses the methodologies for determining the reliability and remaining useful life (RUL) of repairable Multi-State Components (MSCs) subjected to different maintenance actions. By utilizing the degradation rates of the components that depend on the failure and maintenance rates, the transition intensities at the performance states and the Universal Generating Function (UGF), the availability and Mean Time To failure (MTTF) was obtained. The technique developed in this study is used to determine the expected RUL of a Feed Water System (FWS) of a power generating plant that uses three maintenance policies that include no, minor and major maintenance actions for the components integrity management. The study also shows the influence of repeated maintenance actions on the RUL of the components and the impact on reliability at the lifecycle durations of the components and systems.</t>
  </si>
  <si>
    <t>[Ossai, Chinedu I.] Univ South Australia, Sch Informat Technol &amp; Math Sci, GPO Box 2471, Adelaide, SA 5001, Australia</t>
  </si>
  <si>
    <t>University of South Australia</t>
  </si>
  <si>
    <t>Ossai, CI (corresponding author), Univ South Australia, Sch Informat Technol &amp; Math Sci, GPO Box 2471, Adelaide, SA 5001, Australia.</t>
  </si>
  <si>
    <t>chinedu.ossai@unisa.edu.au</t>
  </si>
  <si>
    <t>Ossai, Chinedu/AAL-8043-2020</t>
  </si>
  <si>
    <t>10.1016/j.ress.2018.10.014</t>
  </si>
  <si>
    <t>HE6EC</t>
  </si>
  <si>
    <t>WOS:000453495100013</t>
  </si>
  <si>
    <t>Aboshosha, A; Haggag, A; George, N; Hamad, HA</t>
  </si>
  <si>
    <t>Aboshosha, Ashraf; Haggag, Ayman; George, Neseem; Hamad, Hisham A.</t>
  </si>
  <si>
    <t>IoT-based data-driven predictive maintenance relying on fuzzy system and artificial neural networks</t>
  </si>
  <si>
    <t>MACHINE-TOOLS; MULTIMOORA; RISK</t>
  </si>
  <si>
    <t>Industry 4.0 technologies need to plan reactive and Preventive Maintenance (PM) strategies for their production lines. This applied research study aims to employ the Predictive Maintenance (PdM) technology with advanced automation technologies to counter all expected maintenance problems. Moreover, the deep learning based AI is employed to interpret the alarming patterns into real faults by which the system minimizes the human based fault recognition errors. The Sensors Information Modeling (SIM) and the Internet of Things (IoT) have the potential to improve the efficiency of industrial production machines maintenance management. This research work provides a better maintenance strategy by utilizing a data-driven predictive maintenance planning framework based on our proposed SIM and IoT technologies. To verify the feasibility of our approach, the proposed framework is applied practically on a corrugated cardboard production factory in real industrial environment. The Fuzzy Logic System (FLS) is utilized to achieve the AI based PM while the Deep Learning (DL) is applied for the alarming and fault diagnosis in case the fault already occured.</t>
  </si>
  <si>
    <t>[Aboshosha, Ashraf; George, Neseem] Egyptian Atom Energy Author EAEA, NCRRT, Rad Eng Dept, Cairo, Egypt; [Haggag, Ayman; George, Neseem; Hamad, Hisham A.] Helwan Univ, Fac Technol &amp; Educ, Elect Technol Dept, Cairo, Egypt</t>
  </si>
  <si>
    <t>Egyptian Knowledge Bank (EKB); Egyptian Atomic Energy Authority (EAEA); Egyptian Knowledge Bank (EKB); Helwan University</t>
  </si>
  <si>
    <t>Aboshosha, A (corresponding author), Egyptian Atom Energy Author EAEA, NCRRT, Rad Eng Dept, Cairo, Egypt.</t>
  </si>
  <si>
    <t>ashraf.aboshosha@eaea.org.eg</t>
  </si>
  <si>
    <t>Aboshosha, Ashraf/LOS-7117-2024</t>
  </si>
  <si>
    <t>Aboshosha, Ashraf/0000-0003-0388-4326; A. Hamad, Hisham/0000-0002-0784-7859</t>
  </si>
  <si>
    <t>JUL 27</t>
  </si>
  <si>
    <t>10.1038/s41598-023-38887-z</t>
  </si>
  <si>
    <t>N7WS3</t>
  </si>
  <si>
    <t>WOS:001039076900043</t>
  </si>
  <si>
    <t>Zhang, XH; Liao, HT; Zeng, JC; Shi, GN; Zhao, B</t>
  </si>
  <si>
    <t>Zhang, Xiaohong; Liao, Haitao; Zeng, Jianchao; Shi, Guannan; Zhao, Bing</t>
  </si>
  <si>
    <t>Optimal Condition-based Opportunistic Maintenance and Spare Parts Provisioning for a Two-unit System using a State Space Partitioning Approach</t>
  </si>
  <si>
    <t>Condition-based opportunistic maintenance; Spare parts provisioning; Two-unit system; Combined state space partitioning; Joint optimal decision making</t>
  </si>
  <si>
    <t>JOINT OPTIMIZATION; POLICY; INVENTORY; REPLACEMENT; DECISION</t>
  </si>
  <si>
    <t>Making optimal decisions on preventive maintenance (PM) and spare parts provisioning for a multi-unit system is a practical problem in many industrial applications. In practice, decision makers must deal with a high level of complexity because of complex interactions among multiple units. In this work, we study optimal conditionbased opportunistic maintenance (CBOM) and spare parts provisioning policies for a two-unit system experiencing continuous deterioration. A state space partitioning approach considering the deterioration states of the system along with the spare parts inventory state is proposed to analyse the requirements and actions for different maintenance types under the constraints of spare parts and those for spare parts holding and ordering. The explicit representations of stationary probability densities of combined states and their numerical solutions are deduced to obtain the corresponding probabilities of interest. Based on the results and the semi-regenerative process theory, an expected long-run cost rate model is developed to determine the optimal joint strategy. To illustrate the use of the proposed approach in practice, a wind turbine system consisting of main bearings and gearboxes is studied. The numerical results and sensitivity analysis validate the proposed approach and its practical values in solving such complex industrial problems.</t>
  </si>
  <si>
    <t>[Zhang, Xiaohong] Taiyuan Univ Sci &amp; Technol, Econ &amp; Management Sch, Taiyuan 030024, Peoples R China; [Zhang, Xiaohong; Zeng, Jianchao; Shi, Guannan] Taiyuan Univ Sci &amp; Technol, Div Ind &amp; Syst Engn, Taiyuan 030024, Peoples R China; [Zeng, Jianchao] North Univ China, Div Big Data &amp; Visual Comp, 3 Xueyuan Rd, Taiyuan 030051, Shanxi, Peoples R China; [Liao, Haitao] Univ Arkansas, Ind Engn Dept, Fayetteville, AR 72701 USA; [Zhao, Bing] Yanshan Univ, Sch Sci, Qinhuangdao 066004, Hebei, Peoples R China</t>
  </si>
  <si>
    <t>Taiyuan University of Science &amp; Technology; Taiyuan University of Science &amp; Technology; North University of China; University of Arkansas System; University of Arkansas Fayetteville; Yanshan University</t>
  </si>
  <si>
    <t>Zeng, JC (corresponding author), North Univ China, Div Big Data &amp; Visual Comp, 3 Xueyuan Rd, Taiyuan 030051, Shanxi, Peoples R China.</t>
  </si>
  <si>
    <t>zhangxiaohong1111@126.com; liao@uark.edu; zengjianchao@263.net; sgn190714@163.com; zhaobing@ysu.edu.cn</t>
  </si>
  <si>
    <t>Shi, Guannan/GQI-3898-2022</t>
  </si>
  <si>
    <t>National Natural Science Foundation of China [71701140, 72071183, 61703297]; Cultivate Scientific Research Excellent Programs of Higher Education Institutions in Shanxi (CSREP) [2019SK028]; Scientific and Technological Innovation Programs of Higher Education Institutions in Shanxi (STIP) [201802091]; Natural Science Foundation of Shanxi [201801D121166]; Key Research and Development Program Projects in Shanxi Province [201703D111011]</t>
  </si>
  <si>
    <t>National Natural Science Foundation of China(National Natural Science Foundation of China (NSFC)); Cultivate Scientific Research Excellent Programs of Higher Education Institutions in Shanxi (CSREP); Scientific and Technological Innovation Programs of Higher Education Institutions in Shanxi (STIP); Natural Science Foundation of Shanxi(Natural Science Foundation of Shanxi Province); Key Research and Development Program Projects in Shanxi Province</t>
  </si>
  <si>
    <t>The authors would like to thank the National Natural Science Foundation of China (71701140; 72071183; 61703297), the Cultivate Scientific Research Excellent Programs of Higher Education Institutions in Shanxi (CSREP, 2019SK028), the Scientific and Technological Innovation Programs of Higher Education Institutions in Shanxi (STIP, 201802091), the Natural Science Foundation of Shanxi (Grant No. 201801D121166), and Key Research and Development Program Projects in Shanxi Province (201703D111011) for their support. Also thank the anonymous reviewers for their valuable comments on the improvement of this study.</t>
  </si>
  <si>
    <t>10.1016/j.ress.2021.107451</t>
  </si>
  <si>
    <t>SV6DB</t>
  </si>
  <si>
    <t>WOS:000663909200018</t>
  </si>
  <si>
    <t>Zhang, FX; Liao, HT; Shen, JY; Ma, YZ</t>
  </si>
  <si>
    <t>Zhang, Fengxia; Liao, Haitao; Shen, Jingyuan; Ma, Yizhong</t>
  </si>
  <si>
    <t>Optimal maintenance over a finite time horizon for a system under imperfect inspection and dynamic working environment</t>
  </si>
  <si>
    <t>Imperfect inspection; Dynamic environment; Finite time horizon; Hidden failure; Delay time model</t>
  </si>
  <si>
    <t>PREVENTIVE MAINTENANCE; REPLACEMENT POLICY; RELIABILITY; MODEL</t>
  </si>
  <si>
    <t>Inspections play a crucial role in determining the state of a system and informing timely maintenance decisions. However, due to the limitations of adopted inspection technologies, inspection errors are often inevitable. More importantly, the likelihood of such errors is often influenced by the system's working environment that varies over time and space. Despite this, most studies on imperfect inspections largely overlook the effects of such dynamic working environments on inspection errors. To address this gap, this paper proposes a maintenance policy accounting for imperfect inspections for a degrading system with hidden failures under a dynamic working environment. We develop two models based on a recursive method. The first model examines a case where the working environment affects only inspection errors, whereas the second one accounts for its impact on both inspection errors and the system's degradation process. Our focus is to determine the optimal interval and number of inspections that minimize the expected maintenance cost over a finite time horizon. Numerical examples are provided to illustrate the proposed method to ensure the effectiveness of maintenance actions. The optimization outcomes not only offer a valuable tool for engineers seeking to reduce maintenance costs but also shed light on broader managerial implications.</t>
  </si>
  <si>
    <t>National Natural Science Foundation of China [71931006, 72171117]; China Postdoctoral Science Foundation [2023M741705]; Jiangsu Funding Program for Excellent Postdoctoral Talent [2022ZB260]</t>
  </si>
  <si>
    <t>National Natural Science Foundation of China(National Natural Science Foundation of China (NSFC)); China Postdoctoral Science Foundation(China Postdoctoral Science Foundation); Jiangsu Funding Program for Excellent Postdoctoral Talent</t>
  </si>
  <si>
    <t>The research was supported by the National Natural Science Foundation of China (Nos. 71931006 and 72171117) , by the China Post- doctoral Science Foundation (2023M741705) and Jiangsu Funding Program for Excellent Postdoctoral Talent (2022ZB260) .</t>
  </si>
  <si>
    <t>10.1016/j.ress.2024.110057</t>
  </si>
  <si>
    <t>QC9M6</t>
  </si>
  <si>
    <t>WOS:001218797400001</t>
  </si>
  <si>
    <t>Jolfaei, NG; Jin, B; van der Linden, L; Gunawan, I; Gorjian, N</t>
  </si>
  <si>
    <t>Gorjian Jolfaei, Neda; Jin, Bo; van der Linden, Leon; Gunawan, Indra; Gorjian, Nima</t>
  </si>
  <si>
    <t>A reliability-cost optimisation model for maintenance scheduling of wastewater treatment's power generation engines</t>
  </si>
  <si>
    <t>optimisation; power generation engines; quasi-Newton algorithm and genetic algorithm; reliability-cost model</t>
  </si>
  <si>
    <t>Power generation engines in wastewater treatment plants (WWTPs) are critical and strategic assets as major elements of an effective energy management system. Therefore, water utilities seek a smart tool to optimise the maintenance program on overall cost and reliability of these assets. In the previous study, a reliability model with consideration of redundancy was developed to estimate failure modes, reliability and availability of power generation engines in a WWTP. This study examines a joint model of reliability index using the Weibull model, operating maintenance cost using the steepest descent method and quasi-Newton algorithm. This research is the first application of this joint model to power generation engines in WWTPs. A genetic algorithm has been employed to analyse and validate the modelling results as a global optimisation method. Results of the optimal solution are compared with conventional maintenance regimes of these engines based on recommended original equipment manufacturer (OEM). Results show an average of 22.3% reduction in maintenance costs of three engines after the implementation of the proposed cost-optimization model. In addition, the manufacturer's recommended maintenance regime is not an appropriate maintenance strategy due to differences between the assumed and actual operating conditions. Also, hazard and reliability estimate using historical failure, operating and maintenance cost data has been ignored in the recommended OEM maintenance strategy.</t>
  </si>
  <si>
    <t>[Gorjian Jolfaei, Neda; Jin, Bo] Univ Adelaide, Sch Chem Engn &amp; Adv Mat, Adelaide, SA 5005, Australia; [van der Linden, Leon; Gorjian, Nima] South Australian Water Corp, Adelaide, SA 5002, Australia; [Gunawan, Indra] Univ Adelaide, Adelaide Business Sch, Adelaide, SA 5005, Australia; [Gorjian, Nima] Univ South Australia, UniSA STEM, Scarce Resources &amp; Circular Econ ScaRCE, Mawson Lakes, Australia</t>
  </si>
  <si>
    <t>University of Adelaide; University of Adelaide; University of South Australia</t>
  </si>
  <si>
    <t>Jin, B (corresponding author), Univ Adelaide, Sch Chem Engn &amp; Adv Mat, Adelaide, SA 5005, Australia.;Gorjian, N (corresponding author), South Australian Water Corp, Adelaide, SA 5002, Australia.;Gunawan, I (corresponding author), Univ Adelaide, Adelaide Business Sch, Adelaide, SA 5005, Australia.</t>
  </si>
  <si>
    <t>bo.jin@adelaide.edu.au; indra.gunawan@adelaide.edu.au; nima.gorjianjolfaei@unisa.edu.au</t>
  </si>
  <si>
    <t>Gunawan SE MH, Indra/0000-0002-4903-7088</t>
  </si>
  <si>
    <t>University of Adelaide; South Australia Water Corporation; Water Research Australia</t>
  </si>
  <si>
    <t>Authors would like to thank the University of Adelaide and Water Research Australia for financial support of this work. We appreciate the support of South Australia Water Corporation to provided data and technique support for this case study and the work of Zheng Quan Yow and Geeth Ravishan from the University of Adelaide in this field.</t>
  </si>
  <si>
    <t>10.1002/qre.2956</t>
  </si>
  <si>
    <t>YH6CR</t>
  </si>
  <si>
    <t>WOS:000675503000001</t>
  </si>
  <si>
    <t>de Vries, KC; Visser, JK</t>
  </si>
  <si>
    <t>de Vries, K. C.; Visser, J. K.</t>
  </si>
  <si>
    <t>EVALUATION OF THE FACTORS CHARACTERISING HIGH-PERFORMING MAINTENANCE TEAMS IN THE PETROCHEMICAL INDUSTRY</t>
  </si>
  <si>
    <t>32nd Annual Conference of the Southern-African-Institute-for-Industrial-Engineering (SAIIE)</t>
  </si>
  <si>
    <t>OCT 04-06, 2021</t>
  </si>
  <si>
    <t>Muldersdrift, SOUTH AFRICA</t>
  </si>
  <si>
    <t>FRAMEWORK; BARRIERS</t>
  </si>
  <si>
    <t>Historically, the maintenance function of an organisation was viewed as a 'necessary evil'; however, the view has shifted to seeing it as a strategic element within an organisation to accomplish its business objectives. For organisations to continue to be competitive, they need to harness the true potential of their people by evaluating ways for maintenance teams to achieve effective teamwork. In the light of this, the study was tailored to determine the factors that characterise high-performing maintenance teams in the petrochemical industry in South Africa. The study determined an importance ranking of these critical factors when implementing highperformance maintenance teams. A questionnaire was used to gather quantitative data from 69 respondents. Analysis of the data revealed that the most important factors for maintenance teams to achieve high performance were knowledge and motivation. It was also found that the most important performance indicators for maintenance were equipment availability, overall equipment effectiveness, and spares availability.</t>
  </si>
  <si>
    <t>[de Vries, K. C.; Visser, J. K.] Univ Pretoria, Dept Engn &amp; Technol Management, Pretoria, South Africa</t>
  </si>
  <si>
    <t>Krige.Visser@up.ac.za</t>
  </si>
  <si>
    <t>10.7166/32-3-2626</t>
  </si>
  <si>
    <t>XG4HL</t>
  </si>
  <si>
    <t>WOS:000724715400014</t>
  </si>
  <si>
    <t>Peng, R; Liu, B; Zhai, QQ; Wang, WB</t>
  </si>
  <si>
    <t>Peng, Rui; Liu, Bin; Zhai, Qingqing; Wang, Wenbin</t>
  </si>
  <si>
    <t>Optimal maintenance strategy for systems with two failure modes</t>
  </si>
  <si>
    <t>Periodic inspection; Preventive replacement; Delay-time; Two-stage failure process; Imperfect inspection</t>
  </si>
  <si>
    <t>PREVENTIVE MAINTENANCE; INSPECTION MODEL; IMPERFECT INSPECTION; TIME; SUBJECT; OPTIMIZATION; INTERVAL; POLICY; RELIABILITY; PLANT</t>
  </si>
  <si>
    <t>This paper considers a single-unit system subject to two types of failures: a traditional catastrophic failure and a two-stage delayed failure. Periodic inspections are carried out to identify the defective stage of the two-stage failure process, whereas preventive replacements are implemented to avoid any potential failure due to the catastrophic failure mode. We construct a basic maintenance model and then extend it to the cases of imperfect inspections (i.e., inspections that do not always notice a defective state). We analyze the renewal process of the system and establish the expected long-run cost rate (ELRCR). The optimal inspection period and preventive replacement interval are determined by minimizing the ELRCR. A case study on infusion pumps is presented to illustrate the proposed model. (C) 2017 Elsevier Ltd. All rights reserved.</t>
  </si>
  <si>
    <t>[Peng, Rui; Wang, Wenbin] Univ Sci &amp; Technol Beijing, Donlinks Sch Econ &amp; Management, Beijing 100083, Peoples R China; [Liu, Bin] City Univ Hong Kong, Dept Syst Engn &amp; Engn Management, Kowloon, Hong Kong, Peoples R China; [Zhai, Qingqing] Natl Univ Singapore, Dept Ind &amp; Syst Engn, Singapore, Singapore; [Wang, Wenbin] Manchester Metropolitan Univ, Fac Business &amp; Law, Manchester, Lancs, England</t>
  </si>
  <si>
    <t>University of Science &amp; Technology Beijing; City University of Hong Kong; National University of Singapore; Manchester Metropolitan University</t>
  </si>
  <si>
    <t>Zhai, QQ (corresponding author), Natl Univ Singapore, Dept Ind &amp; Syst Engn, Singapore, Singapore.</t>
  </si>
  <si>
    <t>zhaiqing59@126.com</t>
  </si>
  <si>
    <t>Liu, Bin/LDG-5146-2024; Peng, Rui/AAL-7506-2020; ZHAI, Qingqing/U-4724-2017</t>
  </si>
  <si>
    <t>NSFC [71671016, 71231001, 71420107023]</t>
  </si>
  <si>
    <t>The research is supported by the NSFC under grant number 71671016 and 71231001 and 71420107023.</t>
  </si>
  <si>
    <t>10.1016/j.ress.2017.07.014</t>
  </si>
  <si>
    <t>WOS:000470341400055</t>
  </si>
  <si>
    <t>Han, SH; Li, C; Feng, WX; Luo, ZW; Gupta, S</t>
  </si>
  <si>
    <t>Han, Shuihua; Li, Chao; Feng, Weixi; Luo, Zongwei; Gupta, Shivam</t>
  </si>
  <si>
    <t>The effect of equipment management capability maturity on manufacturing performance</t>
  </si>
  <si>
    <t>Equipment management capability; Capability maturity model (CMM); manufacturing performance; resource-based view; performance measurement</t>
  </si>
  <si>
    <t>HUMAN-RESOURCE MANAGEMENT; SUPPLY CHAIN MANAGEMENT; INFORMATION-TECHNOLOGY; BUSINESS PROCESS; OPERATIONS MANAGEMENT; MANAGERIAL PROCESSES; SYSTEMS; MODEL; MAINTENANCE; IMPACT</t>
  </si>
  <si>
    <t>Equipment management capability is crucial to the transformation and upgrading of manufacturing enterprises. Past studies ignore its significance and have not assessed manufacturing performance from the perspective of capability maturity yet and still want evidence from empirical test. For addressing this research gap, we combine research methods of qualitative and quantitative to define equipment management capability for exploring and verifying the relationship between equipment management capability maturity and manufacturing performance. Results of this study from 136 valid questionnaires indicate that capabilities of strategy, personnel and IT infrastructure have direct positive effects on manufacturing performance. Among them, equipment management strategy takes organisational &amp; process and IT infrastructure as mediating variables, which have indirect positive influence on manufacturing performance. Meanwhile, organisational &amp; process takes IT infrastructure as mediating variable which has indirect positive influence on manufacturing performance. Our work opens the black box of equipment management capability system and provides theoretical guidance for improving manufacturing performance.</t>
  </si>
  <si>
    <t>[Han, Shuihua] Xiamen Univ, Sch Management, Xiamen, Peoples R China; [Li, Chao] Zhongyuan Univ Technol, Res Ctr Syst &amp; Ind Engn Technol, Zhengzhou, Peoples R China; [Feng, Weixi] Zhongyuan Univ Technol, Sch Econ &amp; Management, Zhengzhou, Peoples R China; [Luo, Zongwei] Beijing Normal Univ, BNU UIC Inst Artificial Intelligence &amp; Future Net, BNU Zhuhai, Zhuhai, Guangdong, Peoples R China; [Luo, Zongwei] BNU HKBU United Int Coll, Zhuhai, Guangdong, Peoples R China; [Gupta, Shivam] NEOMA Business Sch, Dept Informat Syst Supply Chain &amp; Decis Ma, Reims, France</t>
  </si>
  <si>
    <t>Xiamen University; Zhongyuan University of Technology; Zhongyuan University of Technology; Beijing Normal University; Beijing Normal University - Hong Kong Baptist University United International College</t>
  </si>
  <si>
    <t>Luo, ZW (corresponding author), Beijing Normal Univ, BNU UIC Inst Artificial Intelligence &amp; Future Net, BNU Zhuhai, Zhuhai, Guangdong, Peoples R China.;Luo, ZW (corresponding author), BNU HKBU United Int Coll, Zhuhai, Guangdong, Peoples R China.</t>
  </si>
  <si>
    <t>lzwqhk@outlook.com</t>
  </si>
  <si>
    <t>Feng, Weixi/MGV-0350-2025; Gupta, Shivam/R-2996-2016; LUO, Zongwei/N-1985-2015</t>
  </si>
  <si>
    <t>LUO, Zongwei/0000-0001-9322-959X; Gupta, Shivam/0000-0002-2714-4958</t>
  </si>
  <si>
    <t>National Natural Science Foundation of China [71671152]; Key Research Institute of Humanities and Social Sciences at Universities of Henan; Zhongyuan University of Technology, China</t>
  </si>
  <si>
    <t>National Natural Science Foundation of China(National Natural Science Foundation of China (NSFC)); Key Research Institute of Humanities and Social Sciences at Universities of Henan; Zhongyuan University of Technology, China</t>
  </si>
  <si>
    <t>This study is partially supported by National Natural Science Foundation of China under Grant No. 71671152, by the Key Research Institute of Humanities and Social Sciences at Universities of Henan and by Young Core Teachers Training Program and Interdisciplinary Team Program in Zhongyuan University of Technology, China.</t>
  </si>
  <si>
    <t>DEC 10</t>
  </si>
  <si>
    <t>10.1080/09537287.2020.1815246</t>
  </si>
  <si>
    <t>WT0EI</t>
  </si>
  <si>
    <t>WOS:000568809600001</t>
  </si>
  <si>
    <t>Neto, ABD; Batista, MDM; Ferreira, TAE</t>
  </si>
  <si>
    <t>dos Santos Neto, Ademir Batista; Moras Batista, Maria da Conceicao; Ferreira, Tiago A. E.</t>
  </si>
  <si>
    <t>Support decision system based on invoices data mining to estimate commercial pent-up demands</t>
  </si>
  <si>
    <t>Pent-up demand; Support decision system; Clusterization; Data mining</t>
  </si>
  <si>
    <t>In the world, all the time, commercial transactions are carried out. A large proportion of those commercial transactions are stored in some way from the companies. The data presented in those databases have the potential to enable several analyses about those transactions, for example, where customers came from to pick up the product. Therefore, liking stores and customers, it is possible to observe some patterns in their relationship. However, if the customer's unfulfilled wish is not registered, how can pent-up demands be identified? Here, we aim to present a methodology developed to identify pent demand by analyzing commercial invoices. In this regard, we are going to use Brazil as a case study to apply our methodology. Most of the commercial transactions in Brazil are informed to the government by electronic invoices (NFe). These invoices are an electronic version of the register of Brazilian commercial transactions. In these invoices, there is information about the commercial transaction carried out. Using the information collected in the electronic invoices, it is possible to quantitatively evaluate the existence of pent-up demand about some product in a specific region and then create decision support mechanisms. Our experiment observed that 13,6% of products presented a strong indication of pent-up demand according to our methodology. This analysis shows the decision-makers opportunities to explore the potential in increasing the sales of some products.</t>
  </si>
  <si>
    <t>[dos Santos Neto, Ademir Batista; Moras Batista, Maria da Conceicao; Ferreira, Tiago A. E.] Rural Fed Univ Pernambuco, Stat &amp; Informat Dept, Dom Manuel de Medeiros St, BR-52171900 Recife, PE, Brazil</t>
  </si>
  <si>
    <t>Universidade Federal Rural de Pernambuco (UFRPE)</t>
  </si>
  <si>
    <t>Neto, ABD (corresponding author), Rural Fed Univ Pernambuco, Stat &amp; Informat Dept, Dom Manuel de Medeiros St, BR-52171900 Recife, PE, Brazil.</t>
  </si>
  <si>
    <t>ademir.bsn@gmail.com; cecamoraes@gmail.com; tiago.espinola@ufrpe.br</t>
  </si>
  <si>
    <t>Ferreira, Tiago/A-7448-2016</t>
  </si>
  <si>
    <t>SANTOS NETO, ADEMIR/0000-0003-1202-5814; Ferreira, Tiago A. E./0000-0002-2131-9825; Moraes Batista, Maria da Conceicao/0000-0002-8838-2503</t>
  </si>
  <si>
    <t>Science and Technology Support Foundation of Pernambuco (FACEPE) Brazil; Brazilian National Council for Scientific and Technological Development (CNPq); Coordination for the Improvement of Higher Education Personnel -Brasil (CAPES) [001]</t>
  </si>
  <si>
    <t>Science and Technology Support Foundation of Pernambuco (FACEPE) Brazil; Brazilian National Council for Scientific and Technological Development (CNPq)(Conselho Nacional de Desenvolvimento Cientifico e Tecnologico (CNPQ)); Coordination for the Improvement of Higher Education Personnel -Brasil (CAPES)(Coordenacao de Aperfeicoamento de Pessoal de Nivel Superior (CAPES))</t>
  </si>
  <si>
    <t>To the Science and Technology Support Foundation of Pernambuco (FACEPE) Brazil, Brazilian National Council for Scientific and Technological Development (CNPq) and Coordination for the Improvement of Higher Education Personnel -Brasil (CAPES) -Finance Code 001 by financial support for the development of this research.</t>
  </si>
  <si>
    <t>SEP 15</t>
  </si>
  <si>
    <t>10.1016/j.eswa.2022.117204</t>
  </si>
  <si>
    <t>3E7OI</t>
  </si>
  <si>
    <t>WOS:000830169800008</t>
  </si>
  <si>
    <t>Wu, SN; Yang, J; Peng, R; Zhai, QQ</t>
  </si>
  <si>
    <t>Wu, Shengna; Yang, Jun; Peng, Rui; Zhai, Qingqing</t>
  </si>
  <si>
    <t>Optimal design of facility allocation and maintenance strategy for a cellular network</t>
  </si>
  <si>
    <t>Cellular network; Performance reliability; Life cycle cost; Optimization algorithm; Sensitivity analysis</t>
  </si>
  <si>
    <t>PREVENTIVE MAINTENANCE; LOW-LATENCY; MODEL; COMMUNICATION; LOCATION; SYSTEMS; REPAIR</t>
  </si>
  <si>
    <t>A cellular network is widely used for transmitting text (i.e., alphanumeric) messages between subscribers from different geographical locations. The geographic area of a cellular network is divided into a large number of cells, which are served by at least one facilities from base stations among predetermined positions. Both reliability and cost of a cellular network depend on the number, location and failure rate of facilities in the base stations. Thus, the joint optimization of facility allocation and maintenance strategy in a cellular network is relevant and significant for guiding optimal decisions on cellular network planning. This paper models a cellular network with repairable facilities characterized by a two-parameter Weibull distribution.The objective is to jointly optimize the facility allocation among predetermined positions and the facilities maintenance strategy in order to minimize the expected life cycle cost of the cellular network. An optimization algorithm for the proposed model is given based on heuristic algorithm and simulation. A case study is presented to illustrate the application of the proposed model, and sensitivity analysis shows the relationship between the optimal preventive replacement interval and the ratio of the preventive replacement cost to the minimal repair cost.</t>
  </si>
  <si>
    <t>[Wu, Shengna] China Inst Atom Energy, Dept Isotope, Beijing, Peoples R China; [Yang, Jun] Beihang Univ, Sch Reliabil &amp; Syst Engn, Beijing, Peoples R China; [Peng, Rui] Beijing Univ Technol, Sch Econ &amp; Management, Beijing, Peoples R China; [Zhai, Qingqing] Shanghai Univ, Sch Management, Shanghai, Peoples R China</t>
  </si>
  <si>
    <t>China Institute of Atomic Energy; Beihang University; Beijing University of Technology; Shanghai University</t>
  </si>
  <si>
    <t>Wu, SN (corresponding author), China Inst Atom Energy, Dept Isotope, Beijing, Peoples R China.;Yang, J (corresponding author), Beihang Univ, Sch Reliabil &amp; Syst Engn, Beijing, Peoples R China.</t>
  </si>
  <si>
    <t>wushn@buaa.edu.cn; tomyj2001@buaa.edu.cn</t>
  </si>
  <si>
    <t>ZHAI, Qingqing/U-4724-2017; Meng, Fanbing/AAI-2227-2021; Peng, Rui/AAL-7506-2020</t>
  </si>
  <si>
    <t>Zhai, Qingqing/0000-0001-6549-6906</t>
  </si>
  <si>
    <t>NSFC [71971009, 71672006]; Fundamental Research Funds for the Central Universities [YWF-20-BJ-J-501]</t>
  </si>
  <si>
    <t>NSFC(National Natural Science Foundation of China (NSFC)); Fundamental Research Funds for the Central Universities(Fundamental Research Funds for the Central Universities)</t>
  </si>
  <si>
    <t>This work was partially supported by the NSFC under Grants 71971009, 71672006, and the Fundamental Research Funds for the Central Universities under Grant No. YWF-20-BJ-J-501.</t>
  </si>
  <si>
    <t>10.1016/j.ress.2020.107253</t>
  </si>
  <si>
    <t>WOS:000589091300036</t>
  </si>
  <si>
    <t>da Cruz, MM; Caiado, RGG; Sigahi, TFAC; Anholon, R; Quelhas, OLG; Rampasso, IS</t>
  </si>
  <si>
    <t>da Cruz, Marcelo Miguel; Gusmo Caiado, Rodrigo Goyannes; Sigahi, Tiago F. A. C.; Anholon, Rosley; Quelhas, Osvaldo L. G.; Rampasso, Izabela Simon</t>
  </si>
  <si>
    <t>Analysis of asset management difficulties observed in Brazilian firms: a study based on expert survey and fuzzy TOPSIS</t>
  </si>
  <si>
    <t>Asset management; Management systems; ISO standard; ISO 55001:2014; Brazil; Fuzzy TOPSIS</t>
  </si>
  <si>
    <t>BARRIERS; IMPLEMENTATION; CONSTRUCTION; PERFORMANCE; LEADERSHIP; RANKING; AHP</t>
  </si>
  <si>
    <t>PurposeThe purpose of this paper was to understand the difficulties related to asset management observed by experts in Brazilian organizations in light of the requirements outlined in the ISO 55001:2014 standard.Design/methodology/approachA survey was performed with asset management experts. The collected data were analyzed using frequency analysis, hierarchical cluster analysis and fuzzy technique for order preference by similarity to deal solution (TOPSIS).FindingsBased on data analysis, the most critical difficulties observed were related to managing and controlling the impact of changes in the company that affect asset management objectives; to the committing to and supporting the asset management system by the top management of the organization; to manage the processes for dealing with risks and opportunities for the asset management system and plans, and correcting failures in asset performance; and to plan and conduct actions in an integrated manner to identify and minimize adverse impacts associated with the asset management system, and afterwards verifying their effectiveness.Originality/valueThe findings of this study have important theoretical and practical contributions, since they indicate the most critical points observed in asset management in Brazil, which can be used as a source for future research and by professionals to prioritize difficulties in future planning and develop action plans to overcome them. The step-by-step methodological approach presented in this study provides professionals and researchers with a replicable method of identifying potential asset management difficulties in a given specific reality.</t>
  </si>
  <si>
    <t>[da Cruz, Marcelo Miguel; Quelhas, Osvaldo L. G.] Fed Fluminense Univ, Master Program Management Syst, Niteroi, RJ, Brazil; [Gusmo Caiado, Rodrigo Goyannes] Pontif Catholic Univ Rio de Janeiro, Ind Engn Dept, Rio De Janeiro, Brazil; [Sigahi, Tiago F. A. C.] Univ Fed Sao Carlos, Dept Prod Engn, Sorocaba, Brazil; [Anholon, Rosley] Univ Estadual Campinas, Sch Mech Engn, Campinas, Brazil; [Quelhas, Osvaldo L. G.] Fed Fluminense Univ, Doctoral Program Sustainable Management Syst, Niteroi, RJ, Brazil; [Rampasso, Izabela Simon] Univ Catolica Norte, Dept Ingn Ind, Antofagasta, Chile</t>
  </si>
  <si>
    <t>Universidade Federal Fluminense; Universidade Federal de Sao Carlos; Universidade Estadual de Campinas; Universidade Federal Fluminense; Universidad Catolica del Norte</t>
  </si>
  <si>
    <t>Rampasso, IS (corresponding author), Univ Catolica Norte, Dept Ingn Ind, Antofagasta, Chile.</t>
  </si>
  <si>
    <t>cruzmarcelo@id.uff.br; rodrigoggcaiado@gmail.com; tiagosigahi@gmail.com; rosley@unicamp.br; osvaldoquelhas@id.uff.br; izarampasso@gmail.com</t>
  </si>
  <si>
    <t>Rampasso, Izabela/H-1755-2018; QUELHAS, OSVALDO/I-8171-2017; Caiado, Rodrigo/S-9342-2019; Anholon, Rosley/C-3650-2018; Fonseca Albuquerque Cavalcanti Sigahi, Tiago/C-3773-2019</t>
  </si>
  <si>
    <t>Anholon, Rosley/0000-0003-3163-6119; Fonseca Albuquerque Cavalcanti Sigahi, Tiago/0000-0002-2595-5220; Caiado, Rodrigo/0000-0002-3290-8385; Miguel da Cruz, Marcelo/0000-0001-6356-1196</t>
  </si>
  <si>
    <t>MAY 28</t>
  </si>
  <si>
    <t>10.1108/JQME-09-2023-0088</t>
  </si>
  <si>
    <t>RX3C6</t>
  </si>
  <si>
    <t>WOS:001214224700001</t>
  </si>
  <si>
    <t>Preventive replacement policies with multiple missions and maintenance triggering approaches</t>
  </si>
  <si>
    <t>Mission-oriented systems; Multiple missions; Periodic replacement with minimal repair; Mission duration; Reconnaissance system</t>
  </si>
  <si>
    <t>For the mission-oriented systems, it is not feasible to do any preventive maintenance when the mission is executing. However, the replacement time obtained by traditional replacement policies might be planned during the mission duration. The planned number of missions derived by traditional methods may overestimate the actual value. It would fail to complete the missions or increase the risk of system failure during the mission durations. And the major accident and unimaginable economic losses might occur. Therefore, an appropriate preventive maintenance policy with mission durations should be proposed to guarantee the required reliability and maintainability of the systems. To maintain the large and complex systems, we firstly extend the periodic replacement with minimal repair for systems which are designed to perform multiple missions. Then, two maintenance triggering approaches, i.e., the replacement first and replacement last are discussed, respectively. The optimum replacement time and number of missions are presented analytically and numerically. Finally, the comparison of above replacement policies in maintaining the reconnaissance system of unmanned aerial vehicle is given based on assumed data. The suggested models in this paper can provide better guidance The suggested models in this paper can provide better guidance for maintaining the systems which should implement the periodic replacement policies with minimal repair.</t>
  </si>
  <si>
    <t>蔡, 佳佳/GWZ-3611-2022</t>
  </si>
  <si>
    <t>10.1016/j.ress.2021.107691</t>
  </si>
  <si>
    <t>WOS:000663910500030</t>
  </si>
  <si>
    <t>Salmasnia, A; Baratian, M</t>
  </si>
  <si>
    <t>Salmasnia, Ali; Baratian, Maryam</t>
  </si>
  <si>
    <t>Integration of marketing and maintenance decisions in two-dimensional warranty contracts under a win-win strategy for two transaction sides</t>
  </si>
  <si>
    <t>Win-win strategy; two-dimensional warranty; product demand; extended warranty demand; preventive maintenance</t>
  </si>
  <si>
    <t>This study proposes a mathematical model to simultaneous decision-making about the marketing and maintenance decisions. Also, a win-win strategy for manufacturer and buyer is established under the two-dimensional basic and extended warranty coverages. The product demand and the extended warranty demand are, respectively, considered as functions of the basic and extended warranty regions. To illustrate the advantages of the model, three comparative studies are conducted. The first one approves the fact that concurrent optimization from the perspective of two transaction sides leads to better results compared to the single-objective optimization from each of views mentioned above. The second comparison shows that providing extended warranty benefits both the transaction sides. The third comparison proves that the implementation of a PM program throughout the warranty region has a significant effect on both the imposed cost on the customer during the post-warranty period and the manufacturer's profit. Finally, a sensitivity analysis is conducted on some parameters to extend insights into the impact of them on the objective function.</t>
  </si>
  <si>
    <t>[Salmasnia, Ali; Baratian, Maryam] Univ Qom, Dept Ind Engn, Fac Engn, Qom, Iran</t>
  </si>
  <si>
    <t>University of Qom</t>
  </si>
  <si>
    <t>Salmasnia, A (corresponding author), Univ Qom, Dept Ind Engn, Fac Engn, Qom, Iran.</t>
  </si>
  <si>
    <t>a.salmasnia@qom.ac.ir; m_baratian@yahoo.com</t>
  </si>
  <si>
    <t>10.1080/16843703.2021.1910188</t>
  </si>
  <si>
    <t>TS3HD</t>
  </si>
  <si>
    <t>WOS:000639788300001</t>
  </si>
  <si>
    <t>Chang, PC; Huang, DH; Lin, YK; Nguyen, TP</t>
  </si>
  <si>
    <t>Chang, Ping-Chen; Huang, Ding-Hsiang; Lin, Yi-Kuei; Thi-Phuong Nguyen</t>
  </si>
  <si>
    <t>Reliability and maintenance models for a time-related multi-state flow network via d-MC approach</t>
  </si>
  <si>
    <t>multi-state flow network (MSFN); time-related; minimal cut; system unreliability; system reliability</t>
  </si>
  <si>
    <t>FINITE BUFFER STORAGE; PREVENTIVE MAINTENANCE; ALGORITHM; SYSTEM; OPTIMIZATION; TERMS</t>
  </si>
  <si>
    <t>This study applied the approach of minimal cuts for demand d (d-MC) to evaluate the time-related reliability of a multi-state flow network (MSFN). The maximal capacity vectors that did not meet the demand rate were generated by a proposed algorithm. The Weibull reliability function was adopted to derive the probability distribution for arc capacity in the MSFN. In terms of the generated d-MCs and derived probability distributions, the MSFN system unreliability was calculated by the recursive sum of the disjoint products. Furthermore, the system reliability was 1 - system unreliability, which is a performance index of an MSFN. Based on the system unreliability, a maintenance model with three strategies was proposed to retain the service level of the MSFN. Experimental results show the performance of the proposed maintenance strategies. The advantages of different maintenance strategies are further discussed for managers to determine an appropriate alternative to maintain MSFN capability.</t>
  </si>
  <si>
    <t>[Chang, Ping-Chen] Natl Quemoy Univ, Dept Ind Engn &amp; Management, Jinning 892, Kinmen County, Taiwan; [Huang, Ding-Hsiang; Lin, Yi-Kuei] Natl Chiao Tung Univ, Dept Ind Engn &amp; Management, Hsinchu 300, Taiwan; [Lin, Yi-Kuei] Asia Univ, Dept Business Adm, Taichung 413, Taiwan; [Lin, Yi-Kuei] China Med Univ, China Med Univ Hosp, Dept Med Res, Taichung 404, Taiwan; [Lin, Yi-Kuei] Chaoyang Univ Technol, Dept Business Adm, Taichung 413, Taiwan; [Thi-Phuong Nguyen] Natl Chin Yi Univ Technol, Dept Distribut Management, Taichung, Taiwan</t>
  </si>
  <si>
    <t>National Quemoy University; National Yang Ming Chiao Tung University; Asia University Taiwan; China Medical University Taiwan; China Medical University Hospital - Taiwan; Chaoyang University of Technology; National Chin-Yi University of Technology</t>
  </si>
  <si>
    <t>Lin, YK (corresponding author), Natl Yang Ming Chiao Tung Univ, Ind Engn &amp; Management, 1001 Univ Rd, Hsinchu 300, Taiwan.</t>
  </si>
  <si>
    <t>yklin@nctu.edu.tw</t>
  </si>
  <si>
    <t>Huang, Ding-Hsiang/JXN-2340-2024; Lin, Yi-Kuei/N-8568-2013</t>
  </si>
  <si>
    <t>Chang, Ping-Chen/0000-0001-5563-2580; Huang, Ding-Hsiang/0000-0002-8278-0287</t>
  </si>
  <si>
    <t>10.1016/j.ress.2021.107962</t>
  </si>
  <si>
    <t>WOS:000702351700046</t>
  </si>
  <si>
    <t>Chien, YH; Zhang, ZG; Su, SP; Sheu, SH</t>
  </si>
  <si>
    <t>Chien, Yu-Hung; Zhang, Zhe George; Su, Siping; Sheu, Shey-Huei</t>
  </si>
  <si>
    <t>Optimal periodic preventive maintenance policy for a system subject to failures/repairs which follow the non-homogeneous pure birth process</t>
  </si>
  <si>
    <t>Non-Homogeneous Pure Birth Process; preventive maintenance; worse-than-minimal-repair; long-run expected cost rate; optimal PM schedule</t>
  </si>
  <si>
    <t>GENERALIZED POLYA PROCESS; BLOCK REPLACEMENT POLICY; MODELS</t>
  </si>
  <si>
    <t>This paper considers a periodic preventive maintenance policy for a deteriorating and repairable system. The system is subject to random failures and is repaired at each failure. To improve the reliability, at periodic timesiT(i= 1, 2, horizontal ellipsis N-1), the system is preventively maintained (PM). At the timeNTthe system is replaced. The failure/repair process between two PMs follows the Non-Homogeneous Pure Birth Process (NHPBP) which is a generalized version of the Non-homogeneous Poisson process (NHPP). The reliability improvement made by a PM action is stochastically modeled based on the properties of NHPBP. The cost for each PM depends on the reliability condition of the system at that PM time. The PM policy is characterized by the two parameters (N, T). We develop a two-stage procedure to find the optimal (N*, T*) which minimizes the long-run expected cost rate. Numerical examples are presented to illustrate the properties of the optimal policies.</t>
  </si>
  <si>
    <t>[Chien, Yu-Hung] Natl Taichung Univ Sci &amp; Technol, Dept Appl Stat, Taichung, Taiwan; [Zhang, Zhe George; Su, Siping] Western Washington Univ, Dept Decis Sci, Bellingham, WA 98225 USA; [Zhang, Zhe George] Simon Fraser Univ, Beedie Sch Business, Burnaby, BC, Canada; [Sheu, Shey-Huei] Asia Univ, Dept Business Adm, Taichung, Taiwan; [Sheu, Shey-Huei] China Med Univ, China Med Univ Hosp, Dept Med Res, Taichung, Taiwan; [Sheu, Shey-Huei] Natl Taiwan Univ Sci &amp; Technol, Dept Ind Management, Taipei, Taiwan</t>
  </si>
  <si>
    <t>National Taichung University of Science &amp; Technology; Western Washington University; Simon Fraser University; Asia University Taiwan; China Medical University Taiwan; China Medical University Hospital - Taiwan; National Taiwan University of Science &amp; Technology</t>
  </si>
  <si>
    <t>Chien, YH (corresponding author), Natl Taichung Univ Sci &amp; Technol, Dept Appl Stat, Taichung, Taiwan.</t>
  </si>
  <si>
    <t>yhchien@nutc.edu.tw</t>
  </si>
  <si>
    <t>Chien, Yu-Hung/0000-0003-0760-2445</t>
  </si>
  <si>
    <t>Ministry of Science and Technology, Taiwan (TW) [MOST 108-2221-E-025-002-MY3, MOST 108-2221-E-486-005-MY3]; Natural Science and Engineering Research Council of Canada [RGPIN 197319]</t>
  </si>
  <si>
    <t>Ministry of Science and Technology, Taiwan (TW); Natural Science and Engineering Research Council of Canada(Natural Sciences and Engineering Research Council of Canada (NSERC))</t>
  </si>
  <si>
    <t>This work was supported by the Ministry of Science and Technology, Taiwan (TW) [MOST 108-2221-E-025-002-MY3, MOST 108-2221-E-486-005-MY3] the Natural Science and Engineering Research Council of Canada [RGPIN 197319].</t>
  </si>
  <si>
    <t>10.1080/16843703.2020.1796208</t>
  </si>
  <si>
    <t>JUL 2020</t>
  </si>
  <si>
    <t>SA2UK</t>
  </si>
  <si>
    <t>WOS:000555222200001</t>
  </si>
  <si>
    <t>Lv, XL; Shi, LX; He, YD; He, Z; Lin, DKJ</t>
  </si>
  <si>
    <t>Lv, Xiaolei; Shi, Liangxing; He, Yingdong; He, Zhen; Lin, Dennis K. J.</t>
  </si>
  <si>
    <t>Joint optimization of production, maintenance, and quality control considering the product quality variance of a degraded system</t>
  </si>
  <si>
    <t>joint optimization; degraded system; CRPS ontrol chart; uncertain buffer stocking time</t>
  </si>
  <si>
    <t>OPTIMAL BUFFER INVENTORY; STATISTICAL PROCESS-CONTROL; PREVENTIVE MAINTENANCE; INTEGRATED PRODUCTION; CONTROL CHART; DETERIORATING SYSTEM; INSPECTION; MODEL; POLICY; DESIGN</t>
  </si>
  <si>
    <t>The joint optimization of production, maintenance, and quality control has shown effectiveness in reducing long-term operational costs in production systems. However, existing studies often assume that changes in the mean value of product quality characteristics in a deteriorating system follow a specific distribution while keeping variance constant. To address this limitation, we propose an innovative method based on the continuous ranking probability score (CRPS). This method enables the simultaneous detection of changes in mean and variance in nonconformities, thus removing the assumption of a specific distribution for quality characteristics. Our approach focuses on developing optimal strategies for production, maintenance, and quality control to minimize cost per unit of time. Additionally, we employ a stochastic model to optimize the production time allocated to the inventory buffer, resulting in significant cost reductions. The effectiveness of our proposed joint optimization method is demonstrated through comprehensive numerical experiments, sensitivity analysis, and a comparative study. The results show that our method can achieve cost reductions compared to several other related methods, highlighting its practical applicability for manufacturing companies aiming to reduce costs.</t>
  </si>
  <si>
    <t>[Lv, Xiaolei; Shi, Liangxing; He, Yingdong; He, Zhen] Tianjin Univ, Coll Management &amp; Econ, Tianjin 300072, Peoples R China; [Lv, Xiaolei; Shi, Liangxing; He, Yingdong; He, Zhen] Tianjin Univ, Lab Computat &amp; Analyt Complex Management Syst CACM, Tianjin 300072, Peoples R China; [Lin, Dennis K. J.] Purdue Univ, Dept Stat, W Lafayette, IN 47907 USA</t>
  </si>
  <si>
    <t>Tianjin University; Tianjin University; Purdue University System; Purdue University</t>
  </si>
  <si>
    <t>He, YD (corresponding author), Tianjin Univ, Coll Management &amp; Econ, Tianjin 300072, Peoples R China.;He, YD (corresponding author), Tianjin Univ, Lab Computat &amp; Analyt Complex Management Syst CACM, Tianjin 300072, Peoples R China.</t>
  </si>
  <si>
    <t>National Natural Science Foundation of China [72101177, 72231005, 72261147706, 72371183]; State Administration of Science, Technology and Industry for National Defense, China [JSZL2021204B001, JSZL2022204B005]; Tianjin Natural Science Foundation [22JCQNJC01190]</t>
  </si>
  <si>
    <t>National Natural Science Foundation of China(National Natural Science Foundation of China (NSFC)); State Administration of Science, Technology and Industry for National Defense, China; Tianjin Natural Science Foundation(Natural Science Foundation of Tianjin)</t>
  </si>
  <si>
    <t>This work was supported by National Natural Science Foundation of China (Grant Nos. 72101177, 72231005, 72261147706, and 72371183); State Administration of Science, Technology and Industry for National Defense, China (Grant Nos. JSZL2021204B001, and JSZL2022204B005); Tianjin Natural Science Foundation (Grant No.22JCQNJC01190).</t>
  </si>
  <si>
    <t>10.1007/s42524-024-3103-1</t>
  </si>
  <si>
    <t>WOS:001275418300003</t>
  </si>
  <si>
    <t>Salmasnia, A; Kia, R; Googoonani, S; Jafarian-Namin, S</t>
  </si>
  <si>
    <t>Salmasnia, Ali; Kia, Reza; Googoonani, Samira; Jafarian-Namin, Samrad</t>
  </si>
  <si>
    <t>Integration of maintenance policy and statistical process monitoring for a cascade process with multiple assignable causes and random failures</t>
  </si>
  <si>
    <t>Cascade process; Multiple assignable causes; Cause-Selecting control chart; Maintenance; Particle swarm optimization</t>
  </si>
  <si>
    <t>(X)OVER-BAR CONTROL CHART; ECONOMIC DESIGN; SERIES SYSTEMS; MODEL; OPTIMIZATION; QUALITY; SUBJECT</t>
  </si>
  <si>
    <t>This study develops an integrated model of statistical process monitoring and maintenance policy (MP) for a twostage cascade process, involving two machines in series where the output of one stage affects the next stage. Instead of a single assignable cause (AC) affecting the quality characteristic, this production process experiences multiple ACs to more precisely simulate real conditions. Traditional and Hotelling's T2 charts cannot detect the specific stage in which a shift occurs; therefore, this study employs a Cause-selecting control chart. The possibility of equipment failure and system stoppage are considered, with the process failure mechanism following a Weibull distribution. Depending on the conditions affecting the process or equipment, four MPs are considered to acheive the system's initial condition, resulting in sixteen defined scenarios. The goal is to determine decision variables by minimizing a cost function subject to some statistical measures. This economic-statistical design can improve statistical and/or economic measures. However, it creates a more complex problem. Due to this complexity, a particle swarm optimization algorithm is used for optimization. The proposed model is implemented for a system that produces cotton yarn, with fiber length and skein strength are as the outputs of the first and second stages, respectively. Comparisons with two models validate the proposed model's performance in cost reduction. A sensitivity analysis is performed for further investigations. The results indicate significant cost savings of the proposed model.</t>
  </si>
  <si>
    <t>[Salmasnia, Ali; Googoonani, Samira] Univ Qom, Fac Engn, Dept Ind Engn, Qom, Iran; [Kia, Reza] Sultan Qaboos Univ, Coll Econ &amp; Polit Sci, Dept Operat Management &amp; Business Stat, Muscat, Oman; [Jafarian-Namin, Samrad] Univ Mohaghegh Ardabili, Fac Adv Technol, Dept Engn Sci, Namin, Iran; [Salmasnia, Ali] Univ Qom, Fac Technol &amp; Engn, Dept Ind Engn, Qom, Iran</t>
  </si>
  <si>
    <t>University of Qom; Sultan Qaboos University; University of Mohaghegh Ardabili; University of Qom</t>
  </si>
  <si>
    <t>Salmasnia, A (corresponding author), Univ Qom, Fac Technol &amp; Engn, Dept Ind Engn, Qom, Iran.</t>
  </si>
  <si>
    <t>a.salmasnia@qom.ac.ir; r.kia@squ.edu.om; s.googoonani@stu.qom.ac.ir; samrad.jafarian@stu.yazd.ac.ir</t>
  </si>
  <si>
    <t>kia, reza/KEE-9418-2024; Jafarian-Namin, Samrad/CAA-8736-2022</t>
  </si>
  <si>
    <t>Jafarian-Namin, Samrad/0000-0002-9275-2837; kia, reza/0000-0001-7642-4457</t>
  </si>
  <si>
    <t>10.1016/j.cie.2024.110433</t>
  </si>
  <si>
    <t>D4F6Q</t>
  </si>
  <si>
    <t>WOS:001295761700001</t>
  </si>
  <si>
    <t>Setiawan, R</t>
  </si>
  <si>
    <t>Setiawan, Roy</t>
  </si>
  <si>
    <t>Mathematical Model Developed Using Meta-Initiative Optimization Algorithm for Production and Labor Planning</t>
  </si>
  <si>
    <t>Production Planning; Maintenance; labor scheduling; Mathematical Model; Ant Colony Optimization Algorithm</t>
  </si>
  <si>
    <t>PREVENTIVE MAINTENANCE; INTEGRATED PRODUCTION; UNCERTAIN DEMAND; JOINT PRODUCTION</t>
  </si>
  <si>
    <t>In today's competitive environment, production efficiency is a very important and key issue in success in the market. However, all decisions of the production unit are interdependent and it is necessary to use an integrated form which leads to finding a better approach for the management. Accordingly, in this research, the integration of three important fields in manufacturing companies has been addressed. These fields include production planning, maintenance, and labor scheduling. In this regard, a novel mathematical model with the aim of optimal use of labor and increasing production volume is presented. In this model of workers' experience, machine utilization rate and machine failure rate are expressed using fuzzy numbers. To optimize this model, the ant colony optimization algorithm has been used. Numerical results obtained from the implementation of the mathematical model and solution method show that the used algorithm can provide solutions with the least possible error in a reasonable time. Moreover, the sensitivity analysis shows that the failure rate of the machine before and after maintenance has a great impact on the objective function of the mathematical model.</t>
  </si>
  <si>
    <t>[Setiawan, Roy] Univ Kristen Petra, Dept Management, Surabaya, Indonesia</t>
  </si>
  <si>
    <t>Universitas Kristen Petra</t>
  </si>
  <si>
    <t>Setiawan, R (corresponding author), Univ Kristen Petra, Dept Management, Surabaya, Indonesia.</t>
  </si>
  <si>
    <t>roy@petra.ac.id</t>
  </si>
  <si>
    <t>Setiawan, Roy/ADU-9123-2022</t>
  </si>
  <si>
    <t>10.7232/iems.2021.20.2.192</t>
  </si>
  <si>
    <t>TE7TU</t>
  </si>
  <si>
    <t>WOS:000670211400011</t>
  </si>
  <si>
    <t>Nguyen, H; Abdel-Mottaleb, N; Uddin, S; Zhang, Q; Lu, Q; Zhang, H; Li, MY</t>
  </si>
  <si>
    <t>Nguyen, Hung; Abdel-Mottaleb, Noha; Uddin, Shihab; Zhang, Qiong; Lu, Qing; Zhang, He; Li, Mingyang</t>
  </si>
  <si>
    <t>Joint maintenance planning of deteriorating co-located road and water infrastructures with interdependencies</t>
  </si>
  <si>
    <t>Co-locatedroadandpipe; Jointmaintenance; Costsaving; Interdependentinfrastructures; Aginginfrastructures</t>
  </si>
  <si>
    <t>MODELS; OPTIMIZATION; SYSTEM; IMPACT; PIPE</t>
  </si>
  <si>
    <t>Due to co-location and spatial proximity, deteriorating water infrastructure (WI) and transportation infras-tructure (TI) have complex interdependencies, including both physical dependency from road to pipe, and operational dependency from pipe to road. On one hand, traffic load is not only a dominant factor for the physical degradation of road but may also be an important contributing factor to the sudden failure of the pipe underneath the co-located road due to the extreme propagated stress. On the other hand, the water pipe breaks and repairs will also cause traffic blockage, lane closure, and repaving of road surface, which influence both road user costs and road maintenance costs. Most of the existing maintenance work mainly considered WI and TI separately but neglected their complex interdependencies. This study proposes a joint proactive maintenance planning framework for the co-located road and pipe under their degradation uncertainties by explicitly taking into account both their physical and operational dependencies. In particular, the competing failure modes of both the traffic-induced sudden failure and the corrosion-induced gradual failure are simultaneously considered for the pipe to capture the physical dependency. Road maintenance costs and road user costs in the presence of pipe maintenance disruption are also formulated for the road to capture the operational dependency. A case study is further provided to comprehensively evaluate the performance of the proposed joint maintenance planning strategy over several existing benchmark strategies and demonstrate the cost-saving benefit of the proposed work. The impacts of interdependencies on the proposed maintenance planning decisions are also thoroughly investigated.</t>
  </si>
  <si>
    <t>[Nguyen, Hung; Li, Mingyang] Univ S Florida, Dept Ind &amp; Management Syst Engn, 4202 E Fowler Ave, Tampa, FL 33620 USA; [Abdel-Mottaleb, Noha; Uddin, Shihab; Zhang, Qiong; Lu, Qing] Univ S Florida, Dept Civil &amp; Environm Engn, 4202 E Fowler Ave, Tampa, FL 33620 USA; [Zhang, He] Univ S Florida, Dept Informat Syst Decis Sci, 4202 E Fowler Ave, Tampa, FL 33620 USA</t>
  </si>
  <si>
    <t>State University System of Florida; University of South Florida; State University System of Florida; University of South Florida; State University System of Florida; University of South Florida</t>
  </si>
  <si>
    <t>Li, MY (corresponding author), Univ S Florida, Dept Ind &amp; Management Syst Engn, 4202 E Fowler Ave, Tampa, FL 33620 USA.</t>
  </si>
  <si>
    <t>mingyangli@usf.edu</t>
  </si>
  <si>
    <t>lu, qing/HKM-8308-2023; Zhang, Qiong/KHE-2175-2024</t>
  </si>
  <si>
    <t>Nguyen, Hung/0000-0001-7046-4431; UDDIN, SHIHAB/0000-0001-5464-570X</t>
  </si>
  <si>
    <t>National Science Foundation [BCS-1638301]; U.S. Department of Transportation [69A3551747119]</t>
  </si>
  <si>
    <t>National Science Foundation(National Science Foundation (NSF)); U.S. Department of Transportation</t>
  </si>
  <si>
    <t>The authors gratefully acknowledge valuable comments of journal editors and anonymous reviewers to improve the quality and readability of the paper. This work was supported in part by National Science Foundation under Grant No. BCS-1638301, and U.S. Department of Transportation under Grant CTECH No. 69A3551747119.</t>
  </si>
  <si>
    <t>10.1016/j.ress.2022.108678</t>
  </si>
  <si>
    <t>3D1AI</t>
  </si>
  <si>
    <t>WOS:000829043000003</t>
  </si>
  <si>
    <t>Maletic, D; de Almeida, NM; Gomiscek, B; Maletic, M</t>
  </si>
  <si>
    <t>Maletic, Damjan; Marques de Almeida, Nuno; Gomiscek, Bostjan; Maletic, Matjaz</t>
  </si>
  <si>
    <t>Understanding motives for and barriers to implementing asset management system: an empirical study for engineered physical assets</t>
  </si>
  <si>
    <t>Asset management system; physical asset management; motives; barriers; ISO 55001; PLS-PM</t>
  </si>
  <si>
    <t>9001 CERTIFICATION RESEARCH; RESOURCE-BASED VIEW; RISK-MANAGEMENT; PERFORMANCE; MAINTENANCE; FRAMEWORK; BENEFITS; OPERATIONS; DRIVERS; COSTS</t>
  </si>
  <si>
    <t>This study contributes to the literature by exploring, from a multidisciplinary viewpoint, the emerging discipline of asset management, and by providing a better understanding of the motives for and barriers to asset-intensive organisations' adoption of asset management systems (AMS). To this end, the authors conceptualise and explore the core themes of AMS, and link this novel body of knowledge to organisational motives for and barriers to the formal introduction of AMS. The study collects and analyses empirical data from 93 middle/senior managers in Slovenian organisations dealing with engineered assets. The results, obtained by applying partial least squares path modelling, show that internal motives, such as better control of operational processes and continuous improvement, are the main drivers of the introduction of AMS. The potential increase in documentation and bureaucracy, and lack of resources, were identified as the main barriers to AMS implementation. By assessing the factors that facilitate and inhibit formal AMS implementation, the study provides important insights into developing strategies to promote the novel and important discipline of asset management.</t>
  </si>
  <si>
    <t>[Maletic, Damjan; Maletic, Matjaz] Univ Maribor, Fac Org Sci, Kidriceva 55a, Kranj 4000, Slovenia; [Marques de Almeida, Nuno] Univ Lisbon, Inst Super Tecn, Lisbon, Portugal; [Gomiscek, Bostjan] Hamdan Bin Mohammed Smart Univ, Sch Business &amp; Qual Management, Dubai, U Arab Emirates</t>
  </si>
  <si>
    <t>University of Maribor; Universidade de Lisboa</t>
  </si>
  <si>
    <t>Maletic, D (corresponding author), Univ Maribor, Fac Org Sci, Kidriceva 55a, Kranj 4000, Slovenia.</t>
  </si>
  <si>
    <t>damjan.maletic@um.si</t>
  </si>
  <si>
    <t>Gomiscek, Bostjan/HTR-1718-2023; Almeida, Nuno/B-5243-2016</t>
  </si>
  <si>
    <t>Gomiscek, Bostjan/0000-0002-2810-3971; Almeida, Nuno/0000-0001-7024-2679</t>
  </si>
  <si>
    <t>Slovenian Research Agency [P5-0018]</t>
  </si>
  <si>
    <t>Slovenian Research Agency(Slovenian Research Agency - Slovenia)</t>
  </si>
  <si>
    <t>H This research was supported by the Slovenian Research Agency; Program [No. P5-0018-Decision Support Systems in Digital Business].</t>
  </si>
  <si>
    <t>NOV 18</t>
  </si>
  <si>
    <t>10.1080/09537287.2022.2026672</t>
  </si>
  <si>
    <t>U6IR6</t>
  </si>
  <si>
    <t>WOS:000750738700001</t>
  </si>
  <si>
    <t>Ruan, YP; Luo, XG; Ding, XH; Dai, AS</t>
  </si>
  <si>
    <t>Ruan, Yuanpeng; Luo, Xinggang; Ding, Xianghai; Dai, Anshu</t>
  </si>
  <si>
    <t>Non-periodic preventive maintenance policies for complex multi-component products sold with loss-based two-dimensional warranties</t>
  </si>
  <si>
    <t>Non-periodic preventive maintenance; Two-dimensional warranty; Warranty cost; Shutdown loss cost; Complex multi-component product</t>
  </si>
  <si>
    <t>2-COMPONENT SYSTEM; COST-ANALYSIS; RELIABILITY; OPTIMIZATION</t>
  </si>
  <si>
    <t>Multi-component characteristics of complex industrial equipment, such as complex structures and stochastic dependencies, complicate analyzing the failure characteristics of such products and developing effective strategies to reduce warranty costs. In addition, a substantial customer loss or service interruption owing to the shutdown of these products forces manufacturers to formulate warranty contracts while considering customer loss. From the manufacturer's perspective, with the aim of reducing the warranty costs while restraining the costs of customer loss, we propose the following two novel types of non-periodic imperfect preventive maintenance (PM) policies: unified and customized. The proposed PM policies simultaneously take into account the effects of customer usage rate heterogeneity and product deterioration on product failure. We characterize the failure relationship between the product and corresponding components based on the reliability block diagram and the Type I failure dependency model, and further construct the decision models for the proposed PM policies. The properties of the decision models are provided for certain special cases and are further used to design an algorithm for a general case. A comparison of the results of the numerical examples reveals the following: (1) Providing PM policies is beneficial for both the warranty providers and customers. The proposed PM policies are better than traditional periodic PM policies when shutdown loss costs are considered. (2) The stochastic dependencies will increase the costs of both the warranty and shutdown loss. It is necessary to take into account the stochastic dependencies of multi-component products when analyzing the warranty costs and formulating relevant decisions. (3) Beyond formulating effective PM policies, the manufacturer can mitigate the warranty cost pressure by adjusting the warranty coverage based on market information, or improving product reliability.</t>
  </si>
  <si>
    <t>[Ruan, Yuanpeng; Luo, Xinggang; Ding, Xianghai] Hangzhou Dianzi Univ, Expt Ctr Data Sci &amp; Intelligent Decis, Hangzhou 310018, Peoples R China; [Dai, Anshu] Tianjin Univ Finance &amp; Econ, Coinnovat Ctr Computable Modeling Management Sci, Tianjin 300222, Peoples R China</t>
  </si>
  <si>
    <t>Hangzhou Dianzi University; Tianjin University of Finance &amp; Economics</t>
  </si>
  <si>
    <t>Major Humanities and Social Sciences Research Projects in Zhejiang higher education institutions [LY22G010009, LZ20G010001]; Humanities and Social Sciences Project of the Ministry of Education of China [2023QN003]; [21YJA630064]</t>
  </si>
  <si>
    <t>Major Humanities and Social Sciences Research Projects in Zhejiang higher education institutions; Humanities and Social Sciences Project of the Ministry of Education of China;</t>
  </si>
  <si>
    <t>This work was supported in part by the National Natural Science Foundation of China under Grant 71801064, 71831006, 71771070, 71802145 and in part by the Natural Science Foundation of Zhejiang Province under Grant LY22G010009 and LZ20G010001, and in part by the Major Humanities and Social Sciences Research Projects in Zhejiang higher education institutions under Grant 2023QN003, and in part by the Humanities and Social Sciences Project of the Ministry of Education of China under Grant 21YJA630064.r Province under Grant LY22G010009 and LZ20G010001, and in part by the Major Humanities and Social Sciences Research Projects in Zhejiang higher education institutions under Grant 2023QN003, and in part by the Humanities and Social Sciences Project of the Ministry of Education of China under Grant 21YJA630064.</t>
  </si>
  <si>
    <t>10.1016/j.cie.2023.109626</t>
  </si>
  <si>
    <t>X2FP3</t>
  </si>
  <si>
    <t>WOS:001096667500001</t>
  </si>
  <si>
    <t>Sein, S; Matos, JC; Idnurm, J; Kiisa, M; Coelho, M</t>
  </si>
  <si>
    <t>Sein, Sander; Matos, Jose Campos; Idnurm, Juhan; Kiisa, Martti; Coelho, Mario</t>
  </si>
  <si>
    <t>RC bridge management optimisation considering condition assessment uncertainties</t>
  </si>
  <si>
    <t>PROCEEDINGS OF THE ESTONIAN ACADEMY OF SCIENCES</t>
  </si>
  <si>
    <t>bridge management; condition assessment; non-destructive testing; visual inspections; optimisation</t>
  </si>
  <si>
    <t>ORIENTED MULTIOBJECTIVE OPTIMIZATION; INSPECTION; MAINTENANCE; CONCRETE; COST; LIFE</t>
  </si>
  <si>
    <t>Decision-making in bridge management has changed considerably in the past two decades and owners are additionally considering what types of interventions to implement, but correct decisions still need certain input. In Estonia, like in many countries, bridge management is based on inventory records and condition information. The main emphasis of this investigation is on improving the regular condition assessment. More accurate non-destructive testing methods and optimised inspection scheduling are proposed, to reduce condition assessment uncertainties. A conversion matrix for translating additional assessment results to the rating scale of the current Estonian Transport Administration management system is introduced and uncertainties in the condition state are analysed probabilistically. In addition, stochastic degradation models based on existing information are investigated to help considering uncertainties as a part of the overall management process. What impact the adopting of quantitative assessment, rather than qualitative visual inspection, may have on the suggested interventions schedule is also analysed. The probabilistic characteristics of the condition profiles of the most common bridge elements are computed using Markov Chain Monte Carlo stochastic simulation. The optimisation of inspection scheduling is performed considering the uncertainty of the initial deterioration model. When a threshold value, defined by the owner, is reached, the model is updated with assessment data to maintain the level of uncertainty below that threshold. The results confirm that deviations in the degradation model and assessment results influence the bridge condition uncertainty. Likewise, times of both inspection and intervention are influenced, which will ultimately impact the overall management reliability and costs.</t>
  </si>
  <si>
    <t>[Sein, Sander; Idnurm, Juhan] Tallinn Univ Technol, Dept Civil Engn &amp; Architecture, Ehitajate Tee 5, EE-19086 Tallinn, Estonia; [Matos, Jose Campos; Coelho, Mario] Minho Univ, Inst Sustainabil &amp; Innovat Struct Engn, Campus Azurem, P-4800058 Guimaraes, Portugal; [Kiisa, Martti] Tallinn Univ Appl Sci, Inst Civil Engn, Parnu Mnt 62, EE-10135 Tallinn, Estonia</t>
  </si>
  <si>
    <t>Tallinn University of Technology; Universidade do Minho; Universidade de Coimbra; Tallinn University</t>
  </si>
  <si>
    <t>Sein, S (corresponding author), Tallinn Univ Technol, Dept Civil Engn &amp; Architecture, Ehitajate Tee 5, EE-19086 Tallinn, Estonia.</t>
  </si>
  <si>
    <t>sander.sein@taltech.ee</t>
  </si>
  <si>
    <t>Matos, José/F-1917-2015; Coelho, Mario/ABA-8563-2021</t>
  </si>
  <si>
    <t>Coelho, Mario/0000-0002-6356-6963</t>
  </si>
  <si>
    <t>Eurostruct</t>
  </si>
  <si>
    <t>The authors acknowledge the support of Eurostruct endorsed by the EU Framework Program Horizon 2020, the Archimedes Foundation and Professor Karl Oiger Scholarship Foundation. The publication costs of this article were covered by the Estonian Academy of Sciences.</t>
  </si>
  <si>
    <t>ESTONIAN ACAD PUBLISHERS</t>
  </si>
  <si>
    <t>TALLINN</t>
  </si>
  <si>
    <t>6 KOHTU, TALLINN 10130, ESTONIA</t>
  </si>
  <si>
    <t>1736-6046</t>
  </si>
  <si>
    <t>1736-7530</t>
  </si>
  <si>
    <t>P EST ACAD SCI</t>
  </si>
  <si>
    <t>P. Est. Acad. Sci.</t>
  </si>
  <si>
    <t>10.3176/proc.2021.2.07</t>
  </si>
  <si>
    <t>TB8FB</t>
  </si>
  <si>
    <t>WOS:000668180800005</t>
  </si>
  <si>
    <t>Safaei, F; Taghipour, S</t>
  </si>
  <si>
    <t>Safaei, Fatemeh; Taghipour, Sharareh</t>
  </si>
  <si>
    <t>Reliability and maintainability estimation of a multi-failure-cause system under imperfect maintenance</t>
  </si>
  <si>
    <t>imperfect repair; Kijima model; maintainability; multi-failure-cause system; reliability; RUL estimation</t>
  </si>
  <si>
    <t>NATURAL-GAS TRANSMISSION; PREVENTIVE MAINTENANCE; REPAIRABLE SYSTEMS; PROBABILITY; MANAGEMENT</t>
  </si>
  <si>
    <t>Estimating the reliability and maintainability (R &amp; M) parameters is crucial in various industrial applications. It serves purposes such as evaluating system performance and safety, minimising the risk and cost of potential failures, and designing efficient maintenance strategies. This task becomes challenging for complex repairable systems, where failures can occur due to different causes and performance may be affected by various covariates (such as material, environment, and labour). Another challenge in R &amp; M studies arises from the presence of censorship in failure times. Existing methodologies often fail to account for all the aforementioned aspects of system-related data in R &amp; M analysis. By incorporating valuable information from covariates and utilising data from censored failure times alongside complete failure data, the accuracy of R &amp; M parameter estimation can be significantly improved. This paper develops reliability models for repairable systems with multiple failure causes in the presence of covariates. The system can also be subject to imperfect maintenance. The R &amp; M parameters are then estimated by applying the Kijima Type I and II model's virtual age concept. The proposed technique is illustrated using two case studies on gas pipelines and aero-engine systems. Through these case studies, we show that the proposed method not only provides more efficient estimates of the R &amp; M parameters compared to the alternative approach, but it is also easier to apply and yields more straightforward interpretations.</t>
  </si>
  <si>
    <t>[Safaei, Fatemeh; Taghipour, Sharareh] Toronto Metropolitan Univ, Dept Mech Ind &amp; Mechatron Engn, Toronto, ON, Canada</t>
  </si>
  <si>
    <t>Taghipour, S (corresponding author), Toronto Metropolitan Univ, Dept Mech Ind &amp; Mechatron Engn, Toronto, ON, Canada.</t>
  </si>
  <si>
    <t>sharareh@torontomu.ca</t>
  </si>
  <si>
    <t>Safaei, Fatemeh/ACQ-7193-2022</t>
  </si>
  <si>
    <t>Safaei, Fatemeh/0000-0002-9271-8938; Taghipour, Sharareh/0000-0003-3816-2462</t>
  </si>
  <si>
    <t>Canada Research Chairs Program (CRC)</t>
  </si>
  <si>
    <t>Canada Research Chairs Program (CRC)(Canada Research ChairsAustralian GovernmentDepartment of Industry, Innovation and ScienceCooperative Research Centres (CRC) Programme)</t>
  </si>
  <si>
    <t>The authors would like to thank the Editor, Associate Editor, and three anonymous reviewers for their useful comments and suggestions on the previous versions. The funding for this research was provided by Canada Research Chairs Program (CRC).</t>
  </si>
  <si>
    <t>10.1002/qre.3595</t>
  </si>
  <si>
    <t>K2E0E</t>
  </si>
  <si>
    <t>WOS:001235265500001</t>
  </si>
  <si>
    <t>Gandy, CA; Armanios, DE; Samaras, C</t>
  </si>
  <si>
    <t>Gandy, Cari Anne; Armanios, Daniel Erian; Samaras, Constantine</t>
  </si>
  <si>
    <t>Social Equity of Bridge Management</t>
  </si>
  <si>
    <t>ACCESSIBILITY</t>
  </si>
  <si>
    <t>Data-driven social equity assessments of infrastructure performance are essential for reducing inequity and for institutionalizing community stakeholder considerations in infrastructure asset management programs. We expand upon literature at the intersection of engineering management and social impact, which has focused on the engineering workforce or the stakeholders of individual projects, to inform equity assessments of overarching programs and their outcomes. We conducted a social equity assessment of the National Bridge Inventory (NBI) component condition ratings by comparing the contribution of established bridge deterioration modeling variables to community demographics surrounding the bridge. To do this, we extend existing ordered probit regression modeling approaches of bridge component condition ratings to a national dataset that spatially matches NBI bridge coordinate data to US Census Bureau tracts to append indicators for income, race, ethnicity, and disadvantaged communities. We found that bridges located in lower-income tracts, tracts identified as disadvantaged communities by the Climate and Economic Screening Tool (CEJST), and tracts with a majority of Black or African American individuals are more likely to be in poor condition. At least on an associative basis, we find that bridge condition is not equitably distributed across communities in the United States, even when controlling for differences in deterioration due to age, traffic type, traffic volume, bridge materials, waterways, and climate. This study suggests that racial equity should be an added component (beyond economic measures of inequity) that informs bridge maintenance program funding and project prioritization to ensure greater equity in our bridge system.</t>
  </si>
  <si>
    <t>[Gandy, Cari Anne] Carnegie Mellon Univ, Dept Engn &amp; Publ Policy &amp; Civil &amp; Environm Engn, 5000 Forbes Ave, Pittsburgh, PA 15213 USA; [Armanios, Daniel Erian] Univ Oxford, Said Business Sch, Major Programme Management, Park End St, Oxford OX1 1HP, England; [Samaras, Constantine] Carnegie Mellon Univ, Dept Civil &amp; Environm Engn, 5000 Forbes Ave, Pittsburgh, PA 15213 USA</t>
  </si>
  <si>
    <t>Carnegie Mellon University; University of Oxford; Carnegie Mellon University</t>
  </si>
  <si>
    <t>Gandy, CA (corresponding author), Carnegie Mellon Univ, Dept Engn &amp; Publ Policy &amp; Civil &amp; Environm Engn, 5000 Forbes Ave, Pittsburgh, PA 15213 USA.</t>
  </si>
  <si>
    <t>cgandy@andrew.cmu.edu; daniel.armanios@sbs.ox.ac.uk; csamaras@cmu.edu</t>
  </si>
  <si>
    <t>Armanios, Daniel/KGL-4323-2024</t>
  </si>
  <si>
    <t>Gandy, Cari/0000-0003-2758-9081; Samaras, Constantine/0000-0002-8803-2845; Armanios, Daniel/0000-0001-7100-2861</t>
  </si>
  <si>
    <t>10.1061/JMENEA.MEENG-5265</t>
  </si>
  <si>
    <t>M5BO4</t>
  </si>
  <si>
    <t>WOS:001030367700010</t>
  </si>
  <si>
    <t>Amran, ME; Aziz, SA; Muhtazaruddin, MN; Masrom, M; Haron, HN; Bani, NA; Izhar, MAM; Usman, S; Sarip, S; Najamudin, SS; Zamzam, AH; Kamil, ASA; Azilah, NF; Muhammad-Sukki, F</t>
  </si>
  <si>
    <t>Amran, Mohd Effendi; Aziz, Sa'ardin Abdul; Muhtazaruddin, Mohd Nabil; Masrom, Maslin; Haron, Habibah Norehan; Bani, Nurul Aini; Izhar, Mohd Azri Mohd; Usman, Sahnius; Sarip, Shamsul; Najamudin, Siti Sara; Zamzam, Aizat Hilmi; Kamil, Ahmad Safwan Ahmad; Azilah, Nurul Farhana; Muhammad-Sukki, Firdaus</t>
  </si>
  <si>
    <t>Critical assessment of medical devices on reliability, replacement prioritization and maintenance strategy criterion: Case study of Malaysian hospitals</t>
  </si>
  <si>
    <t>analytical hierarchy process (AHP); asset criticality assessment (ACA); fuzzy logic; quality function deployment (QFD)</t>
  </si>
  <si>
    <t>EQUIPMENT MAINTENANCE; MANAGEMENT; FRAMEWORK; SELECTION</t>
  </si>
  <si>
    <t>The Biomedical Engineering Maintenance Services (BEMS) is a comprehensive maintenance program that ensures the safety and reliability of medical devices. Significant and crucial devices are identified and prioritized for best practice prior to the equipment life cycle to mitigate functional problems, alarmed by the Fourth Industrial Revolution (4IR) underlying the modernization agenda. A model of multi-criteria decision-making (MCDM) to prioritize medical devices according to their criticality is presented in this paper, with the utilization of quality function deployment (QFD) and fuzzy logic in the development of the model through a quantitative survey of experts from all regions in Malaysia. As a result, a customized version of the Asset Criticality Assessment (ACA) is developed and is recommended for use in more than 144 Ministry of Health (MOH) hospitals. Subsequently, real data of four selected devices are pulled from the Asset and Services Information System (ASIS) to demonstrate a relevant and comparable end-result using the QFD and fuzzy logic. In essence, the key contribution of the customized ACA model is that it assesses a promising evaluation with a broader range on both the performance of medical devices and the appropriate asset replacement choices. This leads to an effective maintenance strategy for each device and the modernization of reliability computation metrics.</t>
  </si>
  <si>
    <t>[Amran, Mohd Effendi; Najamudin, Siti Sara; Zamzam, Aizat Hilmi; Kamil, Ahmad Safwan Ahmad; Azilah, Nurul Farhana] Minist Hlth Malaysia, Engn Serv Div, Putrajaya, Malaysia; [Aziz, Sa'ardin Abdul; Muhtazaruddin, Mohd Nabil; Masrom, Maslin; Haron, Habibah Norehan; Bani, Nurul Aini; Izhar, Mohd Azri Mohd; Usman, Sahnius; Sarip, Shamsul] Univ Teknol Malaysia, Razak Fac Technol &amp; Informat, Kuala Lumpur, Malaysia; [Muhammad-Sukki, Firdaus] Edinburgh Napier Univ, Sch Comp Engn &amp; Built Environm, Merchiston Campus, Edinburgh, Scotland; [Amran, Mohd Effendi] Minist Hlth Malaysia, Engn Serv Div, Putrajaya 62590, Malaysia; [Muhammad-Sukki, Firdaus] Edinburgh Napier Univ, Sch Comp Engn &amp; Built Environm, Merchiston Campus,10Colinton Rd, Edinburgh EH10 5DT, Scotland</t>
  </si>
  <si>
    <t>Kementerian Kesihatan Malaysia; Universiti Teknologi Malaysia; Edinburgh Napier University; Kementerian Kesihatan Malaysia; Edinburgh Napier University</t>
  </si>
  <si>
    <t>Aziz, SA (corresponding author), Univ Teknol Malaysia, Razak Fac Technol &amp; Informat, Kuala Lumpur, Malaysia.;Amran, ME (corresponding author), Minist Hlth Malaysia, Engn Serv Div, Putrajaya 62590, Malaysia.;Muhammad-Sukki, F (corresponding author), Edinburgh Napier Univ, Sch Comp Engn &amp; Built Environm, Merchiston Campus,10Colinton Rd, Edinburgh EH10 5DT, Scotland.</t>
  </si>
  <si>
    <t>meffendi.amran@gmail.com; saa.kl@utm.my; f.muhammadsukki@napier.ac.uk</t>
  </si>
  <si>
    <t>BANI, NURUL/AGQ-3057-2022; Haron, Habibah/K-8363-2012; amran/AAM-7742-2021; Sarip, Shamsul/AAR-4046-2021; Sukki, Firdaus/I-7442-2012; ZAMZAM, AIZAT HILMI/GNW-5107-2022; Bin Muhtazaruddin, Mohd/AAO-6989-2020; Mohd Izhar, Mohd Azri/D-1542-2014</t>
  </si>
  <si>
    <t>Muhtazaruddin, Mohd Nabil Bin/0000-0002-3240-5550; BANI, NURUL AINI/0000-0003-2226-9839; Masrom, Maslin/0000-0003-2405-1673; Mohd Izhar, Mohd Azri/0000-0003-3761-0630</t>
  </si>
  <si>
    <t>The authors would like to thank the Director General of Health Malaysia for the permission to publish this paper. Appreciation is given to the Ministry of Health and Universiti Teknologi Malaysia under the Contract Research DTD, R.K130000.7617.4C568 grants [R.K130000.7617.4C568]; Universiti Teknologi Malaysia</t>
  </si>
  <si>
    <t>The authors would like to thank the Director General of Health Malaysia for the permission to publish this paper. Appreciation is given to the Ministry of Health and Universiti Teknologi Malaysia under the Contract Research DTD, R.K130000.7617.4C568 grants; Universiti Teknologi Malaysia</t>
  </si>
  <si>
    <t>The authors would like to thank the Director General of Health Malaysia for the permission to publish this paper. Appreciation is given to the Ministry of Health and Universiti Teknologi Malaysia under the Contract Research DTD, R.K130000.7617.4C568 grants for the financial support provided throughout this research project.</t>
  </si>
  <si>
    <t>10.1002/qre.3447</t>
  </si>
  <si>
    <t>HI3U5</t>
  </si>
  <si>
    <t>WOS:001077510900001</t>
  </si>
  <si>
    <t>Singh, VP; Ganguly, KK; Hussain, SMF</t>
  </si>
  <si>
    <t>Singh, Vipin Prakash; Ganguly, Kunal K.; Hussain, Syed Mohammed Fazal</t>
  </si>
  <si>
    <t>Understanding no fault found event risk in military aircraft MRO planning: A step towards robust bidding and contract finalization</t>
  </si>
  <si>
    <t>Maintenance; Repair and overhaul; No fault found; Risk management; Agent-based modeling</t>
  </si>
  <si>
    <t>MAINTENANCE; OPERATIONS; REGENERATION; LOGISTICS</t>
  </si>
  <si>
    <t>No fault found (NFF) is a reported fault for which the root cause cannot be found. An NFF event not only reduces the availability of the equipment to customers but also results in financial losses to the manufacturer. To date, risk due to NFF events is not considered separately in aircraft Maintenance, Repair, and Overhaul (MRO) planning. In this paper, we have studied the NFF event risk identification, distribution, and optimization in an aircraft MRO process based on data collected over three decades of aircraft maintenance. For framework development and formulating the critical NFF risk drivers, this paper applies soft system methodology with detailed semi-structured interviews of industry experts. For NFF risk distribution and optimization, we have used agent-based simulation modeling. The quantitative assessment of more than 5000 NFF cases in an aircraft MRO organization shows that NFF events are significantly non-deterministic during the life cycle of an aircraft. The three identified critical NFF risk drivers in the research are the MRO process stage, aircraft life cycle stage, and human working skills. The MRO process stage is the time of the NFF event during repair activity. The life cycle stage represents the timeline of the NFF event in useful aircraft life. Human working skill represents the role of manpower in the NFF event solution. Further theoretical elaborations of the research lead to the optimized NFF risk break-up at the contract preparation stage and risk driver's sensitivity analysis by the aircraft assembler, operator, and sub-contractor at the commercial bid submission stage.</t>
  </si>
  <si>
    <t>[Singh, Vipin Prakash; Ganguly, Kunal K.] Indian Inst Management Kashipur, Operat Management &amp; Decis Sci, Kashipur 244713, Uttarakhand, India; [Hussain, Syed Mohammed Fazal] Hindustan Aeronaut Ltd, Bangalore, India</t>
  </si>
  <si>
    <t>Indian Institute of Management (IIM System); Indian Institute of Management Kashipur; Hindustan Aeronautics Limited</t>
  </si>
  <si>
    <t>Singh, VP (corresponding author), Indian Inst Management Kashipur, Operat Management &amp; Decis Sci, Kashipur 244713, Uttarakhand, India.</t>
  </si>
  <si>
    <t>vipin.efpm1716@iimkashipur.ac.in; kunal.ganguly@iimkashipur.ac.in; fazal.h17@gmail.com</t>
  </si>
  <si>
    <t>Ganguly, Kunal/AAH-5493-2020</t>
  </si>
  <si>
    <t>10.1016/j.ijpe.2024.109344</t>
  </si>
  <si>
    <t>ZZ8M3</t>
  </si>
  <si>
    <t>WOS:001279198900001</t>
  </si>
  <si>
    <t>Xia, TB; Xi, LF</t>
  </si>
  <si>
    <t>Xia, Tangbin; Xi, Lifeng</t>
  </si>
  <si>
    <t>Manufacturing paradigm-oriented PHM methodologies for cyber-physical systems</t>
  </si>
  <si>
    <t>Maintenance; Dynamic programming; Manufacturing paradigms; Cyber-physical system</t>
  </si>
  <si>
    <t>CONDITION-BASED MAINTENANCE; SERIES SYSTEM; DESIGN</t>
  </si>
  <si>
    <t>In today's competitive environment of Industry 4.0, cyber-physical systems (CPS) of various advanced manufacturing paradigms have brought new challenges to maintenance managements. Efficient prognostics and health management (PHM) policies, which can integrate both individual machine deteriorations and different manufacturing paradigms, are urgently needed. Newly proposed PHM methodologies are systematically reviewed in this paper: as the decision basis, an operating load based forecasting algorithm is proposed for machine health prognosis; at the machine level, a dynamic multi-attribute maintenance model is studied for diverse machines in CPS; at the system level, novel opportunistic maintenance policies are developed for complex flow-line production, mass customization and reconfigurable manufacturing systems, respectively. This framework of PHM methodologies has been validated in industrial implementations.</t>
  </si>
  <si>
    <t>[Xia, Tangbin; Xi, Lifeng] Shanghai Jiao Tong Univ, State Key Lab Mech Syst &amp; Vibrat, Dept Ind Engn, Sch Mech Engn, Shanghai 200240, Peoples R China</t>
  </si>
  <si>
    <t>Xi, LF (corresponding author), Shanghai Jiao Tong Univ, State Key Lab Mech Syst &amp; Vibrat, Dept Ind Engn, Sch Mech Engn, Shanghai 200240, Peoples R China.</t>
  </si>
  <si>
    <t>National Natural Science Foundation of China [51505288, 51535007]; Programme of Introducing Talents of Discipline to Universities [B06012]; Foundation for Innovative Research Groups of the National Natural Science Foundation of China [51421092]</t>
  </si>
  <si>
    <t>National Natural Science Foundation of China(National Natural Science Foundation of China (NSFC)); Programme of Introducing Talents of Discipline to Universities(Ministry of Education, China - 111 Project); Foundation for Innovative Research Groups of the National Natural Science Foundation of China(National Natural Science Foundation of China (NSFC))</t>
  </si>
  <si>
    <t>The research is funded partially by National Natural Science Foundation of China (51505288, 51535007), the Programme of Introducing Talents of Discipline to Universities (B06012) and Foundation for Innovative Research Groups of the National Natural Science Foundation of China (51421092).</t>
  </si>
  <si>
    <t>10.1007/s10845-017-1342-2</t>
  </si>
  <si>
    <t>HP9LH</t>
  </si>
  <si>
    <t>WOS:000462014200010</t>
  </si>
  <si>
    <t>Rastgar, I; Rezaeian, J; Mahdavi, I; Fattahi, P</t>
  </si>
  <si>
    <t>Rastgar, I.; Rezaeian, J.; Mahdavi, I.; Fattahi, P.</t>
  </si>
  <si>
    <t>A novel mathematical model for Integration of Production Planning and Maintenance Scheduling</t>
  </si>
  <si>
    <t>Production planning and scheduling; Hybrid flow-shop; Imperfect maintenance; IMOHS</t>
  </si>
  <si>
    <t>SHOP</t>
  </si>
  <si>
    <t>The integration of production and scheduling of a shop floor, which has recently received attention both in practice and theory, is critical to achieving the optimal operational perfor-mance of production planning. The main novelty of this paper is the integration of the stra-tegic decision with the tactical-operational decision to propose a new integrated production and scheduling mathematical model. In small instances, the model is solved by an epsilon -constraint method. To address the high complexity of large-scale problems, this study inno-vates new hybrid optimization algorithms. In this regard, MOPSO, NSGA-II, MOHS, and IMOHS are considered the optimization tools to solve the proposed model. To confirm their efficiency, an extensive comparison with individual algorithms is carried out by differ-ent multi-objective optimization metrics. Finally, some sensitivity analyses are performed to discuss some practical implications. The results show the advantages and effectiveness of the IMOHS in reporting the optimal Pareto for the proposed model compared to the other three algorithms.</t>
  </si>
  <si>
    <t>[Rastgar, I.; Rezaeian, J.; Mahdavi, I.] Mazandaran Univ Sci &amp; Technol, Dept Ind Engn, Babol, Iran; [Fattahi, P.] Alzahra Univ, Dept Ind Engn, Tehran, Iran</t>
  </si>
  <si>
    <t>Alzahra University</t>
  </si>
  <si>
    <t>Rezaeian, J (corresponding author), Mazandaran Univ Sci &amp; Technol, Dept Ind Engn, Babol, Iran.</t>
  </si>
  <si>
    <t>j.rezaiean@ustmb.ac.ir</t>
  </si>
  <si>
    <t>10.24867/IJIEM-2023-2-328</t>
  </si>
  <si>
    <t>I7SE1</t>
  </si>
  <si>
    <t>WOS:001004739700003</t>
  </si>
  <si>
    <t>Bismut, E; Straub, D</t>
  </si>
  <si>
    <t>Bismut, Elizabeth; Straub, Daniel</t>
  </si>
  <si>
    <t>Optimal adaptive inspection and maintenance planning for deteriorating structural systems</t>
  </si>
  <si>
    <t>Inspection; Planning; Optimization; Structural reliability; Fatigue</t>
  </si>
  <si>
    <t>MARKOV DECISION-PROCESSES; RELIABILITY-ANALYSIS; BAYES SOLUTION; RISK; FATIGUE; POLICIES; REPAIR; INFORMATION; MANAGEMENT; POINT</t>
  </si>
  <si>
    <t>Optimizing inspection and maintenance (I&amp;M) plans for a large deteriorating structure is a computationally challenging task, in particular if one considers interdependences among its components. This is due to the sheer number of possible decision alternatives over the lifetime of the structure and the uncertainty surrounding the deterioration processes, the structural performance and the outcomes of inspection and maintenance actions. To address this challenge, Luque and Straub (2019) proposed a heuristic approach in which I&amp;M plans for structural systems are defined through a set of simple decision rules. Here, we formalize the optimization of these decision rules and extend the approach to enable adaptive planning. The initially optimal I&amp;M plan is successively adapted throughout the service life, based on past inspection and monitoring results. The proposed methodology uses stochastic deterioration models and accounts for the interdependence among structural components. The heuristic-based adaptive planning is illustrated for a structural frame subjected to fatigue.</t>
  </si>
  <si>
    <t>[Bismut, Elizabeth; Straub, Daniel] Tech Univ Munich, Engn Risk Anal Grp, Arcisstr 21, D-80290 Munich, Germany</t>
  </si>
  <si>
    <t>Technical University of Munich</t>
  </si>
  <si>
    <t>Bismut, E (corresponding author), Tech Univ Munich, Engn Risk Anal Grp, Arcisstr 21, D-80290 Munich, Germany.</t>
  </si>
  <si>
    <t>elizabeth.bismut@tum.de; straub@tum.de</t>
  </si>
  <si>
    <t>Straub, Daniel/AAC-7245-2020</t>
  </si>
  <si>
    <t>Straub, Daniel/0000-0001-7819-4261</t>
  </si>
  <si>
    <t>Deutsche Forschungsgemeinschaft (DFG), Germany [STR 1140/32]; TUM International Graduate School of Science and Engineering (IGSSE), Germany</t>
  </si>
  <si>
    <t>Deutsche Forschungsgemeinschaft (DFG), Germany(German Research Foundation (DFG)); TUM International Graduate School of Science and Engineering (IGSSE), Germany</t>
  </si>
  <si>
    <t>We thank Jorge Mendoza for his valuable comments on an earlier version of this manuscript. This work is supported by the Deutsche Forschungsgemeinschaft (DFG), Germany through Grant STR 1140/32 and through the TUM International Graduate School of Science and Engineering (IGSSE), Germany.</t>
  </si>
  <si>
    <t>10.1016/j.ress.2021.107891</t>
  </si>
  <si>
    <t>WOS:000690283800077</t>
  </si>
  <si>
    <t>Lima, ES; McMahon, P; Costa, APCS</t>
  </si>
  <si>
    <t>Lima, Eliana Sangreman; McMahon, Paul; Seixas Costa, Ana Paula Cabral</t>
  </si>
  <si>
    <t>Establishing the relationship between asset management and business performance</t>
  </si>
  <si>
    <t>Asset management; Asset management maturity; Asset performance indicators; Business performance indicators</t>
  </si>
  <si>
    <t>KEY PERFORMANCE; FRAMEWORK; MAINTENANCE; INDICATORS; INNOVATION; DELIVERY</t>
  </si>
  <si>
    <t>Recognising the relevance of asset management (AM) benefits in improving organisational performance by asset-intensive organisations is no longer sufficient. It is necessary to deepen and control how this truly happens so that organisations have confidence in AM investments that bring better returns to the business. This paper presents a theoretical model, AMBP Model, which offers enablers supporting the organisations to make better decisions in infrastructure investments, through the construction of a relationship map between AM key-processes, asset performance indicators (API) and business performance indicators (KPI). The relationship between these three elements is a result of the analysis of case studies in different sectors of the economy, publicly available on AM specialized sites or AM conference proceedings. Knowing 'how AM process relates to Business Performance', the aim of this paper, is a fundamental and helpful path to understand `how AM maturity impacts on business performance', an issue that remains up to date in both the academic and business environments.</t>
  </si>
  <si>
    <t>[Lima, Eliana Sangreman; Seixas Costa, Ana Paula Cabral] Univ Fed Pernambuco, Ctr Decis Syst &amp; Informat Dev CDSID, Recife, PE, Brazil; [McMahon, Paul] Univ Wollongong, Fac Engn &amp; Informat Sci, Wollongong, NSW, Australia</t>
  </si>
  <si>
    <t>Universidade Federal de Pernambuco; University of Wollongong</t>
  </si>
  <si>
    <t>Lima, ES (corresponding author), Univ Fed Pernambuco, Ctr Decis Syst &amp; Informat Dev CDSID, Recife, PE, Brazil.</t>
  </si>
  <si>
    <t>eliana.lima@ufpe.br; paulmcma@uow.edu.au; apcabral@cdsid.org.br</t>
  </si>
  <si>
    <t>Costa, Ana/G-9746-2012; McMahon, Paul/ABB-8502-2020</t>
  </si>
  <si>
    <t>McMahon, Paul/0000-0002-6796-300X</t>
  </si>
  <si>
    <t>Coordenacao de Aperfeicoamento de Pessoal de Nivel Superior (CAPES) - Brazil [001]; Conselho Nacional de Desenvolvimento Cientifico e Tecnologico (CNPq) -Brazil</t>
  </si>
  <si>
    <t>Coordenacao de Aperfeicoamento de Pessoal de Nivel Superior (CAPES) - Brazil(Coordenacao de Aperfeicoamento de Pessoal de Nivel Superior (CAPES)); Conselho Nacional de Desenvolvimento Cientifico e Tecnologico (CNPq) -Brazil(Conselho Nacional de Desenvolvimento Cientifico e Tecnologico (CNPQ))</t>
  </si>
  <si>
    <t>This study was financed in part by Coordenacao de Aperfeicoamento de Pessoal de Nivel Superior (CAPES) - Brazil -Finance Code 001, and Conselho Nacional de Desenvolvimento Cientifico e Tecnologico (CNPq) -Brazil.</t>
  </si>
  <si>
    <t>10.1016/j.ijpe.2020.107937</t>
  </si>
  <si>
    <t>3X9PR</t>
  </si>
  <si>
    <t>WOS:000843365000001</t>
  </si>
  <si>
    <t>Park, M; Lee, J; Kim, S</t>
  </si>
  <si>
    <t>Park, Minjae; Lee, Jinpyo; Kim, Seungbeom</t>
  </si>
  <si>
    <t>An optimal maintenance policy for a k-out-of-n system without monitoring component failures</t>
  </si>
  <si>
    <t>Block replacement policy; downtime cost; failure cost; k-out-of-n system; order statistic; renewal process</t>
  </si>
  <si>
    <t>BLOCK REPLACEMENT POLICY; TAU</t>
  </si>
  <si>
    <t>In this study, an optimal maintenance policy is developed for a k-out-of-n: G system subject to two types of maintenance services, preventive maintenance and corrective maintenance. We investigate the optimal replacement age when a component failure is not detected immediately until a k-out-of-n: G system fails. The optimal maintenance policy is determined to minimize the expected total system cost when a generalized block replacement model is developed using downtime period. It is assumed that component failures are not monitored until a system failure, thus, a k-out-of-n: G system failure occurs. The downtime period of each failed component using order statistics for life time and age distributions for a k-out-of-n: G system is investigated. Numerical examples are discussed in order to demonstrate the applicability of the methodology derived from this paper.</t>
  </si>
  <si>
    <t>[Park, Minjae; Lee, Jinpyo; Kim, Seungbeom] Hongik Univ, Coll Business Adm, Seoul, South Korea</t>
  </si>
  <si>
    <t>Hongik University</t>
  </si>
  <si>
    <t>Park, M (corresponding author), Hongik Univ, Coll Business Adm, Seoul, South Korea.</t>
  </si>
  <si>
    <t>mjpark@hongik.ac.kr</t>
  </si>
  <si>
    <t>Kim, Seungbeom/0000-0001-5237-2592; Park, Minjae/0000-0002-3253-6702</t>
  </si>
  <si>
    <t>Basic Science Research Program through the National Research Foundation of Korea(NRF) - Ministry of Science, ICT and Future Planning [NRF-2017R1E1A1A03069903]; 2015 Hongik University Research Fund; Hongik University new faculty research support fund</t>
  </si>
  <si>
    <t>Basic Science Research Program through the National Research Foundation of Korea(NRF) - Ministry of Science, ICT and Future Planning; 2015 Hongik University Research Fund; Hongik University new faculty research support fund</t>
  </si>
  <si>
    <t>Minjae Park's research was supported by Basic Science Research Program through the National Research Foundation of Korea(NRF) funded by the Ministry of Science, ICT and Future Planning (NRF-2017R1E1A1A03069903). Jinpyo Lee's work was supported by 2015 Hongik University Research Fund. Seungbeom Kim's work was supported by the Hongik University new faculty research support fund.</t>
  </si>
  <si>
    <t>10.1080/16843703.2017.1383550</t>
  </si>
  <si>
    <t>HL7KP</t>
  </si>
  <si>
    <t>WOS:000458920200002</t>
  </si>
  <si>
    <t>Singh, VP; Ganguly, KK</t>
  </si>
  <si>
    <t>Singh, Vipin Prakash; Ganguly, Kunal K.</t>
  </si>
  <si>
    <t>A supporting framework for estimating trade-off between cost and availability at equipment level: development and application in the aircraft MRO industry</t>
  </si>
  <si>
    <t>Corrective maintenance; queuing theory; military aircraft; system availability; maintenance repair and overhaul</t>
  </si>
  <si>
    <t>SYSTEM AVAILABILITY; SUPPLY CHAINS; MAINTENANCE; CONTRACTS; MODEL</t>
  </si>
  <si>
    <t>This article aims at the development of a generic framework for estimating trade-offs between cost and availability at the equipment level due to corrective maintenance in aircraft maintenance, repair, and overhaul (MRO). The research focuses on closed-loop learning, testing, and validating the proposed framework in a South Asian military aircraft MRO organization. The methodological development of this study is based on soft system methodology through practice-based research. A dynamic simulation has been used to represent the trade-off between availability and cost after the study of more than five hundred corrective maintenance cases for impact analysis. The developed model has been tested for the fix, Gaussian, and triangular distribution in an aircraft MRO shop to calculate the liquidity damage cost due to delivery overrun of equipment. Simulation results of multiple queues indicate that input distribution plays a significant role in the trade-off between the cost and availability of LRUs in aircraft MRO. Academically, this is the first study focussing on the impact of multiple queuing distributions on cost and equipment availability in military aircraft MRO. The proposed framework may help in more precise projection in MRO scheduling, benchmarking, and decision-making while signing the commercial contract between the original equipment manufacturer and the customer.</t>
  </si>
  <si>
    <t>[Singh, Vipin Prakash; Ganguly, Kunal K.] Indian Inst Management Kashipur, Operat Management &amp; Decis Sci, Kashipur 244713, Uttrakhand, India</t>
  </si>
  <si>
    <t>Indian Institute of Management (IIM System); Indian Institute of Management Kashipur</t>
  </si>
  <si>
    <t>Singh, VP (corresponding author), Indian Inst Management Kashipur, Operat Management &amp; Decis Sci, Kashipur 244713, Uttrakhand, India.</t>
  </si>
  <si>
    <t>vipin.efpm1716@iimkashipur.ac.in</t>
  </si>
  <si>
    <t>JUN 10</t>
  </si>
  <si>
    <t>10.1080/09537287.2022.2136549</t>
  </si>
  <si>
    <t>RN2O5</t>
  </si>
  <si>
    <t>WOS:000871797300001</t>
  </si>
  <si>
    <t>Gao, S; Sun, FQ; Zhao, XJ; Li, YH</t>
  </si>
  <si>
    <t>Gao, Shuai; Sun, Fuqiang; Zhao, Xiujie; Li, Yanhong</t>
  </si>
  <si>
    <t>Optimal warranty period design for new products subject to degradation and environmental shocks considering imperfect maintenance</t>
  </si>
  <si>
    <t>New product; Degradation-shock competing process; Accelerated degradation test; Warranty period; Imperfect repair; Sensitivity analysis</t>
  </si>
  <si>
    <t>OPTIMIZATION; SYSTEMS</t>
  </si>
  <si>
    <t>For new products, manufacturers usually aim to set a reasonable warranty period before market launch to maximize future profits. However, the lack of historical warranty claim records makes it challenging to optimize the warranty period effectively. This paper proposes a new framework to optimize the warranty period for new products based on laboratory data, considering degradation-shock competing failures and imperfect maintenance. First, a degradation-shock competing failure model for the new products is established based on laboratory accelerated degradation data. Next, the impact of imperfect maintenance on warranty costs is quantified using the maintenance improvement factor model. Then, an optimization model for the warranty period is established with the aim of maximizing the manufacturer's profit. Finally, a case study is carried out to verify the validity and applicability of the proposed model. The numerical results clearly indicate that the frequency and magnitude of shock failures significantly impact the optimal warranty period for the product. Moreover, as the mean value of the imperfect maintenance factor increases from 0.5 to 0.9, the manufacturer's profit first rises from 6.49 to 7.79, then drops to 7.42, which means strategically relaxing maintenance requirements can lead to higher profit margins for manufacturers.</t>
  </si>
  <si>
    <t>[Gao, Shuai; Sun, Fuqiang] Beihang Univ, Sch Reliabil &amp; Syst Engn, Beijing, Peoples R China; [Gao, Shuai; Sun, Fuqiang] Sci &amp; Technol Reliabil &amp; Environm Engn Lab, Beijing, Peoples R China; [Zhao, Xiujie] Tianjin Univ, Coll Management &amp; Econ, Tianjin, Peoples R China; [Li, Yanhong] AECC Commercial Aircraft Engine Co Ltd, Shanghai, Peoples R China</t>
  </si>
  <si>
    <t>Beihang University; Tianjin University</t>
  </si>
  <si>
    <t>Sun, Fuqiang/AAJ-9018-2020</t>
  </si>
  <si>
    <t>Stable Supporting Fund of State Key Laboratory [WDZC20220101]; National Natural Science Foundation of China [72371182, 72002149]</t>
  </si>
  <si>
    <t>Stable Supporting Fund of State Key Laboratory; National Natural Science Foundation of China(National Natural Science Foundation of China (NSFC))</t>
  </si>
  <si>
    <t>This work was supported by the Stable Supporting Fund of State Key Laboratory (grant numbers WDZC20220101) and in part supported by the National Natural Science Foundation of China under grant 72371182, 72002149.</t>
  </si>
  <si>
    <t>10.1016/j.ress.2024.110710</t>
  </si>
  <si>
    <t>Q6K1S</t>
  </si>
  <si>
    <t>WOS:001385734300001</t>
  </si>
  <si>
    <t>Zhou, H; Parlikad, AK; Brintrup, A</t>
  </si>
  <si>
    <t>Zhou, Hang; Parlikad, Ajith Kumar; Brintrup, Alexandra</t>
  </si>
  <si>
    <t>Data-driven maintenance priority recommendations for civil aircraft engine fleets using reliability-based bivariate cluster analysis</t>
  </si>
  <si>
    <t>QUALITY ENGINEERING</t>
  </si>
  <si>
    <t>aerospace engineering; civil aviation; clustering algorithms; fuzzy C-means; Gaussian mixture models; semantic analysis</t>
  </si>
  <si>
    <t>PREDICTION; TIME; CLASSIFICATION; ALGORITHM</t>
  </si>
  <si>
    <t>The modern civil aircraft engine is a type of highly complex engineering system in design, manufacturing, and life-cycle management. They are constantly operated under extreme and critical conditions, and yet, high reliability and safety are top priorities in the civil aviation industry. To ensure top performance and efficiency in operations, engines follow a modular design. This article intends to apply the data-driven cluster analysis to real-life operation data for aircraft engine fleets, which provides a module maintenance priority recommendation solution to increase the efficiency of operations and best use of the engine values.</t>
  </si>
  <si>
    <t>[Zhou, Hang] Univ Glasgow, James Watt Sch Engn, Glasgow, Scotland; [Zhou, Hang; Parlikad, Ajith Kumar; Brintrup, Alexandra] Univ Cambridge, Inst Mfg, Dept Engn, Cambridge, England</t>
  </si>
  <si>
    <t>University of Glasgow; University of Cambridge</t>
  </si>
  <si>
    <t>Zhou, H (corresponding author), Univ Glasgow, James Watt Sch Engn, Glasgow, Scotland.</t>
  </si>
  <si>
    <t>Hang.Zhou@glasgow.ac.uk</t>
  </si>
  <si>
    <t>Parlikad, Ajith Kumar/0000-0001-6214-1739; Zhou, Hang/0000-0003-2354-509X; Brintrup, Alexandra/0000-0002-4189-2434</t>
  </si>
  <si>
    <t>0898-2112</t>
  </si>
  <si>
    <t>1532-4222</t>
  </si>
  <si>
    <t>QUAL ENG</t>
  </si>
  <si>
    <t>Qual. Eng.</t>
  </si>
  <si>
    <t>OCT 2</t>
  </si>
  <si>
    <t>10.1080/08982112.2022.2163179</t>
  </si>
  <si>
    <t>Engineering, Industrial; Statistics &amp; Probability</t>
  </si>
  <si>
    <t>Engineering; Mathematics</t>
  </si>
  <si>
    <t>T4XL7</t>
  </si>
  <si>
    <t>Green Accepted, Green Submitted, hybrid</t>
  </si>
  <si>
    <t>WOS:000922525000001</t>
  </si>
  <si>
    <t>Leite, M; Infante, V; Andrade, AR</t>
  </si>
  <si>
    <t>Leite, Manuel; Infante, Virginia; Andrade, Antonio R.</t>
  </si>
  <si>
    <t>Using expert judgement techniques to assess reliability for long service-life components: An application to railway wheelsets</t>
  </si>
  <si>
    <t>Reliability; expert judgement; asset management; uncertainty quantification; railway maintenance; railways</t>
  </si>
  <si>
    <t>PREDICTION; ELICITATION; SYSTEMS; DECISIONS; QUALITY; MODEL; TOOL</t>
  </si>
  <si>
    <t>Due to uncertainties in the deterioration process of long service-life assets, assessing reliability and planning maintenance and inspection activities are often difficult tasks. Most of the methods developed use operational or historical data from the manufacturer to predict the deterioration of the asset and estimate its reliability. However, in practice, such failure data is often scarce (e.g. very rare events) and the reliability prediction models might not be adapted to the operation of the user. In addition, available data gathered from maintenance or inspection tasks might only inform about a short period of time, and it might be difficult to obtain the corresponding reliability predictions as the associated uncertainty is still significant. Hence, this paper introduces a reliability assessment method that quantifies uncertainties regarding the failure of long service-life components. It combines Cooke's classical method (also known as Structured Expert Judgement) with a histogram technique, creating a performance-based method to assess uncertainty in components lifetime distributions. A case study on railway wheelsets is analysed to illustrate the effectiveness of such approach. The results show that the presented method is able to assess failure rates, which can support decisions in reliability-based maintenance of engineering systems.</t>
  </si>
  <si>
    <t>[Leite, Manuel; Infante, Virginia; Andrade, Antonio R.] Univ Lisbon, Inst Super Tecn, IDMEC, Ave Rovisco Pais, P-1049001 Lisbon, Portugal</t>
  </si>
  <si>
    <t>Andrade, AR (corresponding author), Univ Lisbon, Inst Super Tecn, IDMEC, Ave Rovisco Pais, P-1049001 Lisbon, Portugal.</t>
  </si>
  <si>
    <t>antonio.ramos.andrade@tecnico.ulisboa.pt</t>
  </si>
  <si>
    <t>Andrade, Antonio/G-7246-2016; Infante, Virginia/I-4785-2015</t>
  </si>
  <si>
    <t>Infante, Virginia/0000-0003-0860-2404; Andrade, Antonio/0000-0002-7339-7016</t>
  </si>
  <si>
    <t>European Union's Horizon 2020 research and innovation programme [881805]; Foundation for Science and Technology (FCT), through IDMEC, under LAETA [UIDB/50022/2020]</t>
  </si>
  <si>
    <t>European Union's Horizon 2020 research and innovation programme(Horizon 2020); Foundation for Science and Technology (FCT), through IDMEC, under LAETA(Fundacao para a Ciencia e a Tecnologia (FCT))</t>
  </si>
  <si>
    <t>The author(s) disclosed receipt of the following financial support for the research, authorship, and/or publication of this article: This work has received funding from the European Union's Horizon 2020 research and innovation programme under the Grant Agreement No. 881805 (Locomotive bOgie Condition mAinTEnance (LOCATE) research project under the Shift2Rail Joint Undertaking). This work was also supported by the Foundation for Science and Technology (FCT), through IDMEC, under LAETA, project UIDB/50022/2020.</t>
  </si>
  <si>
    <t>1748006X211034650</t>
  </si>
  <si>
    <t>10.1177/1748006X211034650</t>
  </si>
  <si>
    <t>4C3VV</t>
  </si>
  <si>
    <t>WOS:000679139400001</t>
  </si>
  <si>
    <t>Ning, R; Wang, XY; Zhao, X; Wang, SQ</t>
  </si>
  <si>
    <t>Ning, Ru; Wang, Xiaoyue; Zhao, Xian; Wang, Siqi</t>
  </si>
  <si>
    <t>Joint optimization of maintenance and spares inventory policies for a series system with multiple voting subsystems supported by protective devices</t>
  </si>
  <si>
    <t>Complex system with protective devices; joint optimization; repairmen allocation; spare inventory; Markov process</t>
  </si>
  <si>
    <t>N F SYSTEM; OPPORTUNISTIC MAINTENANCE; RELIABILITY ASSESSMENT; BALANCED SYSTEMS; EQUIPMENT; SUBJECT</t>
  </si>
  <si>
    <t>The joint optimization of maintenance and spares inventory policies is a momentous topic in engineering domain due to its benefit for improving the system reliability. Equipping systems with protective devices is another effective way to enhance system reliability which has aroused the research interest of scholars in recent years. However, the joint optimization problem of maintenance and spare parts inventory for systems with protective devices has not been attached importance. Therefore, this paper develops a joint optimization model of maintenance and spares inventory strategies for a series system with multiple voting subsystems supported by protective devices. Internal degradation and external shocks are taken into consideration simultaneously to cause the deterioration of the system and devices. A limited number of repairmen is considered, and (s, S) inventory policy is adopted for protective devices as well as each type of units. By applying the Markov process imbedding approach, system steady probability and relevant reliability probability indices including system availability, spares availability, and repairmen availability are obtained. The objective of developed joint optimization model is to derive the optimal repairmen allocation and spares inventory policies such that the system availability can be maximized while meeting the cost requirement. Finally, numerical examples based on the automobile engine system with cooling systems are presented to validate the superiority of the proposed joint policy of maintenance and spares inventory.</t>
  </si>
  <si>
    <t>[Ning, Ru; Wang, Xiaoyue] Beijing Technol &amp; Business Univ, Business Sch, Beijing, Peoples R China; [Zhao, Xian] Beijing Inst Technol, Sch Management &amp; Econ, Beijing, Peoples R China; [Wang, Siqi] Beijing Technol &amp; Business Univ, Sch Comp &amp; Artificial Intelligence, Beijing, Peoples R China; [Wang, Xiaoyue] Beijing Technol &amp; Business Univ, Business Sch, 11&amp;33 Fucheng Rd, Beijing 100048, Peoples R China</t>
  </si>
  <si>
    <t>Beijing Technology &amp; Business University; Beijing Institute of Technology; Beijing Technology &amp; Business University; Beijing Technology &amp; Business University</t>
  </si>
  <si>
    <t>Wang, XY (corresponding author), Beijing Technol &amp; Business Univ, Business Sch, 11&amp;33 Fucheng Rd, Beijing 100048, Peoples R China.</t>
  </si>
  <si>
    <t>xiaoyue@btbu.edu.cn</t>
  </si>
  <si>
    <t>National Natural Science Foundation of China [72371003, 72001006, 71971026, 72301011]; Beijing Social Science Foundation [20GLC052]; Young Elite Scientist Sponsorship Program by Beijing Association for Science and Technology [BYESS2023054]; Beijing Technology and Business University 2023 Graduate Research Ability Improvement Project [19008023027]</t>
  </si>
  <si>
    <t>National Natural Science Foundation of China(National Natural Science Foundation of China (NSFC)); Beijing Social Science Foundation; Young Elite Scientist Sponsorship Program by Beijing Association for Science and Technology; Beijing Technology and Business University 2023 Graduate Research Ability Improvement Project</t>
  </si>
  <si>
    <t>The author(s) disclosed receipt of the following financial support for the research, authorship, and/or publication of this article: This work is supported by the National Natural Science Foundation of China (Grant Nos. 72371003, 72001006, 72131002, 71971026, and 72301011), Beijing Social Science Foundation (Grant No. 20GLC052), Young Elite Scientist Sponsorship Program by Beijing Association for Science and Technology (Grant No. BYESS2023054), and Beijing Technology and Business University 2023 Graduate Research Ability Improvement Project (Grant No. 19008023027).</t>
  </si>
  <si>
    <t>10.1177/1748006X231219728</t>
  </si>
  <si>
    <t>WOS:001145694100001</t>
  </si>
  <si>
    <t>Zhang, Q; Nie, YQ; Du, YL; Zhao, WG; Cao, SJ</t>
  </si>
  <si>
    <t>Zhang, Qian; Nie, Yaoqi; Du, Yanliang; Zhao, Weigang; Cao, Shujie</t>
  </si>
  <si>
    <t>Resilience-Based Restoration Model for Optimizing Corrosion Repair Strategies in Tunnel Lining</t>
  </si>
  <si>
    <t>Tunnel maintenance; Corrosion; Resilience; Maintenance timing; Strategy</t>
  </si>
  <si>
    <t>BACK-ANALYSIS; RELIABILITY; CONCRETE; FRAMEWORK; SUBJECT; SLOPES; SENSOR; REBAR; LIFE</t>
  </si>
  <si>
    <t>In tunnel engineering, the corrosion of steel rebar is a critical factor leading to structural degradation and failure, causing a decline in load-bearing capacity, deformation, and cracking. For decision-makers, identifying the optimal timing for tunnel maintenance and selecting effective repair strategies is of paramount importance. This study introduces a resilience-based restoration model to analyze tunnel failure due to corrosion throughout its service life and to optimize the timing and selection of maintenance strategies. The model generates time-variant failure curves by constructing limit equilibrium equations. The entropy weight method is employed to quantify and weight the impact of various failure modes, determining the timing for maintenance when the failure curve exceeds a predefined threshold. Additionally, the model's uncertainty is effectively reduced through regular inspections and Bayesian updating methods, enhancing prediction accuracy. The study further incorporates a resilience index and a benefit index to provide a quantitative assessment of maintenance plans, assisting decisionmakers in selecting the optimal strategy. By exemplifying the model with a case study of steel rebar corrosion in a tunnel, this paper demonstrates the model's applicability and offers a new scientific approach for quantitative maintenance decision-making in tunnel engineering.</t>
  </si>
  <si>
    <t>[Zhang, Qian; Nie, Yaoqi; Du, Yanliang; Zhao, Weigang; Cao, Shujie] Shijiazhuang Tiedao Univ, Sch Safety Engn &amp; Emergency Management, Shijiazhuang 050043, Peoples R China; [Zhang, Qian; Nie, Yaoqi; Du, Yanliang; Zhao, Weigang; Cao, Shujie] Shijiazhuang Tiedao Univ, Key Lab Struct Hlth Monitoring &amp; Control, Shijiazhuang 050043, Peoples R China; [Zhang, Qian] Nagasaki Univ, Sch Engn, Nagasaki 8528521, Japan</t>
  </si>
  <si>
    <t>Shijiazhuang Tiedao University; Shijiazhuang Tiedao University; Nagasaki University</t>
  </si>
  <si>
    <t>Nie, YQ (corresponding author), Shijiazhuang Tiedao Univ, Sch Safety Engn &amp; Emergency Management, Shijiazhuang 050043, Peoples R China.;Nie, YQ (corresponding author), Shijiazhuang Tiedao Univ, Key Lab Struct Hlth Monitoring &amp; Control, Shijiazhuang 050043, Peoples R China.</t>
  </si>
  <si>
    <t>nieyaoqizbdx@163.com</t>
  </si>
  <si>
    <t>Nie, Yaoqi/0009-0001-9769-6483; zhang, qian/0000-0002-8269-9315</t>
  </si>
  <si>
    <t>Natural Science Foundation of Hebei Province [E2022210065]; Central government guides local science and technology development fund projects [236Z5404G]; Joint Fund of National Natural Science Foundation of China [U2034207]; Technology development project of Shuohuang Railway Development Co., Ltd [GJNY-20-230]; China Scholarship Council [202008130039, 202008130044]</t>
  </si>
  <si>
    <t>Natural Science Foundation of Hebei Province(Natural Science Foundation of Hebei Province); Central government guides local science and technology development fund projects; Joint Fund of National Natural Science Foundation of China(National Natural Science Foundation of China (NSFC)); Technology development project of Shuohuang Railway Development Co., Ltd; China Scholarship Council(China Scholarship Council)</t>
  </si>
  <si>
    <t>This work was supported by the Natural Science Foundation of Hebei Province [grant number E2022210065] , the central government guides local science and technology development fund projects [grant number 236Z5404G] , the Joint Fund of National Natural Science Foundation of China [grant number U2034207] , the technology development project of Shuohuang Railway Development Co., Ltd [grant number GJNY-20-230] . This work was supported by the China Scholarship Council (CSC No. 202008130039, CSC No. 202008130044)</t>
  </si>
  <si>
    <t>10.1016/j.ress.2024.110546</t>
  </si>
  <si>
    <t>J3X4S</t>
  </si>
  <si>
    <t>WOS:001336426300001</t>
  </si>
  <si>
    <t>Zou, G; Kolios, A</t>
  </si>
  <si>
    <t>Zou, Guang; Kolios, Athanasios</t>
  </si>
  <si>
    <t>Quantifying the value of negative inspection outcomes in fatigue maintenance planning: Cost reduction, risk mitigation and reliability growth</t>
  </si>
  <si>
    <t>Structuralreliability; Maintenancemodeling; Bayesiandecisionoptimization; Valueofinformation; Lifecyclecosts; Riskanalysis</t>
  </si>
  <si>
    <t>VALUE-OF-INFORMATION; DECISION-MAKING; SYSTEMS SUBJECT; OPTIMIZATION; DEGRADATION; MANAGEMENT; FRAMEWORK; DETAILS; DESIGN; REPAIR</t>
  </si>
  <si>
    <t>With the development of sensing, non-destructive evaluation and information technology, benefits of informed structural maintenance decision-making based on systematic decision analysis have been increasingly appreci-ated and required. This tendency necessitates methods for quantifying the value of information (VoI) provided by condition inspections (or monitoring) and fully utilizing the VoI, i.e., transforming information into improved maintenance decisions that add value. While positive inspection outcomes are often considered as indicators for maintenance actions, implications of negative outcomes on reliability, risk and costs are seldom quantified. The objective of this study is to investigate potential benefits of negative outcomes to maintenance costs, failure risk and reliability from a maintenance planning perspective by developing a probabilistic VoI computational method. A structural maintenance decision-making framework and a VoI computational method are developed, considering uncertainties associated with structural deterioration forecast and inspection outcomes. For the first time, influences of maintenance effect modeling on VoI computation are investigated. The framework and method are illustrated on a marine structure. It is concluded that the VoI from negative outcomes can be attributed to reductions of both maintenance costs and failure risk, especially when high-quality inspection techniques are used and maintenance effects are imperfect.</t>
  </si>
  <si>
    <t>[Zou, Guang; Kolios, Athanasios] Southern Univ Sci &amp; Technol, Dept Ocean Sci &amp; Engn, Shenzhen, Peoples R China; [Zou, Guang] Univ Strathclyde, Offshore Engn Inst, Glasgow, Lanark, Scotland</t>
  </si>
  <si>
    <t>Southern University of Science &amp; Technology; University of Strathclyde</t>
  </si>
  <si>
    <t>Zou, G (corresponding author), Southern Univ Sci &amp; Technol, Dept Ocean Sci &amp; Engn, Shenzhen, Peoples R China.</t>
  </si>
  <si>
    <t>zoug@sustech.edu.cn</t>
  </si>
  <si>
    <t>Kolios, Athanasios/HHZ-9884-2022</t>
  </si>
  <si>
    <t>Kolios, Athanasios/0000-0001-6711-641X</t>
  </si>
  <si>
    <t>European Union [745625]; Southern University of Science and Technology [Y01316134]; H2020 Societal Challenges Programme [745625] Funding Source: H2020 Societal Challenges Programme</t>
  </si>
  <si>
    <t>European Union(European Union (EU)); Southern University of Science and Technology; H2020 Societal Challenges Programme(Horizon 2020European Union (EU)H2020 Societal Challenges Programme)</t>
  </si>
  <si>
    <t>The funding support from the European Union's Horizon 2020 research and innovation program under grant agreement No. 745625 (ROMEO) (https://www.romeoprojet.eu) and the Southern University of Science and Technology (Y01316134 to Guang Zou) are greatly appreciated.</t>
  </si>
  <si>
    <t>10.1016/j.ress.2022.108668</t>
  </si>
  <si>
    <t>3D1AP</t>
  </si>
  <si>
    <t>WOS:000829043700002</t>
  </si>
  <si>
    <t>Rachman, A; Ratnayake, RMC</t>
  </si>
  <si>
    <t>Rachman, Andika; Ratnayake, R. M. Chandima</t>
  </si>
  <si>
    <t>Corrosion loop development of oil and gas piping system based on machine learning and group technology method</t>
  </si>
  <si>
    <t>Inspection; k-means; Machine learning; Risk-based inspection; Risk assessment; Asset integrity management; Lean maintenance; Predictive maintenance; Piping system; Corrosion loop</t>
  </si>
  <si>
    <t>RISK-BASED INSPECTION; ALGORITHM; EMPLOYMENT</t>
  </si>
  <si>
    <t>Purpose Corrosion loop development is an integral part of the risk-based inspection (RBI) methodology. The corrosion loop approach allows a group of piping to be analyzed simultaneously, thus reducing non-value adding activities by eliminating repetitive degradation mechanism assessment for piping with similar operational and design characteristics. However, the development of the corrosion loop requires rigorous process that involves a considerable amount of engineering man-hours. Moreover, corrosion loop development process is a type of knowledge-intensive work that involves engineering judgement and intuition, causing the output to have high variability. The purpose of this paper is to reduce the amount of time and output variability of corrosion loop development process by utilizing machine learning and group technology method. Design/methodology/approach To achieve the research objectives,k-means clustering and non-hierarchical classification model are utilized to construct an algorithm that allows automation and a more effective and efficient corrosion loop development process. A case study is provided to demonstrate the functionality and performance of the corrosion loop development algorithm on an actual piping data set. Findings The results show that corrosion loops generated by the algorithm have lower variability and higher coherence than corrosion loops produced by manual work. Additionally, the utilization of the algorithm simplifies the corrosion loop development workflow, which potentially reduces the amount of time required to complete the development. The application of corrosion loop development algorithm is expected to generate a leaner overall RBI assessment process. Research limitations/implications Although the algorithm allows a part of corrosion loop development workflow to be automated, it is still deemed as necessary to allow the incorporation of the engineer's expertise, experience and intuition into the algorithm outputs in order to capture tacit knowledge and refine insights generated by the algorithm intelligence. Practical implications This study shows that the advancement of Big Data analytics and artificial intelligence can promote the substitution of machines for human labors to conduct highly complex tasks requiring high qualifications and cognitive skills, including inspection and maintenance management area. Originality/value This paper discusses the novel way of developing a corrosion loop. The development of corrosion loop is an integral part of the RBI methodology, but it has less attention among scholars in inspection and maintenance-related subjects.</t>
  </si>
  <si>
    <t>[Rachman, Andika; Ratnayake, R. M. Chandima] Univ Stavanger UiS, Dept Mech &amp; Struct Engn &amp; Mat Sci, Stavanger, Norway</t>
  </si>
  <si>
    <t>Rachman, A (corresponding author), Univ Stavanger UiS, Dept Mech &amp; Struct Engn &amp; Mat Sci, Stavanger, Norway.</t>
  </si>
  <si>
    <t>rachman.andika@rocketmail.com</t>
  </si>
  <si>
    <t>RATNAYAKE, R.M. Chandima/G-8943-2011</t>
  </si>
  <si>
    <t>10.1108/JQME-07-2018-0058</t>
  </si>
  <si>
    <t>WOS:000546970600001</t>
  </si>
  <si>
    <t>Zhao, XJ; Gaudoin, O; Doyen, L; Xie, M</t>
  </si>
  <si>
    <t>Zhao, Xiujie; Gaudoin, Olivier; Doyen, Laurent; Xie, Min</t>
  </si>
  <si>
    <t>Optimal inspection and replacement policy based on experimental degradation data with covariates</t>
  </si>
  <si>
    <t>Condition-based maintenance; degradation modeling; imperfect maintenance; large-sample approximation; maximum likelihood estimation</t>
  </si>
  <si>
    <t>CONDITION-BASED MAINTENANCE; PREVENTIVE MAINTENANCE; IMPERFECT MAINTENANCE; BAYESIAN METHODS; SYSTEMS; OPTIMIZATION; RELIABILITY; MODELS; STRATEGY; DESIGN</t>
  </si>
  <si>
    <t>In this article, a novel maintenance model is proposed for single-unit systems with an atypical degradation path, whose pattern is influenced by inspections. After each inspection, the system degradation is assumed to instantaneously decrease by a random value. Meanwhile, the degrading rate is elevated due to the inspection. Considering the double effects of inspections, we develop a parameter estimation procedure for such systems from experimental data obtained via accelerated degradation tests with environmental covariates. Next, the inspection and replacement policy is optimized with the objective to minimize the Expected Long-Run Cost Rate (ELRCR). Inspections are assumed to be non-periodically scheduled. A numerical algorithm that combines analytical and simulation methods is presented to evaluate the ELRCR. We then investigate the robustness of maintenance policies for such systems by taking the parameter uncertainty into account with the aid of large-sample approximation and parametric bootstrapping. The application of the proposed method is illustrated by degradation data from the electricity industry.</t>
  </si>
  <si>
    <t>[Zhao, Xiujie; Xie, Min] City Univ Hong Kong, Dept Syst Engn &amp; Engn Management, Kowloon, Hong Kong, Peoples R China; [Gaudoin, Olivier; Doyen, Laurent] Univ Grenoble Alpes, Lab Jean Kuntzmann, Grenoble, France; [Xie, Min] City Univ Hong Kong, Shenzhen Res Inst, Shenzhen, Peoples R China</t>
  </si>
  <si>
    <t>City University of Hong Kong; Communaute Universite Grenoble Alpes; Institut National Polytechnique de Grenoble; Universite Grenoble Alpes (UGA); Centre National de la Recherche Scientifique (CNRS); Inria; City University of Hong Kong; Shenzhen Research Institute, City University of Hong Kong</t>
  </si>
  <si>
    <t>Zhao, XJ (corresponding author), City Univ Hong Kong, Dept Syst Engn &amp; Engn Management, Kowloon, Hong Kong, Peoples R China.</t>
  </si>
  <si>
    <t>xiujizhao2-c@my.cityu.edu.hk</t>
  </si>
  <si>
    <t>Xie, Min/IUQ-1412-2023</t>
  </si>
  <si>
    <t>Research Grants Council of Hong Kong [T32-101/15-R, CityU 11203815]; National Natural Science Foundation of China [71532008]</t>
  </si>
  <si>
    <t>Research Grants Council of Hong Kong(Hong Kong Research Grants Council); National Natural Science Foundation of China(National Natural Science Foundation of China (NSFC))</t>
  </si>
  <si>
    <t>This work was supported in part by the Research Grants Council of Hong Kong under a theme-based project under Grant T32-101/15-R and a General Research Fund (CityU 11203815) and in part by the National Natural Science Foundation of China under a Key Project under Grant 71532008.</t>
  </si>
  <si>
    <t>10.1080/24725854.2018.1488308</t>
  </si>
  <si>
    <t>HY6KZ</t>
  </si>
  <si>
    <t>WOS:000468240500007</t>
  </si>
  <si>
    <t>Lv, XL; Shi, LX; He, YD; He, Z</t>
  </si>
  <si>
    <t>Lv, Xiaolei; Shi, Liangxing; He, Yingdong; He, Zhen</t>
  </si>
  <si>
    <t>Joint optimization of production, inspection, and maintenance under finite time for smart manufacturing systems</t>
  </si>
  <si>
    <t>Joint optimization; Finite time; Reliability; Deterioration process</t>
  </si>
  <si>
    <t>INDUSTRIAL INTERNET; DEGRADATION; POLICY; QUALITY; SUBJECT; COST</t>
  </si>
  <si>
    <t>Given the flexible and configurable characteristics of smart manufacturing systems with a limited time per manufacturing task, the assumption of infinite time for prostems is no longer applicable to the joint-control strategy. Consequently, a joint-control model that considers production, inspection, and maintenance within a finite-time scenario for smart manufacturing systems is proposed in this paper. The objective is to optimize overall production and maintenance functions to minimize the total system cost. Comparing the joint strategy under infinite time with the proposed finite-time approach reveals significant differences in unit costs between the two scenarios. To enhance the effectiveness of the model, a discrete iterative algorithm with multiple loops was developed. Through a case study, it was observed that 1) joint strategies implemented within a finite time horizon were more cost-effective than those under infinite time, thus emphasizing the need for business managers to develop strategies within a finite time frame; 2) different production planning and efficiency levels had varying effects on the final joint strategy, necessitating customized strategies based on different production durations. Overall, the research gap regarding joint strategies within a finite-time context was addressed in this research, serving as a methodological foundation for practitioners to develop various strategies that minimize total costs across diverse real-world scenarios.</t>
  </si>
  <si>
    <t>[Lv, Xiaolei; Shi, Liangxing; He, Yingdong; He, Zhen] Tianjin Univ, Coll Management &amp; Econ, Tianjin 300072, Peoples R China; [Lv, Xiaolei; Shi, Liangxing; He, Yingdong; He, Zhen] Tianjin Univ, Lab Computat &amp; Analyt Complex Management Syst CACM, Tianjin 300072, Peoples R China</t>
  </si>
  <si>
    <t>National Natural Science Foundation of China [72101177, 72231005, 72261147706, 72371183, 72471170]; Tech-nology Innovation Team of Shanxi Provincial [2024RS-CXTD-28]; Tianjin Natural Science Foundation [22JCQNJC01190]</t>
  </si>
  <si>
    <t>National Natural Science Foundation of China(National Natural Science Foundation of China (NSFC)); Tech-nology Innovation Team of Shanxi Provincial; Tianjin Natural Science Foundation(Natural Science Foundation of Tianjin)</t>
  </si>
  <si>
    <t>The authors would like to thank the Editor and anonymous referees for their careful work and remarkable comments which considerably help to improve this manuscript substantially. This work was supported by National Natural Science Foundation of China (Grant Nos. 72101177, 72231005, 72261147706, and 72371183, and 72471170) ; The Tech-nology Innovation Team of Shanxi Provincial (Grant No. 2024RS-CXTD-28) ; Tianjin Natural Science Foundation (Grant No. 22JCQNJC01190) .</t>
  </si>
  <si>
    <t>10.1016/j.ress.2024.110490</t>
  </si>
  <si>
    <t>G8E5U</t>
  </si>
  <si>
    <t>WOS:001318906800001</t>
  </si>
  <si>
    <t>Determining the optimal production-maintenance policy of a parallel production system with stochastically interacted yield and deterioration</t>
  </si>
  <si>
    <t>Production-deterioration dependence; Random yield; Parallel production system; Joint optimization; Markov decision process</t>
  </si>
  <si>
    <t>EMQ MODEL; INSPECTION; INVENTORY; DEMAND</t>
  </si>
  <si>
    <t>In this paper, we study the integrated production-maintenance optimization problem of a multi-component deteriorating machine. The deterioration of each component is described by a discrete-time Markov chain with finite state space. To meet a constant demand, production planning is scheduled based on the system deterioration and the inventory level. We consider the mutual dependence between the production and the system deterioration. For each component, its deterioration transition probabilities depends on its own characteristics and its production quantity. Production yield is stochastically decreasing with the system deterioration. Maintenance is scheduled immediately if at least one component failure occurs. Otherwise, the decision-maker need to determine whether to schedule a preventive maintenance or to continue producing. We formulate the problem into a Markov decision process framework. The total discounted costs including the production costs, maintenance costs and holding/backlogging costs in the infinite horizon is obtained. Some structural properties of the optimal policy with respect to the machine condition, the inventory level are presented under mild conditions. The proposed model is further examined by a numerical example, where the properties of the production and maintenance planning and the corresponding cost are investigated. It can provide theoretical reference in managing the production and maintenance problems in multiple production lines.</t>
  </si>
  <si>
    <t>[Zhang, Nan] Beijing Inst Technol, Sch Management &amp; Econ, 5 South St, Beijing 100081, Peoples R China; [Cai, Kaiquan] Beihang Univ, Sch Elect &amp; Informat Engn, Beijing 300072, Peoples R China; [Deng, Yingjun] Tianjin Univ, Ctr Appl Math, Tianjin 100191, Peoples R China; [Zhang, Jun] Beijing Inst Technol, Adv Res Inst Multidisciplinary Sci, Beijing 100081, Peoples R China</t>
  </si>
  <si>
    <t>Cai, KQ (corresponding author), Beihang Univ, Sch Elect &amp; Informat Engn, Beijing 300072, Peoples R China.</t>
  </si>
  <si>
    <t>Acknowledgements This work is supported by the National Natural Science Foundation of China (71901026) .</t>
  </si>
  <si>
    <t>10.1016/j.ress.2023.109342</t>
  </si>
  <si>
    <t>K4NO4</t>
  </si>
  <si>
    <t>WOS:001016224100001</t>
  </si>
  <si>
    <t>Al-Maitah, M</t>
  </si>
  <si>
    <t>Al-Maitah, Mohammed</t>
  </si>
  <si>
    <t>Text analytics for big data using rough-fuzzy soft computing techniques</t>
  </si>
  <si>
    <t>big data; clustering; feature selection; fuzzy set; rough set; text mining</t>
  </si>
  <si>
    <t>Text mining or analytics is important for various applications such as market analysis and biomedical purposes because it enables the efficient retrieval of information from large datasets. During the analysis, increasing the dimensionality of the data reduces the performance of an entire system because doing so may retrieve irrelevant text, which creates errors. Therefore, this paper introduces big data and data mining techniques to analyse large volumes of information while mining texts, emails, blogs, online forums, news, and call centre documents. Initially, the data are collected from various sources that contain noise, which is removed by applying normalization techniques. Data mining techniques eliminate the irrelevant information and noise, and the relevant features are selected using the rough set-based particle swarm optimization algorithm. The selected features are formed as a cluster using a fuzzy set with the particle swarm optimization algorithm, which improves the efficiency of the mining process. Then, the efficiency of the system is evaluated using the University of California Irvine Machine Learning Repository knowledge process mining database, along with the sum of the intra cluster distances, the mean squared error rate, and the accuracy.</t>
  </si>
  <si>
    <t>[Al-Maitah, Mohammed] King Saud Univ, Community Coll, Comp Sci Dept, Riyadh, Saudi Arabia</t>
  </si>
  <si>
    <t>King Saud University</t>
  </si>
  <si>
    <t>Al-Maitah, M (corresponding author), King Saud Univ, Community Coll, Comp Sci Dept, Riyadh, Saudi Arabia.</t>
  </si>
  <si>
    <t>malmaitah@ksu.edu.sa</t>
  </si>
  <si>
    <t>Al-Maitah, Mohammed/AAX-3856-2021</t>
  </si>
  <si>
    <t>Al-Maitah, Mohammed/0000-0002-2690-7220</t>
  </si>
  <si>
    <t>Community College Research Unit of the King Saud University, Deanship of Scientific Research</t>
  </si>
  <si>
    <t>This project was supported by the Community College Research Unit of the King Saud University, Deanship of Scientific Research.</t>
  </si>
  <si>
    <t>e12463</t>
  </si>
  <si>
    <t>10.1111/exsy.12463</t>
  </si>
  <si>
    <t>JUL 2019</t>
  </si>
  <si>
    <t>KY8MC</t>
  </si>
  <si>
    <t>WOS:000479633800001</t>
  </si>
  <si>
    <t>Rahimdel, MJ; Ghodrati, B</t>
  </si>
  <si>
    <t>Rahimdel, Mohammad Javad; Ghodrati, Behzad</t>
  </si>
  <si>
    <t>Remaining useful Life Improvement for the Mining Railcars under the Operational Conditions</t>
  </si>
  <si>
    <t>Rolling stock; remaining useful life; proportional hazard model; preventive maintenance; lkab</t>
  </si>
  <si>
    <t>RELIABILITY-ANALYSIS; PARTS ESTIMATION; SYSTEM; OPTIMIZATION; SHOVEL; MODELS</t>
  </si>
  <si>
    <t>The large tonnage mines use railway transportation as a system for mineral transportation. The rolling stock health condition study and improvement not only reduce the lifecycle cost of the assets but also ensures safe, reliable, punctual, and efficient transportation. The remaining useful life estimation is an efficient approach to condition-based maintenance, prognostics, and health management. This paper aims to predict the remaining life of a mining rolling stocks in the presence of operational environmental effects. In this study, the operation and failure data were obtained from Malmbana, LKAB, Sweden, a Swedish Railway Company, considering the effective operational factors. The failure behaviour of the railcar was evaluated and then the proportional hazard model was used to estimate the conditional reliability functions and accordingly the remaining useful life at the various initial survival time. Finally, the reliability-based time interval is applied to plan the maintenance operations. Results of this study show that the operator's skill level and the maintenance quality had a significant influence on the reliability performance. By considering the proposed PM plan according to the desired reliability level, the remaining lifetime of the rolling stock will be improved by 78.10%, on average.</t>
  </si>
  <si>
    <t>[Rahimdel, Mohammad Javad] Univ Birjand, Fac Engn, Dept Min Engn, Birjand, Iran; [Ghodrati, Behzad] Lulea Univ Technol, Div Operat &amp; Maintenance Engn, Lulea, Sweden</t>
  </si>
  <si>
    <t>University of Birjand; Lulea University of Technology</t>
  </si>
  <si>
    <t>Rahimdel, MJ (corresponding author), Univ Birjand, Fac Engn, Dept Min Engn, Birjand, Iran.</t>
  </si>
  <si>
    <t>rahimdel@birjand.ac.ir</t>
  </si>
  <si>
    <t>JVTC (Lulea Railway Research Center) project; CAMM (Centre of Advanced Mining &amp; Metallurgy) project</t>
  </si>
  <si>
    <t>The authors would like to thank for the support of JVTC (Lulea Railway Research Center) and CAMM (Centre of Advanced Mining &amp; Metallurgy) projects in this research work.</t>
  </si>
  <si>
    <t>10.1080/17480930.2021.1953316</t>
  </si>
  <si>
    <t>YI3DK</t>
  </si>
  <si>
    <t>WOS:000680330700001</t>
  </si>
  <si>
    <t>Bülbül, P; Bayindir, ZP; Bakal, IS</t>
  </si>
  <si>
    <t>Bulbul, Pinar; Bayindir, Z. Pelin; Bakal, Ismail Serdar</t>
  </si>
  <si>
    <t>Exact and heuristic approaches for joint maintenance and spare parts planning</t>
  </si>
  <si>
    <t>Preventive replacement; Spare part inventory management; Dynamic programming</t>
  </si>
  <si>
    <t>CONDITION-BASED REPLACEMENT; PREVENTIVE MAINTENANCE; PROVISIONING POLICY; BLOCK-REPLACEMENT; AGE REPLACEMENT; INVENTORY OPTIMIZATION; INTEGRATED DECISION; SYSTEMS; STOCKING; STRATEGY</t>
  </si>
  <si>
    <t>In this study, we consider the joint problem of preventive replacement and spare parts inventory planning. We present an exact dynamic programming formulation to minimize the total expected cost over a finite planning horizon. As it is not possible to represent the optimal solution by a well-defined and practical policy, and the dynamic programming recursion is time-consuming to apply, we propose three heuristic approaches that are easy to understand and to implement in practice: (i) Steady-State Approximation, (ii) Stationary Policy and (iii) Myopic Approach. Through computational analyses, we investigate the effects of the model parameters on the performances of the proposed heuristics.</t>
  </si>
  <si>
    <t>[Bulbul, Pinar; Bayindir, Z. Pelin; Bakal, Ismail Serdar] Middle East Tech Univ, Dept Ind Engn, Ankara, Turkey</t>
  </si>
  <si>
    <t>Middle East Technical University</t>
  </si>
  <si>
    <t>Bakal, IS (corresponding author), Middle East Tech Univ, Dept Ind Engn, Ankara, Turkey.</t>
  </si>
  <si>
    <t>bpelin@metu.edu.tr; isbakal@metu.edu.tr</t>
  </si>
  <si>
    <t>Bakal, Ismail/AAZ-6466-2020; Bayindir, Z. Pelin/F-1686-2016</t>
  </si>
  <si>
    <t>Bayindir, Z. Pelin/0000-0002-8473-1382</t>
  </si>
  <si>
    <t>10.1016/j.cie.2019.01.032</t>
  </si>
  <si>
    <t>HN9CO</t>
  </si>
  <si>
    <t>WOS:000460496000021</t>
  </si>
  <si>
    <t>Liu, FY; Dui, HY; Li, ZY</t>
  </si>
  <si>
    <t>Liu, Fangyu; Dui, Hongyan; Li, Ziyue</t>
  </si>
  <si>
    <t>Reliability analysis for electrical power systems based on importance measures</t>
  </si>
  <si>
    <t>Power transmission system; importance measure; maintenance decision; system performance; corrective maintenance</t>
  </si>
  <si>
    <t>INTEGRATED IMPORTANCE MEASURE; COMMON-CAUSE FAILURE; BIRNBAUM IMPORTANCE; JOINT IMPORTANCE; MODEL</t>
  </si>
  <si>
    <t>With the introduction of reliability engineering, electrical power system reliability has become an important basis for decision-making in the power industry. Two operation cases of electrical power systems are considered in this article. When the system is in an ordinary way, the influence between two system components will affect the importance measure of one component. When some component is in maintenance, preventive maintenance for working components and corrective maintenance for failed components can be executed simultaneously to enhance electrical power system performance. In view of the above two cases, two importance measures are proposed to effectively guide the preventive maintenance, aiming to improve the system performance within a limited budget. Reliability analysis procedure and methods applied toward the two importance measures are then developed and illustrated with the analysis on a Dual Element Spot Network system with double power supplies and double loads. Finally, a strategy for preventive maintenance is proposed by ranking the importance of these components.</t>
  </si>
  <si>
    <t>[Liu, Fangyu] Zhengzhou Univ Light Ind, Sch Econ &amp; Management, Zhengzhou, Peoples R China; [Dui, Hongyan; Li, Ziyue] Zhengzhou Univ Light Ind, Sch Management Engn, 100 Kexue Ave, Zhengzhou 450001, Peoples R China</t>
  </si>
  <si>
    <t>Zhengzhou University of Light Industry; Zhengzhou University of Light Industry</t>
  </si>
  <si>
    <t>Dui, HY (corresponding author), Zhengzhou Univ Light Ind, Sch Management Engn, 100 Kexue Ave, Zhengzhou 450001, Peoples R China.</t>
  </si>
  <si>
    <t>李, 子月/IUO-9684-2023</t>
  </si>
  <si>
    <t>National Natural Science Foundation of China [U1904211, 71501173]</t>
  </si>
  <si>
    <t>The author(s) disclosed receipt of the following financial support for the research, authorship, and/or publication of this article: This work was supported by the National Natural Science Foundation of China (grant nos. U1904211, 71501173).</t>
  </si>
  <si>
    <t>1748006X19894872</t>
  </si>
  <si>
    <t>10.1177/1748006X19894872</t>
  </si>
  <si>
    <t>ZR6AM</t>
  </si>
  <si>
    <t>WOS:000507176800001</t>
  </si>
  <si>
    <t>Dinis, D; Teixeira, AP; Barbosa-Póvoa, A</t>
  </si>
  <si>
    <t>Dinis, Duarte; Teixeira, Angelo Palos; Barbosa-Povoa, Ana</t>
  </si>
  <si>
    <t>ForeSim-BI: A predictive analytics decision support tool for capacity planning</t>
  </si>
  <si>
    <t>DECISION SUPPORT SYSTEMS</t>
  </si>
  <si>
    <t>Decision support systems; Predictive analytics; Capacity planning; Forecasting; Maintenance</t>
  </si>
  <si>
    <t>QUANTITATIVE FORECASTING METHODS; AIRCRAFT MAINTENANCE; MODELS; SYSTEMS; OPERATIONS; SELECTION</t>
  </si>
  <si>
    <t>This paper proposes a decision support tool for maintenance capacity planning of complex product systems. The tool - ForeSim-BI - addresses the problem faced by maintenance organizations in forecasting the workload of future maintenance interventions and in planning an adequate capacity to face that expected workload. Developed and implemented from a predictive analytics perspective in the particular context of a Portuguese aircraft maintenance organization, the tool integrates four main modules: (1) a forecasting module used to predict future and unprecedented maintenance workloads from historical data; (2) a Bayesian inference module used to transform prior workload forecasts, resulting from the forecasting module, into predictive forecasts after observations on the maintenance interventions being predicted become available; (3) a simulation module used to characterize the forecasted total workloads through sets of random variables, including maintenance work types, maintenance work phases, and maintenance work skills; and (4) a Bayesian network module used to combine the simulated workloads with historical data through probabilistic inference. A linear programming model is also developed to improve the efficiency of the decision-making process supported by Bayesian networks. The tool uses real industrial data, comprising 171 aircraft maintenance projects collected at the host organization, and is validated by comparing its results with real observations of a given maintenance intervention to which predictions were made and with a model simulating current forecasting practices employed in industry. Significantly more accurate forecasts have been obtained with the proposed tool, resulting in an important cost saving potential for maintenance organizations.</t>
  </si>
  <si>
    <t>[Dinis, Duarte; Barbosa-Povoa, Ana] Univ Lisbon, Inst Super Tecn, Ctr Management Studies, Lisbon, Portugal; [Teixeira, Angelo Palos] Univ Lisbon, Inst Super Tecn, Ctr Marine Technol &amp; Ocean Engn, Lisbon, Portugal</t>
  </si>
  <si>
    <t>Dinis, D (corresponding author), Inst Super Tecn, Ave Rovisco Pais, P-1049001 Lisbon, Portugal.</t>
  </si>
  <si>
    <t>Barbosa-Povoa, Ana/AFM-0470-2022; Teixeira, Angelo Palos/K-8198-2015; Dinis, Duarte/AAL-9395-2020</t>
  </si>
  <si>
    <t>Teixeira, Angelo Palos/0000-0002-0012-2652; Barbosa-Povoa, Ana/0000-0001-6594-9653; Dinis, Duarte/0000-0002-0515-2316</t>
  </si>
  <si>
    <t>0167-9236</t>
  </si>
  <si>
    <t>1873-5797</t>
  </si>
  <si>
    <t>DECIS SUPPORT SYST</t>
  </si>
  <si>
    <t>Decis. Support Syst.</t>
  </si>
  <si>
    <t>10.1016/j.dss.2020.113266</t>
  </si>
  <si>
    <t>Computer Science, Artificial Intelligence; Computer Science, Information Systems; Operations Research &amp; Management Science</t>
  </si>
  <si>
    <t>Computer Science; Operations Research &amp; Management Science</t>
  </si>
  <si>
    <t>KW4CS</t>
  </si>
  <si>
    <t>WOS:000521113700008</t>
  </si>
  <si>
    <t>Roda, I; Macchi, M; Albanese, S</t>
  </si>
  <si>
    <t>Roda, Irene; Macchi, Marco; Albanese, Saverio</t>
  </si>
  <si>
    <t>Building a Total Cost of Ownership model to support manufacturing asset lifecycle management</t>
  </si>
  <si>
    <t>Total Cost of Ownership; life cycle cost; manufacturing; asset life cycle management; product-service systems</t>
  </si>
  <si>
    <t>MAINTENANCE; CONFIGURATION; RELIABILITY; PERFORMANCE; SIMULATION; FRAMEWORK</t>
  </si>
  <si>
    <t>This paper proposes a methodology to build a Total Cost of Ownership (TCO) model aimed to support decision-making for manufacturing asset lifecycle management. Existing challenges for TCO adoption in industry are identified through literature review and through an explorative multiple case study involving eight manufacturing companies. Based on it, a general methodology is proposed for building a novel asset-centric performance-driven TCO model. The methodology is based on an integrated modelling approach that puts together technical performance analysis and economic analysis, enabling the asset users linking their knowledge about asset performance with offers specifications by the asset providers. In this way, the TCO model becomes a decision-making tool for the asset users that can also guide the relationship with providers. An application case within a chemical production company is described, showing how challenges are addressed through the proposed methodology, within a real context.</t>
  </si>
  <si>
    <t>[Roda, Irene; Macchi, Marco] Politecn Milan, Dept Management Econ &amp; Ind Engn, Piazza Leonardo da Vinci 32, I-20133 Milan, Italy; [Albanese, Saverio] Versalis SpA, Milan, Italy</t>
  </si>
  <si>
    <t>Roda, I (corresponding author), Politecn Milan, Dept Management Econ &amp; Ind Engn, Piazza Leonardo da Vinci 32, I-20133 Milan, Italy.</t>
  </si>
  <si>
    <t>irene.roda@polimi.it</t>
  </si>
  <si>
    <t>10.1080/09537287.2019.1625079</t>
  </si>
  <si>
    <t>JUN 2019</t>
  </si>
  <si>
    <t>JS0IS</t>
  </si>
  <si>
    <t>WOS:000473941700001</t>
  </si>
  <si>
    <t>Zhao, XF; Cai, JJ; Mizutani, S; Nakagawa, T</t>
  </si>
  <si>
    <t>Zhao, Xufeng; Cai, Jiajia; Mizutani, Satoshi; Nakagawa, Toshio</t>
  </si>
  <si>
    <t>Preventive replacement policies with time of operations, mission durations, minimal repairs and maintenance triggering approaches</t>
  </si>
  <si>
    <t>Replacement; Minimal repair; Failure rate; Mission duration; Production system</t>
  </si>
  <si>
    <t>SYSTEMS SUBJECT; OPTIMIZATION; RELIABILITY; STRATEGY; MODELS</t>
  </si>
  <si>
    <t>When a mission arrives at a random time and lasts for a duration, it becomes an interesting problem to plan replacement policies according to the health condition and repair history of the operating unit, as the reliability is required at mission time and no replacement can be done preventively during the mission duration. From this viewpoint, this paper proposes that effective replacement policies should be collaborative ones gathering data from time of operations, mission durations, minimal repairs and maintenance triggering approaches. We firstly discuss replacement policies with time of operations and random arrival times of mission durations, model the policies and find optimum replacement times and mission durations to minimize the expected replacement cost rates analytically. Secondly, replacement policies with minimal repairs and mission durations are discussed in a similar analytical way. Furthermore, the maintenance triggering approaches, i.e., replacement first and last, are also considered into respective replacement policies. Numerical examples are illustrated when the arrival time of the mission has a gamma distribution and the failure time of the unit has a Weibull distribution. In addition, simple case illustrations of maintaining the production system in glass factories are given based on the assumed data.</t>
  </si>
  <si>
    <t>[Zhao, Xufeng; Cai, Jiajia] Nanjing Univ Aeronaut &amp; Astronaut, Coll Econ &amp; Management, 29 Jiangjun Ave, Nanjing 211106, Peoples R China; [Mizutani, Satoshi; Nakagawa, Toshio] Aichi Inst Technol, Dept Business Adm, 1247 Yachigusa,Yakusa Cho, Toyota 4700392, Japan</t>
  </si>
  <si>
    <t>Zhao, XF (corresponding author), Nanjing Univ Aeronaut &amp; Astronaut, Coll Econ &amp; Management, 29 Jiangjun Ave, Nanjing 211106, Peoples R China.</t>
  </si>
  <si>
    <t>蔡, 佳佳/GWZ-3611-2022; Mizutani, Satoshi/JFS-6475-2023</t>
  </si>
  <si>
    <t>National Natural Science Foundation of China [71801126]; Natural Science Foundation of Jiangsu Province [BK20180412]; Aeronautical Science Foundation of China [2018ZG52080]; Japan Society for the Promotion of Science KAKENHI [18K01713]; Grants-in-Aid for Scientific Research [18K01713] Funding Source: KAKEN</t>
  </si>
  <si>
    <t>National Natural Science Foundation of China(National Natural Science Foundation of China (NSFC)); Natural Science Foundation of Jiangsu Province(Natural Science Foundation of Jiangsu Province); Aeronautical Science Foundation of China; Japan Society for the Promotion of Science KAKENHI(Ministry of Education, Culture, Sports, Science and Technology, Japan (MEXT)Japan Society for the Promotion of ScienceGrants-in-Aid for Scientific Research (KAKENHI)); Grants-in-Aid for Scientific Research(Ministry of Education, Culture, Sports, Science and Technology, Japan (MEXT)Japan Society for the Promotion of ScienceGrants-in-Aid for Scientific Research (KAKENHI))</t>
  </si>
  <si>
    <t>This research work is supported by National Natural Science Foundation of China (No. 71801126), Natural Science Foundation of Jiangsu Province (No. BK20180412), Aeronautical Science Foundation of China (No. 2018ZG52080), and Japan Society for the Promotion of Science KAKENHI (No. 18K01713).</t>
  </si>
  <si>
    <t>10.1016/j.jmsy.2020.04.003</t>
  </si>
  <si>
    <t>ZX2QI</t>
  </si>
  <si>
    <t>WOS:000771744100016</t>
  </si>
  <si>
    <t>Alsharqawi, M; Dabous, SA; Zayed, T; Hamdan, S</t>
  </si>
  <si>
    <t>Alsharqawi, Mohammed; Dabous, Saleh Abu; Zayed, Tarek; Hamdan, Sadeque</t>
  </si>
  <si>
    <t>Budget Optimization of Concrete Bridge Decks under Performance-Based Contract Settings</t>
  </si>
  <si>
    <t>Concrete bridge decks; Performance modeling; Maintenance repair; and replacement (MRR); Optimization; Performance-based contracting (PBC); Heuristic genetic algorithm (GA)</t>
  </si>
  <si>
    <t>MAINTENANCE OPTIMIZATION; INFRASTRUCTURE; ALGORITHMS; STRATEGY</t>
  </si>
  <si>
    <t>Growing needs for maintenance, repair, and replacement (MRR) of existing transportation infrastructure signifies the importance of new and innovative contracting strategies. Among the emerging contracting methods in the area of transportation infrastructure management is long-term performance-based maintenance contracts, also known as performance-based contracting (PBC). To date, PBC has not been implemented in the area of bridge infrastructure maintenance management due to uncertainties in the bridge deterioration process and challenges in modeling performance. The main objective of this research is to develop short- and long-term optimal MRR plans for bridge decks under PBC settings. This objective necessitates the development of a performance model to define the current condition of bridges and predict their future deterioration rates. The performance model is essential to select appropriate MRR actions that enable planning these actions and estimating the needed budget. The research introduces an integrated condition as a key performance indicator of the bridge component (i.e., bridge deck). Further, an associated level of service (LOS) threshold is defined. The output of this research is a decision support model for selecting optimal rehabilitation strategies while maintaining a defined performance LOS and budget constraints. A modified genetic algorithm (GA) is developed to perform the optimization of resources under the defined LOS and is coded in MATLAB version R2014a software to perform the needed analysis. The decision support model is evaluated with a real case study for a bridge located in Quebec, Canada. Sensitivity analysis is performed to evaluate the impacts of the decision variables against the cost. For instance, the analysis proved that improving the LOS by 18% requires an increase of an MRR budget by about 51%. Research findings concluded that integrating the PBC approach into the decision-making process offers better results in long-term plans. The focus of this study has mainly been on bridge decks. Future work may target expanding to the other bridge components and additional related assets.</t>
  </si>
  <si>
    <t>[Alsharqawi, Mohammed] Reg Municipal York, Newmarket, ON L3Y 6Z1, Canada; [Dabous, Saleh Abu] Univ Sharjah, Dept Civil &amp; Environm Engn, Sharjah 27272, U Arab Emirates; [Zayed, Tarek] Hong Kong Polytech Univ, Dept Bldg &amp; Real Estate, Hung Hom, Hong Kong, Peoples R China; [Hamdan, Sadeque] Univ Sharjah, Sustainable Engn Asset Management Res Grp, Sharjah 27272, U Arab Emirates; [Hamdan, Sadeque] Univ Paris Saclay, Cent Supelec, Lab Genie Ind, F-91190 Gif Sur Yvette, France</t>
  </si>
  <si>
    <t>University of Sharjah; Hong Kong Polytechnic University; University of Sharjah; Universite Paris Saclay</t>
  </si>
  <si>
    <t>Alsharqawi, M (corresponding author), Reg Municipal York, Newmarket, ON L3Y 6Z1, Canada.</t>
  </si>
  <si>
    <t>mohammcd.alsharqawi@york.ca</t>
  </si>
  <si>
    <t>Alsharqawi, Mohammed/T-2673-2019; Abu Dabous, Saleh/ABA-9351-2021; Hamdan, Sadeque/Q-8778-2019; Zayed, Tarek/L-6437-2018</t>
  </si>
  <si>
    <t>Abu Dabous, Saleh/0000-0002-8777-2331; Hamdan, Sadeque/0000-0002-5265-0836; Alsharqawi, Mohammed/0000-0001-8249-4718</t>
  </si>
  <si>
    <t>JUN 1</t>
  </si>
  <si>
    <t>10.1061/(ASCE)CO.1943-7862.0002043</t>
  </si>
  <si>
    <t>SK8DF</t>
  </si>
  <si>
    <t>WOS:000656445000013</t>
  </si>
  <si>
    <t>Dong, WJ; Liu, SF; Cao, YS; Javed, SA; Du, YY</t>
  </si>
  <si>
    <t>Dong, Wenjie; Liu, Sifeng; Cao, Yingsai; Javed, Saad Ahmed; Du, Yangyang</t>
  </si>
  <si>
    <t>Reliability modeling and optimal random preventive maintenance policy for parallel systems with damage self-healing</t>
  </si>
  <si>
    <t>Damage self-healing; Cumulative shock damage; Reliability analysis; Preventive replacement; Micro-electro-mechanical systems (MEMS)</t>
  </si>
  <si>
    <t>COMPETING FAILURE PROCESSES; RANDOM SHOCKS; SUBJECT; DEGRADATION</t>
  </si>
  <si>
    <t>Materials with intrinsic self-healing phenomenon possess the ability to heal in response to external random shocks. Introducing a recovery factor to quantitatively measure the damage self-recovery efficiency, this paper designs a self-healing mechanism corresponding to both damage load and shock arrival numbers for a parallel redundant system consisting of multiple non-identical components. From the actual engineering perspective, each shock arriving on the system selectively affects one component or more but not necessarily all units in parallel, and consequently, random shocks are categorized according to their sizes, attributes and affected components. This study investigates novel reliability models and schedules optimal preventive maintenance policies, in which the closed-form reliability quantities are derived analytically and the optimum preventive replacement interval is demonstrated theoretically. In addition, a Nelder-Mead downhill simplex method is introduced to seek the optimal replacement age in minimizing the long-run average maintenance cost rate for the condition system failure distribution is rather complex. A micro-electro-mechanical system (MEMS) whose constitutional materials are integrated by microcrystalline silicon, where polymer binders with self-healing capability are always synthesized, is designed to verify the results we obtained numerically, illustrating the significance of considering damage self-healing phenomena.</t>
  </si>
  <si>
    <t>[Dong, Wenjie; Liu, Sifeng; Cao, Yingsai; Du, Yangyang] Nanjing Univ Aeronaut &amp; Astronaut, Coll Econ &amp; Management, 29 Gen Ave, Nanjing 211106, Jiangsu, Peoples R China; [Javed, Saad Ahmed] Nanjing Univ Informat Sci &amp; Technol, Sch Business, Nanjing 210044, Jiangsu, Peoples R China</t>
  </si>
  <si>
    <t>Nanjing University of Aeronautics &amp; Astronautics; Nanjing University of Information Science &amp; Technology</t>
  </si>
  <si>
    <t>Dong, Wenjie/AAA-8559-2019; Javed, Saad Ahmed/H-3907-2014</t>
  </si>
  <si>
    <t>National Natural Science Foundation of China [71671091, 71801127]; China Postdoctoral Science Foundation [2018M630561, 2019TQ0150]; Fundamental Research Funds for the Central Universities [NC2019003, 2019104]; Postgraduate Research &amp; Practice Innovation Program of Jiangsu Province [KYCX19_0141]; China Scholarship Council [201906830041]</t>
  </si>
  <si>
    <t>National Natural Science Foundation of China(National Natural Science Foundation of China (NSFC)); China Postdoctoral Science Foundation(China Postdoctoral Science Foundation); Fundamental Research Funds for the Central Universities(Fundamental Research Funds for the Central Universities); Postgraduate Research &amp; Practice Innovation Program of Jiangsu Province; China Scholarship Council(China Scholarship Council)</t>
  </si>
  <si>
    <t>This work is partially supported by the National Natural Science Foundation of China under Grants 71671091 and 71801127, China Postdoctoral Science Foundation under Grants 2018M630561 and 2019TQ0150, the Fundamental Research Funds for the Central Universities under Grants NC2019003 and 2019104, Postgraduate Research &amp; Practice Innovation Program of Jiangsu Province under Grant KYCX19_0141 and China Scholarship Council under Grant 201906830041.</t>
  </si>
  <si>
    <t>10.1016/j.cie.2020.106359</t>
  </si>
  <si>
    <t>WOS:000525375800037</t>
  </si>
  <si>
    <t>Baraldi, P; Compare, M; Zio, E; Cannarile, F; Yang, Z</t>
  </si>
  <si>
    <t>Baraldi, Piero; Compare, Michele; Zio, Enrico; Cannarile, Francesco; Yang, Zhe</t>
  </si>
  <si>
    <t>The Aramis Data Challenge to prognostics and health management methods for application in evolving environments</t>
  </si>
  <si>
    <t>30th European Safety and Reliability Conference / 15th Probabilistic Safety Assessment and Management Conference (ESREL/PSAM)</t>
  </si>
  <si>
    <t>NOV 01-05, 2020</t>
  </si>
  <si>
    <t>Fault detection; multi-component systems; degradation assessment; deep learning; ensembles of models</t>
  </si>
  <si>
    <t>MULTICOMPONENT SYSTEMS; FAULT-DETECTION; DEGRADATION; MAINTENANCE; BENCHMARK</t>
  </si>
  <si>
    <t>A recurrent difficulty for the effective application of Prognostics and Health Management (PHM) methods is related to the evolving environments in which industrial components typically operate. Several factors render the operational environments evolving, including deterioration of components, effects of maintenance activities and changes in working conditions. The issue of evolving environments is even more complicated for multi-component systems, where the degradation of one component can affect the degradation processes of other components, thus modifying their lifetime distributions and the statistical properties of the monitored signals. In an effort to convey research toward practical PHM solutions capable of dealing with evolving environments, the Aramis challenge on degradation state assessment in evolving environments, has been launched for the ESREL2020-PSAM15 conference. This work describes the Aramis Data Challenge and associated public dataset, illustrates the methods proposed for its solution and the related results obtained. For the evaluation of the goodness of the fault detection methods, an original metric is introduced, which is a variant of the timeliness metric that has been used in the PHM08 data challenge.</t>
  </si>
  <si>
    <t>[Baraldi, Piero; Zio, Enrico; Yang, Zhe] Politecn Milan, Dept Energy, Via Masa 34, I-20156 Milan, Italy; [Compare, Michele; Zio, Enrico; Cannarile, Francesco] Aramis Srl, Milan, Italy; [Zio, Enrico] PSL Res Univ, MINES ParisTech, CRC, Sophia Antipolis, France</t>
  </si>
  <si>
    <t>Polytechnic University of Milan; Universite PSL; MINES ParisTech</t>
  </si>
  <si>
    <t>Baraldi, P (corresponding author), Politecn Milan, Dept Energy, Via Masa 34, I-20156 Milan, Italy.</t>
  </si>
  <si>
    <t>piero.baraldi@polimi.it</t>
  </si>
  <si>
    <t>Cannarile, Francesco/AAT-4490-2020</t>
  </si>
  <si>
    <t>Zio, Enrico/0000-0002-7108-637X; Cannarile, Francesco/0000-0001-7670-6198; Baraldi, Piero/0000-0003-4232-4161</t>
  </si>
  <si>
    <t>European Safety and Reliability Association (ESRA)</t>
  </si>
  <si>
    <t>The author(s) disclosed receipt of the following financial support for the research, authorship, and/or publication of this article: The European Safety and Reliability Association (ESRA) has supported the organization of the Aramis Data Challenge.</t>
  </si>
  <si>
    <t>10.1177/1748006X221107191</t>
  </si>
  <si>
    <t>R7TG8</t>
  </si>
  <si>
    <t>WOS:000821251200001</t>
  </si>
  <si>
    <t>Spagnoletti, P; Kazemargi, N; Prencipe, A</t>
  </si>
  <si>
    <t>Spagnoletti, Paolo; Kazemargi, Niloofar; Prencipe, Andrea</t>
  </si>
  <si>
    <t>Agile Practices and Organizational Agility in Software Ecosystems</t>
  </si>
  <si>
    <t>Software; Research and development; Ecosystems; Maintenance engineering; Organizations; Interviews; Telecommunications; Agility; microfoundations; software development; software maintenance; software products; tensions</t>
  </si>
  <si>
    <t>INFORMATION-TECHNOLOGY; DIGITAL INNOVATION; AMBIDEXTERITY; IMPROVISATION; EXPLOITATION; EXPLORATION; CAPABILITY; CHALLENGES; MANAGEMENT; BUSINESS</t>
  </si>
  <si>
    <t>As software products increasingly become part of larger ecosystems, research and development (R&amp;D) units of software producers organize themselves around projects to become more responsive to the environment. Organizations participating in software ecosystems must continuously adapt and adjust their software development and maintenance processes to drive both medium-term and long-term innovation. Agile methods and practices are widely adopted to guide the collaboration within and between project teams in software development. Moreover, when successfully attained, agility can drive innovation by enabling software development organizations to cope with technological changes and exploit emerging opportunities in software ecosystems. In this article, we focus on how organizations attain agility in the maintenance and development of software products. To answer this question, we conduct a longitudinal case study of Agile Scrum implementation in the R&amp;D unit of a major supplier of telecommunication equipment. We investigate the emerging tensions and highlight practices used to balance these tensions in the Agile Scrum implementation. We identify four capabilities and ten practices that support effective collaboration and coordination in the development and maintenance of software products. The study offers practical guidance for R&amp;D managers to attain agility in software ecosystems.</t>
  </si>
  <si>
    <t>[Spagnoletti, Paolo; Kazemargi, Niloofar; Prencipe, Andrea] LUISS Univ, Dept Business &amp; Management, I-00197 Rome, Italy</t>
  </si>
  <si>
    <t>Luiss Guido Carli University</t>
  </si>
  <si>
    <t>Spagnoletti, P (corresponding author), LUISS Univ, Dept Business &amp; Management, I-00197 Rome, Italy.</t>
  </si>
  <si>
    <t>pspagnoletti@luiss.it; nkazemargi@luiss.it; aprencipe@luiss.it</t>
  </si>
  <si>
    <t>Spagnoletti, Paolo/B-8586-2012</t>
  </si>
  <si>
    <t>KAZEMARGI, NILOOFAR/0000-0001-6342-9558</t>
  </si>
  <si>
    <t>10.1109/TEM.2021.3110105</t>
  </si>
  <si>
    <t>WOS:000732661000001</t>
  </si>
  <si>
    <t>Sgarbossa, F; Zennaro, I; Florian, E; Calzavara, M</t>
  </si>
  <si>
    <t>Sgarbossa, Fabio; Zennaro, Ilenia; Florian, Eleonora; Calzavara, Martina</t>
  </si>
  <si>
    <t>Age replacement policy in the case of no data: the effect of Weibull parameter estimation</t>
  </si>
  <si>
    <t>Age replacement policy; Weibull distribution; TTF; no data; maintenance costs</t>
  </si>
  <si>
    <t>PREVENTIVE MAINTENANCE POLICY; SHAPE-PARAMETER; SELECTION; MODEL; BIAS; PERFORMANCE; PREDICTION; REGRESSION; FAILURES; IMPACT</t>
  </si>
  <si>
    <t>Age replacement is a common maintenance policy when wear-out failures occur, and it is characterised by periodic replacement of components. Data on time to failure (TTF), often modelled with the Weibull function, are necessary for estimating optimal replacement intervals to minimise the total maintenance costs. In many cases, such as new components, new machines or new installations, no TTF data are available, so the Weibull parameters and optimal replacement interval cannot be estimated. To overcome this problem, these parameters can be assessed from the experience of the maintenance engineers and technicians. The aim of this study is investigating the relationship between the error in parameter estimation and additional maintenance costs related to this error. Analysis of variance (ANOVA) and multifactorial analysis are carried out for investigating the influence of these estimations on the final costs. Economic decision maps are introduced for supporting maintenance engineering in defining the maintenance policy with minimal additional cost in the case of no data being available. The analysis shows that, when no data are available, the application of the age replacement policy can result in a global saving of more than 50% compared with corrective maintenance.</t>
  </si>
  <si>
    <t>[Sgarbossa, Fabio] NTNU, Dept Mech &amp; Ind Engn, Trondheim, Norway; [Sgarbossa, Fabio; Zennaro, Ilenia; Florian, Eleonora; Calzavara, Martina] Univ Padua, Dept Management &amp; Engn, Vicenza, Italy</t>
  </si>
  <si>
    <t>Norwegian University of Science &amp; Technology (NTNU); University of Padua</t>
  </si>
  <si>
    <t>Sgarbossa, F (corresponding author), NTNU, Dept Mech &amp; Ind Engn, Trondheim, Norway.;Sgarbossa, F (corresponding author), Univ Padua, Dept Management &amp; Engn, Vicenza, Italy.</t>
  </si>
  <si>
    <t>fabio.sgarbossa@ntnu.no</t>
  </si>
  <si>
    <t>zennaro, ilenia/AAP-6201-2020; Calzavara, Martina/ABD-5199-2022</t>
  </si>
  <si>
    <t>Sgarbossa, Fabio/0000-0002-9541-3515</t>
  </si>
  <si>
    <t>10.1080/00207543.2019.1660824</t>
  </si>
  <si>
    <t>NS0PX</t>
  </si>
  <si>
    <t>WOS:000485975700001</t>
  </si>
  <si>
    <t>Asghari, V; Hsu, SC; Wei, HH</t>
  </si>
  <si>
    <t>Asghari, Vahid; Hsu, Shu-Chien; Wei, Hsi-Hsien</t>
  </si>
  <si>
    <t>Expediting Life Cycle Cost Analysis of Infrastructure Assets under Multiple Uncertainties by Deep Neural Networks</t>
  </si>
  <si>
    <t>Project-level asset management; Maintenance optimization; Deep neural networks (DNN); Life cycle cost analysis (LCCA)</t>
  </si>
  <si>
    <t>Deteriorating and at-risk infrastructure assets should be maintained at acceptable conditions by asset management systems (AMSs) to ensure the safety and welfare of communities. Project-level AMSs have been proposed to optimize maintenance interventions in the life cycle of assets by incorporating probabilistic and complex models but at the expense of relatively high computation time. To make complex project-level AMSs computationally applicable to all assets in a network, this paper presents a methodology to replace the time-consuming simulation modules of optimization algorithms with a trained machine learning model estimating life cycle cost analysis (LCCA) results. Deep neural network (DNN) models were trained on LCCA results of more than 1.4 million semisynthesized bridges based on the US National Bridge Inventory considering different intervention actions and uncertainties about condition ratings, hazards, and costs. Our findings show that the trained DNN models can accurately estimate the complex LCCA results five order of magnitudes faster than simulation techniques. The proposed methodology helps practitioners reduce the optimization and LCCA computation times of complex AMSs to a feasible level for practical utilization.</t>
  </si>
  <si>
    <t>[Asghari, Vahid; Hsu, Shu-Chien] Hong Kong Polytech Univ, Dept Civil &amp; Environm Engn, Kowloon, 181 Chatham Rd South, Hong Kong, Peoples R China; [Wei, Hsi-Hsien] Hong Kong Polytech Univ, Dept Bldg &amp; Real Estate, Kowloon, 181 Chatham Rd South, Hong Kong, Peoples R China</t>
  </si>
  <si>
    <t>Hong Kong Polytechnic University; Hong Kong Polytechnic University</t>
  </si>
  <si>
    <t>Hsu, SC (corresponding author), Hong Kong Polytech Univ, Dept Civil &amp; Environm Engn, Kowloon, 181 Chatham Rd South, Hong Kong, Peoples R China.</t>
  </si>
  <si>
    <t>vahid.asghari@connect.polyu.hk; mark.hsu@polyu.edu.hk; hhwei@polyu.edu.hk</t>
  </si>
  <si>
    <t>Asghari, Vahid/GLU-3244-2022; Wei, Hsi/AAR-4108-2020; Hsu, Shu-Chien/AAD-3314-2020</t>
  </si>
  <si>
    <t>Hsu, Shu-Chien/0000-0002-7232-9839; Asghari, Vahid/0000-0002-2399-4592; Wei, Hsi-Hsien/0000-0002-7024-0726</t>
  </si>
  <si>
    <t>10.1061/(ASCE)ME.1943-5479.0000950</t>
  </si>
  <si>
    <t>UR2TB</t>
  </si>
  <si>
    <t>WOS:000696605400016</t>
  </si>
  <si>
    <t>Dui, H; Dong, XH; Liu, M</t>
  </si>
  <si>
    <t>Dui, Hongyan; Dong, Xinghui; Liu, Meng</t>
  </si>
  <si>
    <t>A data-driven construction method of aggregated value chain in three phases for manufacturing enterprises</t>
  </si>
  <si>
    <t>Manufacturing enterprise; Reliability evaluation; Maintenance strategy; Value chain digital ecosystem; Demand prediction</t>
  </si>
  <si>
    <t>PREDICTIVE MAINTENANCE; RELIABILITY ASSESSMENT; SYSTEM; PERFORMANCE; MODEL</t>
  </si>
  <si>
    <t>Under the dual influence of dual -carbon policies and the complex international situation, manufacturing enterprises urgently need to build digital value chain ecosystems to adapt to changes in market demand. However, in this process, manufacturing enterprises face many challenges such as multi -stage test data and heterogeneous information sources, large errors in product demand prediction, and uncertainty in maintenance thresholds and maintenance sequences. To address these challenges, a data -driven value chain integration approach is proposed in this paper to build a digital value chain ecosystem for enterprises. In the product design phase, a Bayesian assessment technique is introduced to integrate information from multiple sources. In the product sales phase, a two -stage sales prediction method is proposed. A planning model with variance maximization, correlation minimization, and estimation error minimization as decision objectives is introduced for weight search with ensemble learning. In the after -sales stage of the product, a cost -optimized dynamic maintenance strategy with a maintenance threshold as a constraint is constructed using the number of maintenance and the maintenance interval as decision variables. In addition, cost -based maintenance prioritization is included. Finally, the applicability of the proposed method is verified by the production data of a real manufacturing enterprise. Our findings suggest that the proposed approach helps manufacturing enterprises to aggregate, co -create, and upgrade their value chains. At the same time, manufacturing enterprises should actively build digital value chain ecosystems and dynamically adjust their maintenance strategies according to the production process and life cycle of their products to obtain the best economic benefits.</t>
  </si>
  <si>
    <t>[Dui, Hongyan; Dong, Xinghui] Zhengzhou Univ, Sch Management, Zhengzhou 450001, Peoples R China; [Liu, Meng] Beihang Univ, Sch Reliabil &amp; Syst Engn, Beijing, Peoples R China</t>
  </si>
  <si>
    <t>Zhengzhou University; Beihang University</t>
  </si>
  <si>
    <t>Dong, Xinghui/0009-0007-8105-4850; Dui, Hongyan/0000-0002-2277-6454</t>
  </si>
  <si>
    <t>The authors gratefully acknowledge the financial support for this research from the National Natural Science Foundation of China (72071182) .</t>
  </si>
  <si>
    <t>10.1016/j.cie.2024.109964</t>
  </si>
  <si>
    <t>KN3E1</t>
  </si>
  <si>
    <t>WOS:001180596700001</t>
  </si>
  <si>
    <t>Yousefi, N; Coit, DW; Zhu, XY</t>
  </si>
  <si>
    <t>Yousefi, Nooshin; Coit, David W.; Zhu, Xiaoyan</t>
  </si>
  <si>
    <t>Dynamic maintenance policy for systems with repairable components subject to mutually dependent competing failure processes</t>
  </si>
  <si>
    <t>Individually repairable component; Inspection interval; Multi-component system; Gamma process; Mutually dependent competing failure process</t>
  </si>
  <si>
    <t>RELIABILITY; WEAR</t>
  </si>
  <si>
    <t>In this paper, a repairable multi-component system is studied where all the components can be repaired individually within the system. The whole system is inspected at inspection intervals and the failed components are detected and replaced with a new one, while the other components continue functioning. Replacing components individually within the system makes their initial age to be different at each inspection time. Different initial age of all the components have effect on the system reliability and probability of failure and consequently the optimal inspection time, which is for the whole system not individual components. A dynamic maintenance policy is proposed to find the next inspection time based on the initial age of all the components. Two competing failure processes of degradation and a shock process are considered for each component. In our paper, there is a mutual dependency between the degradation process and shock process. Each incoming shock adds additional abrupt damages on the cumulative degradation path of all the components, and the shock arrival process is affected by the system degradation process. A realistic numerical example is presented to illustrate the proposed reliability and maintenance model.</t>
  </si>
  <si>
    <t>[Yousefi, Nooshin; Coit, David W.] Rutgers State Univ, Dept Ind &amp; Syst Engn, Piscataway, NJ 08854 USA; [Coit, David W.] Tsinghua Univ, Beijing, Peoples R China; [Zhu, Xiaoyan] Univ Chinese Acad Sci, Sch Econ &amp; Management, Beijing, Peoples R China</t>
  </si>
  <si>
    <t>Rutgers University System; Rutgers University New Brunswick; Tsinghua University; Chinese Academy of Sciences; University of Chinese Academy of Sciences, CAS</t>
  </si>
  <si>
    <t>Yousefi, N (corresponding author), Rutgers State Univ, Dept Ind &amp; Syst Engn, Piscataway, NJ 08854 USA.</t>
  </si>
  <si>
    <t>no.yousefi@rutgers.edu; coit@soe.rutgers.edu; xzhu5@ucas.ac.cn</t>
  </si>
  <si>
    <t>Yousefi, Nooshin/M-2969-2019; zhu, xiaoyan/AAQ-6601-2021</t>
  </si>
  <si>
    <t>Coit, David William/0000-0002-5825-2548</t>
  </si>
  <si>
    <t>10.1016/j.cie.2020.106398</t>
  </si>
  <si>
    <t>WOS:000525872600018</t>
  </si>
  <si>
    <t>Rasztorf, R; Urbaniak, M; Zimon, D</t>
  </si>
  <si>
    <t>Rasztorf, Rafal; Urbaniak, Maciej; Zimon, Dominik</t>
  </si>
  <si>
    <t>THE ROLE OF QUALITY IN BUILDING RELATIONSHIPS WITH MRO (MAINTENANCE, REPAIR AND OPERATING) SUPPLIERS</t>
  </si>
  <si>
    <t>MRO; Quality; Suppliers</t>
  </si>
  <si>
    <t>Building relationships with MRO (Maintenance, Repair and Operating) suppliers by manufacturing companies is of particular importance to ensure continuous processes in the supply chain. For this reason, it is particularly important for the customer companies to ensure quality by MRO suppliers. The results of the empirical research clearly indicate that the quality of products plays a priority role as a criterion for selecting and building relationships with MRO suppliers. These suppliers are assessed in detail both in terms of the technical quality delivered through product quality control and organizational quality through periodic process audits. More and more often, companies that are buyers not only set requirements and assessment criteria, but also offer support programs to their suppliers. These programs focus on the possibilities of improving the technical quality of products as well as the quality of processes by improving their efficiency and effectiveness.</t>
  </si>
  <si>
    <t>[Rasztorf, Rafal] Lotos Serv Orlen Capital Grp, Gdansk, Poland; [Urbaniak, Maciej] Univ Lodz, Lodz, Poland; [Zimon, Dominik] Univ Informat Technol &amp; Management Rzeszow, Rzeszow, Poland</t>
  </si>
  <si>
    <t>University of Lodz; University of Information Technology &amp; Management Rzeszow</t>
  </si>
  <si>
    <t>Zimon, D (corresponding author), Univ Informat Technol &amp; Management Rzeszow, Rzeszow, Poland.</t>
  </si>
  <si>
    <t>Rafal.Rasztorf@lotosserwis.pl; maciej.urbaniak@uni.lodz.pl; dzimon@wsiz.edu.pl</t>
  </si>
  <si>
    <t>Urbaniak, Maciej/AAU-5485-2020; Zimon, Dominik/W-1634-2017</t>
  </si>
  <si>
    <t>10.24874/IJQR17.03-09</t>
  </si>
  <si>
    <t>CZ7F2</t>
  </si>
  <si>
    <t>WOS:001129110400001</t>
  </si>
  <si>
    <t>Dui, H; Lu, YH; Chen, LW</t>
  </si>
  <si>
    <t>Dui, Hongyan; Lu, Yaohui; Chen, Liwei</t>
  </si>
  <si>
    <t>Importance-based system cost management and failure risk analysis for different phases in life cycle</t>
  </si>
  <si>
    <t>System cost; Importance measures; Life cycle; Reliability; Failure risk</t>
  </si>
  <si>
    <t>OPTIMIZATION; MAINTENANCE</t>
  </si>
  <si>
    <t>System life cycle can be divided into four phases: the production phase, the operation phase, maintenance phase and the end-of-life phase. Component failure leads to the different variable costs in different phases. Existing studies have investigated systems from a cost-effectiveness perspective of the operation and maintenance stage, which may not be holistic. Furthermore, the expected failure cost can be used to evaluate the failure risk. In this paper, a generalized system cost for different phases is analyzed in life cycle, then a risk optimization is studied based on an improvement importance. Firstly, a comprehensive life cycle cost model is proposed. Specifically, the operation and maintenance costs due to the different types of component failures are discussed, respectively. Besides, a specific selection method for performing end-of-life in case of component failure is given using the recovery importance. Secondly, an improvement importance is proposed to optimize system reliability under invariant resources. Thirdly, the specific process of the failure risk under limited resource using improvement importance is analyzed. Finally, the proposed methods are verified using two applications, and a discussion on unlimited resources for risk optimization is given.</t>
  </si>
  <si>
    <t>[Dui, Hongyan] Zhengzhou Univ, Sch Management, Zhengzhou 450001, Peoples R China; [Lu, Yaohui] Beihang Univ, Sch Automat Sci &amp; Elect Engn, Beijing 100191, Peoples R China; [Chen, Liwei] Zhengzhou Univ, Sch Elect &amp; Informat Engn, Zhengzhou 450001, Peoples R China</t>
  </si>
  <si>
    <t>Zhengzhou University; Beihang University; Zhengzhou University</t>
  </si>
  <si>
    <t>Dui, Hongyan/0000-0002-2277-6454; chen, liwei/0000-0001-8284-6904; Lu, Yaohui/0009-0009-7604-8063</t>
  </si>
  <si>
    <t>10.1016/j.ress.2023.109785</t>
  </si>
  <si>
    <t>Z1KC1</t>
  </si>
  <si>
    <t>WOS:001109731300001</t>
  </si>
  <si>
    <t>Gholizadeh, H; Taft, AF; Taheri, F; Fazlollahtabar, H; Goh, M; Molaee, Z</t>
  </si>
  <si>
    <t>Gholizadeh, Hadi; Taft, Ali Falahati; Taheri, Farid; Fazlollahtabar, Hamed; Goh, Mark; Molaee, Zohreh</t>
  </si>
  <si>
    <t>Designing a closed-loop green outsourced maintenance supply chain network for advanced manufacturing systems with redundancy strategy and eco-friendly parts</t>
  </si>
  <si>
    <t>APPLIED INTELLIGENCE</t>
  </si>
  <si>
    <t>Eco-friendly supply chain; Hybrid algorithm; Reliability redundancy; Standby strategies</t>
  </si>
  <si>
    <t>SWARM OPTIMIZATION ALGORITHM; COLD-STANDBY SYSTEMS; ALLOCATION PROBLEM; GENETIC ALGORITHM; MULTIPLE-CHOICE; HARMONY SEARCH; ANT COLONY; RELIABILITY; COMPONENTS; MODEL</t>
  </si>
  <si>
    <t>This paper presents a framework for designing a closed-loop green supply chain network (CLGSCN) that incorporates a redundancy strategy for maximum reliability and eco-friendliness. The network consists of production centers, repairs, and spare parts, with maintenance outsourced to ensure that spare parts circulate within the network for as long as possible. The proposed multi-objective mixed-integer program considers environmental considerations, service costs, routing decisions, cycle times, and assignments, with active and cold standby strategies for maximum reliability. A hybrid heuristics algorithm and multi-choice meta-goal programming with utility function are applied to solve the multi-objective model. The case study demonstrates the applicability of the model in real-world scenarios, offering valuable insights for optimized spare-part supply for maintenance and delivery. Sensitivity analyses show that the objectives are highly sensitive to the parameters, including the failure rate, demand, and reliability of the components, and results show an approximate decrease of 15.3% in the total cost and an increase of 2.83% in eco-friendly parts and finally increase of 11.25% in reliability with active standby strategy. Overall, this paper contributes to the field of supply chain management for advanced manufacturing systems both theoretically and practically, with potential benefits for businesses and society.</t>
  </si>
  <si>
    <t>[Gholizadeh, Hadi] Univ Laval, Dept Genie Mecan, Quebec City, PQ, Canada; [Taft, Ali Falahati] Islamic Azad Univ Branch Karaj, Dept Civil Engn, Karaj, Iran; [Taheri, Farid; Molaee, Zohreh] Mazandaran Univ Sci &amp; Technol, Dept Ind Engn, Babol, Iran; [Fazlollahtabar, Hamed] Damghan Univ, Sch Engn, Dept Ind Engn, Damghan, Iran; [Goh, Mark] Natl Univ Singapore, NUS Business Sch, Singapore, Singapore; [Goh, Mark] Natl Univ Singapore, Logist Inst Asia Pacific, Singapore, Singapore</t>
  </si>
  <si>
    <t>Laval University; Damghan University; National University of Singapore; National University of Singapore</t>
  </si>
  <si>
    <t>Gholizadeh, H (corresponding author), Univ Laval, Dept Genie Mecan, Quebec City, PQ, Canada.</t>
  </si>
  <si>
    <t>Hadi.gh1988@gmail.com; bizgohkh@nus.edu.sg</t>
  </si>
  <si>
    <t>Gholizadeh, Hadi/AAM-4415-2020</t>
  </si>
  <si>
    <t>0924-669X</t>
  </si>
  <si>
    <t>1573-7497</t>
  </si>
  <si>
    <t>APPL INTELL</t>
  </si>
  <si>
    <t>Appl. Intell.</t>
  </si>
  <si>
    <t>10.1007/s10489-023-04821-z</t>
  </si>
  <si>
    <t>U9LK5</t>
  </si>
  <si>
    <t>WOS:001029707900001</t>
  </si>
  <si>
    <t>Wang, RC; Cheng, ZH; Dong, EZ; Rong, LQ</t>
  </si>
  <si>
    <t>Wang, Rongcai; Cheng, Zhonghua; Dong, Enzhi; Rong, Liqing</t>
  </si>
  <si>
    <t>Condition-Based Maintenance Modeling and Reliability Assessment for Multi-Component Systems with Structural Dependence under Extended Warranty</t>
  </si>
  <si>
    <t>COMPLEXITY</t>
  </si>
  <si>
    <t>REPLACEMENT MODELS; PRODUCT WARRANTY; OPTIMIZATION; STRATEGY; DESIGN; MANAGEMENT; COMPONENTS; FAILURES; POLICIES</t>
  </si>
  <si>
    <t>For engineering and production systems, due to the structural dependence between components, the disassembly operation caused by the replacement of components will affect the failure and degradation processes of other components in the system. In order to optimize the extended warranty (EW) cost of the multi-component system with structural dependence, this paper described the structural dependence and modeled the disassembly operation impact, and then the failure rate model of the component considering the impact of disassembly operation under EW was developed. Combined with the actual situation, a condition-based maintenance (CBM) strategy was employed to construct the EW cost model of the multi-component system with structural dependence. Monte Carlo simulation was proposed to determine the optimal EW cost of the system and the optimal periodic inspection interval of the CBM strategy. Finally, a numerical example of the planetary gear train of an automobile generator is introduced to demonstrate the feasibility and advantages of the proposed model in EW cost optimization and the analysis of disassembly operation impact on the optimal maintenance strategy.</t>
  </si>
  <si>
    <t>[Wang, Rongcai; Cheng, Zhonghua; Dong, Enzhi; Rong, Liqing] Army Engn Univ, Shijiazhuang Campus, Shijiazhuang 050003, Hebei, Peoples R China</t>
  </si>
  <si>
    <t>Army Engineering University of PLA</t>
  </si>
  <si>
    <t>Cheng, ZH (corresponding author), Army Engn Univ, Shijiazhuang Campus, Shijiazhuang 050003, Hebei, Peoples R China.</t>
  </si>
  <si>
    <t>asd3v36@163.com</t>
  </si>
  <si>
    <t>/0000-0001-6839-1181</t>
  </si>
  <si>
    <t>National Natural Science Foundation of China [71871219]</t>
  </si>
  <si>
    <t>This research work was financially supported by the National Natural Science Foundation of China (no. 71871219).</t>
  </si>
  <si>
    <t>WILEY-HINDAWI</t>
  </si>
  <si>
    <t>ADAM HOUSE, 3RD FL, 1 FITZROY SQ, LONDON, WIT 5HE, ENGLAND</t>
  </si>
  <si>
    <t>1076-2787</t>
  </si>
  <si>
    <t>1099-0526</t>
  </si>
  <si>
    <t>Complexity</t>
  </si>
  <si>
    <t>AUG 6</t>
  </si>
  <si>
    <t>10.1155/2021/8938767</t>
  </si>
  <si>
    <t>Mathematics, Interdisciplinary Applications; Multidisciplinary Sciences</t>
  </si>
  <si>
    <t>Mathematics; Science &amp; Technology - Other Topics</t>
  </si>
  <si>
    <t>UC7VL</t>
  </si>
  <si>
    <t>WOS:000686731700001</t>
  </si>
  <si>
    <t>Compare, M; Bellani, L; Zio, E</t>
  </si>
  <si>
    <t>Compare, Michele; Bellani, Luca; Zio, Enrico</t>
  </si>
  <si>
    <t>Optimal allocation of prognostics and health management capabilities to improve the reliability of a power transmission network</t>
  </si>
  <si>
    <t>Maintenance; PHM; Portfolio decision analysis; Power transmission system; Reliability allocation</t>
  </si>
  <si>
    <t>GENETIC ALGORITHMS; SYSTEMS; OPTIMIZATION; INFORMATION; EXPANSION</t>
  </si>
  <si>
    <t>We introduce a new perspective to improve the reliability of a network, which aims at finding cost-effective portfolios of Prognostics and Health Management (PHM) systems to be installed throughout the network. To do this, we estimate the reliability of the single network element equipped with a PHM system, whose prognostic performance is measured in terms of the a A performance, false positive and false negative metrics. Then, we apply genetic algorithms for finding the portfolios of PHM systems to be installed on the network elements, which are optimal with respect to cost and a global reliability efficiency index of the network. The workbench case study of the IEEE 14 bus network is considered as application.</t>
  </si>
  <si>
    <t>[Compare, Michele; Bellani, Luca; Zio, Enrico] Politecn Milan, Enery Dept, Milan, Italy; [Compare, Michele; Bellani, Luca; Zio, Enrico] Aramis Srl, Milan, Italy; [Zio, Enrico] CentraleSupelec, Fdn Elect France, Syst Sci &amp; Energet Challenge, Chatenay Malabry, France</t>
  </si>
  <si>
    <t>Polytechnic University of Milan; Universite Paris Saclay; Electricite de France (EDF)</t>
  </si>
  <si>
    <t>Zio, E (corresponding author), Politecn Milan, Enery Dept, Milan, Italy.</t>
  </si>
  <si>
    <t>enrico.zio@polimi.it</t>
  </si>
  <si>
    <t>Bellani, Luca/0000-0003-2247-1156; compare, michele/0000-0003-1992-7319</t>
  </si>
  <si>
    <t>10.1016/j.ress.2018.04.025</t>
  </si>
  <si>
    <t>HL3CK</t>
  </si>
  <si>
    <t>Green Submitted, Green Published, Bronze</t>
  </si>
  <si>
    <t>WOS:000458590200016</t>
  </si>
  <si>
    <t>Shang, LJ; Qiu, QG; Wang, X</t>
  </si>
  <si>
    <t>Shang, Lijun; Qiu, Qingan; Wang, Xin</t>
  </si>
  <si>
    <t>Random periodic replacement models after the expiry of 2D-warranty</t>
  </si>
  <si>
    <t>Working cycle; Two-dimensional warranty; Post-warranty reliability; Random maintenance polices; Cost rate model</t>
  </si>
  <si>
    <t>RELIABILITY EVALUATION; EXTENDED WARRANTY; MAINTENANCE; OPTIMIZATION; DESIGN; PRODUCTS; SUBJECT; POLICIES; COST; LAST</t>
  </si>
  <si>
    <t>The rapid development of advanced sensor technologies makes it possible to monitor the working cycle of products, which enables manufacturers to design warranty policies by monitoring working cycle during the warranty period and facilitates consumers to carry out post-warranty maintenance by tracking the post-warranty working cycle. The optimal warranty and maintenance policies considering random working cycles is rarely studied in existing literature. In this article, we make contribution by incorporating the limited number of random working cycle into a warranty term and proposing two types of two-dimensional warranty, which guarantees the product reliability performance by monitoring working cycle during the warranty period. Based on the proposed warranty policy, we further investigate the optimal post-warranty random maintenance policies from consumers' perspective, including the random periodic replacement first and replacement last policies, which enhances the post-warranty reliability by monitoring the post-warranty working cycle. The warranty cost model is established under each proposed warranty policy, and the cost rate is evaluated under each post-warranty random maintenance policy. Some special cases of the established models are provided and discussed. By numerical experiments, we conduct sensitivity analysis of the proposed warranty and post-warranty random maintenance polices.</t>
  </si>
  <si>
    <t>[Shang, Lijun; Wang, Xin] Foshan Univ, Sch Qual Management &amp; Standardizat, Foshan, Peoples R China; [Qiu, Qingan] Beijing Inst Technol, Sch Management &amp; Econ, Beijing, Peoples R China</t>
  </si>
  <si>
    <t>Foshan University; Beijing Institute of Technology</t>
  </si>
  <si>
    <t>National Social Science Foundation of China [72001026]; Base and Basic Applied Study of Guangdong Province [2020A1515011360]; China Postdoctoral Science Foundation [2020M680399]</t>
  </si>
  <si>
    <t>National Social Science Foundation of China(National Office of Philosophy and Social Sciences); Base and Basic Applied Study of Guangdong Province; China Postdoctoral Science Foundation(China Postdoctoral Science Foundation)</t>
  </si>
  <si>
    <t>This article is supported by National Social Science Foundation of China (No. 72001026), the Base and Basic Applied Study of Guangdong Province (No. 2020A1515011360) and China Postdoctoral Science Foundation (2020M680399).</t>
  </si>
  <si>
    <t>10.1016/j.cie.2021.107885</t>
  </si>
  <si>
    <t>WOS:000752860400018</t>
  </si>
  <si>
    <t>Dias, L; Leitao, A; Guimaraes, L</t>
  </si>
  <si>
    <t>Dias, Luis; Leitao, Armando; Guimaraes, Luis</t>
  </si>
  <si>
    <t>Resource definition and allocation for a multi-asset portfolio with heterogeneous degradation</t>
  </si>
  <si>
    <t>Asset management; Multi-asset system; Gamma process; Condition-based maintenance; Stochastic optimization; Mean-variance optimization</t>
  </si>
  <si>
    <t>STANDBY REDUNDANT SYSTEM; MAINTENANCE POLICIES; OPTIMIZATION; REPAIR; RELIABILITY; QUALITY; MODELS; LIFE; WEAR</t>
  </si>
  <si>
    <t>When making long-term plans for their asset portfolios, decision-makers have to define a priori a maintenance budget that is to be shared among the several assets and managed throughout the planning period. During the planning period, the a priori budget is then allocated by managers to different operation and maintenance interventions ensuring the overall performance of the system. Because asset degradation is stochastic, a considerable amount of uncertainty is associated with this problem. Hence, to define a robust budget, it is essential to account for several degradation scenarios pertaining to the individual condition of each asset. This paper presents a novel mathematical formulation to tackle this problem in a heterogeneous multiasset portfolio. The proposed mathematical model was formulated as a mixed-integer programming two-stage stochastic optimization model with mean-variance constraints to minimize the number of scenarios with an insufficient budget. A Gamma process was used to model the condition of each individual asset while taking into consideration different technological features and operating conditions. We compared the solutions obtained with our model to alternative practices in a set of generated instances covering different types of multi-asset portfolios. This comparison allowed us to explore the value of modeling uncertainty and how it affects the generated solutions. The proposed approach led to gains in performance of up to 50% depending on the level of uncertainty. Furthermore, the model was validated using real-world data from a utility company working with portfolios of power transformers. The results obtained showed that the company could reduce costs by as much as 40%. Further conclusions showed that the cost-saving potential was higher in asset portfolios in worse condition and that defining a priori operation and maintenance interventions led to worse results. Finally, the results showcased how different decision-maker risk-levels affect the value of taking uncertainty into account.</t>
  </si>
  <si>
    <t>[Dias, Luis; Leitao, Armando; Guimaraes, Luis] INESC Technol &amp; Sci INESC TEC, Campus FEUP,Rua Dr Roberto Frias, P-4200465 Porto, Portugal; Univ Porto, Fac Engn, Rua Dr Roberto Frias, P-4200465 Porto, Portugal</t>
  </si>
  <si>
    <t>INESC TEC; Universidade do Porto; Universidade do Porto</t>
  </si>
  <si>
    <t>Dias, L (corresponding author), INESC Technol &amp; Sci INESC TEC, Campus FEUP,Rua Dr Roberto Frias, P-4200465 Porto, Portugal.</t>
  </si>
  <si>
    <t>luis.m.dias@inesctec.pt</t>
  </si>
  <si>
    <t>Dias, Luis/0000-0002-8706-8141; LEITAO, ARMANDO/0000-0003-2394-3960; Guimaraes, Luis/0000-0002-6293-5691</t>
  </si>
  <si>
    <t>Portuguese Foundation for Science and Technology (FCT) [SFRH/BD/149128/2019]; Fundação para a Ciência e a Tecnologia [SFRH/BD/149128/2019] Funding Source: FCT</t>
  </si>
  <si>
    <t>Portuguese Foundation for Science and Technology (FCT)(Fundacao para a Ciencia e a Tecnologia (FCT)); Fundação para a Ciência e a Tecnologia(Fundacao para a Ciencia e a Tecnologia (FCT))</t>
  </si>
  <si>
    <t>This research was partly supported by the PhD grant SFRH/BD/149128/2019, awarded by the Portuguese Foundation for Science and Technology (FCT). This support is gratefully acknowledged.</t>
  </si>
  <si>
    <t>10.1016/j.ress.2021.107768</t>
  </si>
  <si>
    <t>WOS:000663910500047</t>
  </si>
  <si>
    <t>Yang, DY; Frangopol, DM</t>
  </si>
  <si>
    <t>Yang, David Y.; Frangopol, Dan M.</t>
  </si>
  <si>
    <t>Life-cycle management of deteriorating civil infrastructure considering resilience to lifetime hazards: A general approach based on renewal-reward processes</t>
  </si>
  <si>
    <t>Renewal theory; Resilience; Life-cycle assessment; Life-cycle management; Stochastic modeling</t>
  </si>
  <si>
    <t>RELIABILITY ASSESSMENT; MAINTENANCE; RISK; OPTIMIZATION; COST; PERFORMANCE; BRIDGES; DESIGN; SUSTAINABILITY; DEGRADATION</t>
  </si>
  <si>
    <t>Civil infrastructure during its service life is subject to progressive deterioration due to aggressive environments and sudden deterioration due to natural and/or manmade hazards. This paper presents a general approach to perform life-cycle management considering both types of deterioration. As an important aspect of life-cycle asset management under hazards, the present study introduces a novel concept, referred to as lifetime resilience. The lifetime resilience of a deteriorating structure is characterized by its cumulative losses to lifetime hazards. By modeling lifetime hazards and life-cycle performance as renewal-reward processes, the proposed approach resorts to the renewal theory to formulate analytical expressions of expected values of lifetime intervention costs, lifetime failure risks, and lifetime resilience losses. Owing to the efficiency in evaluating these expressions, a generic life-cycle management framework is proposed using multi-objective optimization. This proposed framework is applicable to a wide range of civil infrastructure systems under various types of hazards. The proposed approach is illustrated by using a numerical example.</t>
  </si>
  <si>
    <t>[Yang, David Y.; Frangopol, Dan M.] Lehigh Univ, Dept Civil &amp; Environm Engn, ATLSS Engn Res Ctr, Bethlehem, PA 18015 USA</t>
  </si>
  <si>
    <t>Lehigh University</t>
  </si>
  <si>
    <t>Frangopol, DM (corresponding author), Lehigh Univ, Dept Civil &amp; Environm Engn, ATLSS Engn Res Ctr, Bethlehem, PA 18015 USA.</t>
  </si>
  <si>
    <t>dan.frangopol@lehigh.edu</t>
  </si>
  <si>
    <t>Frangopol, Dan/A-7408-2015; Yang, David/L-2053-2017</t>
  </si>
  <si>
    <t>Yang, David/0000-0003-0959-6333</t>
  </si>
  <si>
    <t>U.S. National Science Foundation [CMMI 1537926]</t>
  </si>
  <si>
    <t>The authors are grateful for the financial support received from the U.S. National Science Foundation Grant CMMI 1537926. The opinions and conclusions presented in this paper are those of the authors and do not necessarily reflect the views of the sponsoring organization.</t>
  </si>
  <si>
    <t>10.1016/j.ress.2018.11.016</t>
  </si>
  <si>
    <t>WOS:000455693700016</t>
  </si>
  <si>
    <t>Zhao, F; Liu, XJ; Peng, R; Kang, JS</t>
  </si>
  <si>
    <t>Zhao, Fei; Liu, Xuejuan; Peng, Rui; Kang, Jianshe</t>
  </si>
  <si>
    <t>Joint optimization of inspection and spare ordering policy with multi-level defect information</t>
  </si>
  <si>
    <t>Condition-based maintenance; Inspection; Spare ordering; Delay time; Three-stage failure process</t>
  </si>
  <si>
    <t>AGE-REPLACEMENT POLICY; PREDICTIVE MAINTENANCE; DETERIORATING SYSTEMS; MINIMAL-REPAIR; LEAD-TIME; MODEL; DECISION; SUBJECT; DRIVEN; STRATEGY</t>
  </si>
  <si>
    <t>Condition-based maintenance (CBM) is addressing increasing attention in asset management, which makes both maintenance and spare decision-making based on system health state. This paper presents a joint inspection and spare ordering policy for a single-unit system with two levels of defective states, namely minor and severe defective. Inspections are executed irregularly to reveal the defective state, followed by separate spare decision depending on the severity level of defects. The identification of minor defective triggers a normal order, which checks system status more frequently by shortening the inspection interval. Preventive replacement (PR) is scheduled upon the identification of severe defective state, and corrective replacement (CR) is executed upon failure. The timeliness of PR/CR is determined by the availability of spare. PR/CR is immediate if the normal ordered spare is available, and emergency order is needed when facing shortage of normal order. We introduce a threshold level to decide whether to place an emergency order or wait for the normal order when the normal ordered spare hasn't been delivered. The ultimate objective is to minimize the long-run expected cost per unit time via joint optimization of both inspection interval and threshold level. An optimization algorithm is presented to illustrate the applicability of the policy in the case study. The results show that it is cost effective to shorten the inspection interval from 20 days to 12 days, and the effect of some parameters on the optimal decisions, such as different defective levels, lead time of an emergency order and availability constraint, are also explored and analyzed.</t>
  </si>
  <si>
    <t>[Zhao, Fei] Northeastern Univ, Sch Business Adm, Shenyang, Peoples R China; [Zhao, Fei] Northeastern Univ Qinhuangdao, Qinhuangdao, Hebei, Peoples R China; [Zhao, Fei; Kang, Jianshe] Army Engn Univ PLA, Shijiazhuang, Hebei, Peoples R China; [Liu, Xuejuan] Univ Sci &amp; Technol Beijing, Donlinks Sch Econ &amp; Management, Beijing, Peoples R China; [Peng, Rui] Beijing Univ Technol, Sch Econ &amp; Management, Beijing, Peoples R China</t>
  </si>
  <si>
    <t>Northeastern University - China; Northeastern University - China; Army Engineering University of PLA; University of Science &amp; Technology Beijing; Beijing University of Technology</t>
  </si>
  <si>
    <t>Zhao, F (corresponding author), 3-11 Wenhua Rd, Shenyang 110819, Peoples R China.</t>
  </si>
  <si>
    <t>zhaofei@neuq.edu.cn</t>
  </si>
  <si>
    <t>Zhao, Fei/AAV-3045-2020; Peng, Rui/AAL-7506-2020</t>
  </si>
  <si>
    <t>National Natural Science Foundation of China [71701038, 71701037, 71601019]; China Ministry of Education Humanities and Social Sciences Research Youth Fund Project [16YJC630174]; Hebei Province Natural Science Foundation of China [G2019501074]; Fundamental Research Funds for the Central Universities of China [N172304017]</t>
  </si>
  <si>
    <t>National Natural Science Foundation of China(National Natural Science Foundation of China (NSFC)); China Ministry of Education Humanities and Social Sciences Research Youth Fund Project; Hebei Province Natural Science Foundation of China(Natural Science Foundation of Hebei Province); Fundamental Research Funds for the Central Universities of China(Fundamental Research Funds for the Central Universities)</t>
  </si>
  <si>
    <t>The research report here is partially supported by the National Natural Science Foundation of China (Nos. 71701038, 71701037 and 71601019), China Ministry of Education Humanities and Social Sciences Research Youth Fund Project (No. 16YJC630174), Hebei Province Natural Science Foundation of China (No. G2019501074), and the Fundamental Research Funds for the Central Universities of China (No. N172304017).</t>
  </si>
  <si>
    <t>10.1016/j.cie.2019.106205</t>
  </si>
  <si>
    <t>KG2PE</t>
  </si>
  <si>
    <t>WOS:000509784000042</t>
  </si>
  <si>
    <t>Moniri-Morad, A; Pourgol-Mohammad, M; Aghababaei, H; Sattarvand, J</t>
  </si>
  <si>
    <t>Moniri-Morad, Amin; Pourgol-Mohammad, Mohammad; Aghababaei, Hamid; Sattarvand, Javad</t>
  </si>
  <si>
    <t>Reliability-based covariate analysis for complex systems in heterogeneous environment: Case study of mining equipment</t>
  </si>
  <si>
    <t>Flexible parametric proportional hazards model; natural cubic splines; reliability; maintainability; dynamic environment; mining equipment</t>
  </si>
  <si>
    <t>PROPORTIONAL HAZARDS MODEL; REGRESSION-MODELS; MAINTENANCE; METHODOLOGY</t>
  </si>
  <si>
    <t>Operational heterogeneity and harsh environment lead to major variations in production system performance and safety. Traditional probabilistic model is dealt with time-to-event data analysis, which does not have the capability of quantifying and simulation of these types of complexities. This research proposes an integrated methodology for analyzing the impact of dominant explanatory variables on the complex system reliability. A flexible parametric proportional hazards model is developed by focusing on standard parametric Cox regression model for reliability evaluation in complex systems. To achieve this, natural cubic splines are utilized to create a smooth and flexible baseline hazards function where the standard parametric distribution functions do not fit into the failure data set. A real case study is considered to evaluate the reliability for multi-component mechanical systems such as mining equipment. Different operational and environmental explanatory variables are chosen for the analysis process. Research findings revealed that precise estimation of the baseline hazards function is a major part of the reliability evaluation in heterogeneous environment. It is concluded that an appropriate maintenance strategy potentially mitigate the equipment failure intensity.</t>
  </si>
  <si>
    <t>[Moniri-Morad, Amin; Aghababaei, Hamid] Sahand Univ Technol, Dept Min Engn, Tabriz, Iran; [Pourgol-Mohammad, Mohammad] Sahand Univ Technol, Dept Mech Engn, Tabriz, Iran; [Sattarvand, Javad] Univ Nevada, Dept Min &amp; Met Engn, Reno, NV 89557 USA</t>
  </si>
  <si>
    <t>Sahand University of Technology; Sahand University of Technology; Nevada System of Higher Education (NSHE); University of Nevada Reno</t>
  </si>
  <si>
    <t>Aghababaei, H (corresponding author), Sahand Univ Technol, Dept Min Engn, Tabriz, Iran.;Pourgol-Mohammad, M (corresponding author), Sahand Univ Technol, Dept Mech Engn, Tabriz, Iran.</t>
  </si>
  <si>
    <t>pourgolmohammad@sut.ac.ir; babaei@sut.ac.ir</t>
  </si>
  <si>
    <t>Pourgol-Mohammad, Mohammad/I-5142-2019</t>
  </si>
  <si>
    <t>Sattarvand, Javad/0000-0002-9364-8775</t>
  </si>
  <si>
    <t>maintenance management department at Sungun copper mine</t>
  </si>
  <si>
    <t>The authors would like to acknowledge the support of the maintenance management department at Sungun copper mine.</t>
  </si>
  <si>
    <t>10.1177/1748006X18807091</t>
  </si>
  <si>
    <t>WOS:000478598600007</t>
  </si>
  <si>
    <t>Chatterjee, D; Sarkar, J</t>
  </si>
  <si>
    <t>Chatterjee, Debolina; Sarkar, Jyotirmoy</t>
  </si>
  <si>
    <t>Optimal replacement policies for systems under sporadic shocks and healing impetus</t>
  </si>
  <si>
    <t>Reliability; counting process; adjusted convolution; maintenance cost; cycle time</t>
  </si>
  <si>
    <t>MAINTENANCE POLICIES; RELIABILITY; SUBJECT; MODEL</t>
  </si>
  <si>
    <t>A system is experiencing two kinds of sporadic impacts: valid shocks that cause damage instantaneously, and positive interventions that induce partial healing. Whereas each shock inflicts a fixed magnitude of damage, the accumulated effect of k positive interventions nullify the damaging effect of one shock. The system is said to be in stage 1, when it can possibly heal, until the net count of impacts (valid shocks registered minus valid shocks nullified) reaches a threshold m(1). Thereafter, the system enters stage 2, when no more healing is possible. The system fails when the net count of valid shocks reaches another threshold m(2) ( &gt; m(1)). The inter-arrival times between successive valid shocks and those between successive positive interventions are independent and follow arbitrary distributions; thereby we remove the restrictive assumption of exponential distributions often found in the literature. We find the distributions of the sojourn time in stage 1 and the failure time of the system. Finally, we find the optimal values of choice variables that minimize the expected maintenance cost per unit time for three different maintenance policies.</t>
  </si>
  <si>
    <t>[Chatterjee, Debolina; Sarkar, Jyotirmoy] Indiana Univ Purdue Univ, Dept Math Sci, 402 N Blackford St, Indianapolis, IN 46202 USA</t>
  </si>
  <si>
    <t>Chatterjee, D (corresponding author), Indiana Univ Purdue Univ, Dept Math Sci, 402 N Blackford St, Indianapolis, IN 46202 USA.</t>
  </si>
  <si>
    <t>debolinastat@gmail.com</t>
  </si>
  <si>
    <t>Chatterjee, Debolina/ITW-0852-2023</t>
  </si>
  <si>
    <t>Chatterjee, Debolina/0000-0003-1934-8923</t>
  </si>
  <si>
    <t>SEP 3</t>
  </si>
  <si>
    <t>10.1080/16843703.2022.2051846</t>
  </si>
  <si>
    <t>4D7AI</t>
  </si>
  <si>
    <t>WOS:000787270100001</t>
  </si>
  <si>
    <t>Huang, YS; Ho, JW; Hung, JW; Tseng, TL</t>
  </si>
  <si>
    <t>Huang, Yeu-Shiang; Ho, Jyh-Wen; Hung, Jin-Wei; Tseng, Tzu-Liang (Bill)</t>
  </si>
  <si>
    <t>A customized warranty model by considering multi-usage levels for the leasing industry</t>
  </si>
  <si>
    <t>Reliability; Two-dimensional warranty; Preventive maintenance; Lease contract; Heterogeneous Customers; Customization</t>
  </si>
  <si>
    <t>OPTIMAL PREVENTIVE MAINTENANCE; LEASED EQUIPMENT; EXTENDED WARRANTY; POLICY; CONTRACT; STRATEGY</t>
  </si>
  <si>
    <t>In addition to the high acquisition cost of large-scale equipment, firms may also have to pay for costly repairs and maintenance for subsequent conditions of inadequate reliability and malfunctions. Therefore, instead of purchasing, many firms have considered obtaining large-scale equipment through leasing. Considering customization for heterogeneous consumers, which allows consumers to choose different leasing programs, firms can meet customer demands by enhancing their degree of satisfaction. This study considers customized leasing services and develops a pricing model for the leasing industry, in which the heterogeneity of customers, two-dimensional warranties, and preventive maintenance are taken into account for the purpose of establishing a customized leasing contract. Customers are categorized into three types according to their levels of usage of the leasing product: high, moderate, and low, and the lessor respectively provides the three corresponding leasing services. The various leasing services consist of different lease fees and preventive maintenance policies. The objective of this study is to assist the lessors in developing an optimal lease contract for heterogeneous lessees with different usage types. The results of the study show that when the penalties for higher usage customers who purchase lower-usage services are managed, offering a customized lease contract will elevate lessee willingness toward purchasing lease services, and therefore increase the total profit of the lessor.</t>
  </si>
  <si>
    <t>[Huang, Yeu-Shiang; Hung, Jin-Wei] Natl Cheng Kung Univ, Ctr Innovat FinTech Business Models, Dept Ind &amp; Informat Management, Tainan, Taiwan; [Ho, Jyh-Wen] Aletheia Univ, Dept Ind Management &amp; Enterprise Informat, Taipei, Taiwan; [Tseng, Tzu-Liang (Bill)] Univ Texas El Paso, Dept Ind Mfg &amp; Syst Engn, El Paso, TX USA</t>
  </si>
  <si>
    <t>National Cheng Kung University; Aletheia University; University of Texas System; University of Texas El Paso</t>
  </si>
  <si>
    <t>Huang, Yeu-Shiang/0000-0003-1805-5088; Tseng, Bill/0000-0002-3903-529X</t>
  </si>
  <si>
    <t>10.1016/j.ress.2021.107769</t>
  </si>
  <si>
    <t>WOS:000690283800007</t>
  </si>
  <si>
    <t>Qiao, PR; Ma, YZ; Luo, M; Shen, JY; Zhou, HT</t>
  </si>
  <si>
    <t>Qiao, Peirui; Ma, Yizhong; Luo, Ming; Shen, Jingyuan; Zhou, Hanting</t>
  </si>
  <si>
    <t>Reliability modeling and warranty optimization for products with self-healing under a dynamic shock environment</t>
  </si>
  <si>
    <t>Self -healing; Dynamic shock environment; Reliability modeling; Two -stage warranty; Preventive maintenance</t>
  </si>
  <si>
    <t>PREVENTIVE MAINTENANCE; SYSTEMS; POLICIES; NOISE</t>
  </si>
  <si>
    <t>As modern products evolve in intelligence, self-healing mechanisms have been gaining prominence in the field of reliability. In actual operation, the performance of a product is inevitably influenced by external environments and user interactions. However, existing warranty studies often overlook these factors, leading to oversimplifications in product reliability modeling. This paper offers a comprehensive and realistic view of the product failure process by integrating the dynamic shock environment, inherent self-healing property, and postsale consumer utilization. The constructed reliability evaluation model accounts for fatal and non-fatal shocks with a dynamic time-varying failure threshold. We introduce the concept of self-healing trigger/delay time, considering a generalized self-healing process. The approximate product reliability is derived, and its accuracy is validated using Monte Carlo simulations. Then, derived from real-world practices, we propose a novel two-stage warranty policy which combines lemon law principles with preventive maintenance. By minimizing the expected cost rate throughout the warranty service period, a preventive maintenance schedule optimization model is developed from the manufacturer's perspective. Finally, a numerical case is presented to reveal the influences of different factors on product reliability and demonstrate the existence of the optimal solution.</t>
  </si>
  <si>
    <t>[Qiao, Peirui; Ma, Yizhong; Shen, Jingyuan] Nanjing Univ Sci &amp; Technol, Sch Econ &amp; Management, Nanjing 210094, Jiangsu, Peoples R China; [Luo, Ming] Univ Bristol, Business Sch, Bristol BS8 1QU, England; [Zhou, Hanting] HangZhou DianZi Univ, Sch Management, Hangzhou 310018, Zhejiang, Peoples R China</t>
  </si>
  <si>
    <t>Nanjing University of Science &amp; Technology; University of Bristol; Hangzhou Dianzi University</t>
  </si>
  <si>
    <t>Shen, JY (corresponding author), Nanjing Univ Sci &amp; Technol, Sch Econ &amp; Management, Nanjing 210094, Jiangsu, Peoples R China.</t>
  </si>
  <si>
    <t>Zhou, Hanting/KIH-2126-2024; LUO, Ming/D-4080-2009</t>
  </si>
  <si>
    <t>Luo, Ming/0000-0001-9955-0333</t>
  </si>
  <si>
    <t>National Natural Science Foundation of China [71931006, 72171117]</t>
  </si>
  <si>
    <t>This work was supported by the National Natural Science Foundation of China (Nos. 71931006 and 72171117).</t>
  </si>
  <si>
    <t>10.1016/j.ress.2024.110174</t>
  </si>
  <si>
    <t>TV8I6</t>
  </si>
  <si>
    <t>WOS:001244122700001</t>
  </si>
  <si>
    <t>Zhao, X; Sun, LP; Wang, MY; Wang, XY</t>
  </si>
  <si>
    <t>Zhao, Xian; Sun, Leping; Wang, Mengyuan; Wang, Xiaoyue</t>
  </si>
  <si>
    <t>A shock model for multi-component system considering the cumulative effect of severely damaged components</t>
  </si>
  <si>
    <t>Reliability; Shock model; Overlapping finite Markov chain imbedding approach; Maintenance policy</t>
  </si>
  <si>
    <t>RELIABILITY-ANALYSIS; MAINTENANCE; CHAIN; SUBJECT; QUALITY; FAILURE</t>
  </si>
  <si>
    <t>In this paper, a new shock model for multi-component system combining the cumulative effect of severely damaged components with individual component failure is proposed. It is motivated by the battery pack in an electric vehicle, where some severely damaged cells usually have crucial impacts on the performance of the whole battery pack. In the new model, we introduce a definition of target component to represent such severely damaged components. The proposed system works in a shock environment and has two failure criteria. First, the system fails if at least one component fails. Besides, the system also breaks down when the total number of damaging shocks that some target components have suffered reaches a predetermined critical value. The overlapping finite Markov chain imbedding approach is proposed for the first time to derive system reliability and expected shock length. An integrated maintenance policy is designed for a special case where the time intervals between any two consecutive shocks follow a continuous phase-type distribution, and a corresponding optimization model is established to obtain the optimal inspection time. Several numerical examples for battery packs in electric vehicles are calculated to illustrate the proposed shock model and maintenance policy. This study is of reference value and application significance for similar multi-component systems.</t>
  </si>
  <si>
    <t>[Zhao, Xian; Sun, Leping; Wang, Mengyuan] Beijing Inst Technol, Sch Management &amp; Econ, Beijing 100081, Peoples R China; [Wang, Xiaoyue] Beijing Technol &amp; Business Univ, Sch Business, Beijing 100048, Peoples R China</t>
  </si>
  <si>
    <t>Beijing Institute of Technology; Beijing Technology &amp; Business University</t>
  </si>
  <si>
    <t>10.1016/j.cie.2019.106027</t>
  </si>
  <si>
    <t>WOS:000500376700023</t>
  </si>
  <si>
    <t>Finkelstein, M; Cha, JH; Langston, A</t>
  </si>
  <si>
    <t>Finkelstein, Maxim; Cha, Ji Hwan; Langston, Amy</t>
  </si>
  <si>
    <t>Improving classical optimal age-replacement policies for degrading items</t>
  </si>
  <si>
    <t>Preventive maintenance; Inspection; Poison process; Gamma process; Failure threshold</t>
  </si>
  <si>
    <t>PREVENTIVE MAINTENANCE</t>
  </si>
  <si>
    <t>We consider items with observable at inspections degradation. Following an inspection, a decision is made whether to replace an item or to continue operation. When degradation is relatively small, it is cost-beneficial to continue operation and postpone the preventive maintenance. The innovative, probabilistically justified replacement policy defines the postponement in this case. It is based on comparison of the observed degradation with the specially defined reference values. Degradation is modeled by the increasing stochastic process, specifically by the Poisson counting process and by the homogeneous gamma process. Detailed illustrative numerical examples describing the main steps of the developed original methodology are provided. They also show that the proposed policy can result in a significant cost reduction and increase in the replacement times.</t>
  </si>
  <si>
    <t>[Finkelstein, Maxim] Univ Free State, Dept Math Stat, Bloemfontein, South Africa; [Finkelstein, Maxim] Univ Strathclyde, Dept Management Sci, Glasgow, Scotland; [Cha, Ji Hwan] Ewha Womans Univ, Dept Stat, Seoul 120750, South Korea; [Langston, Amy] Rhodes Univ, Dept Stat, Grahamstown, South Africa</t>
  </si>
  <si>
    <t>University of the Free State; University of Strathclyde; Ewha Womans University; Rhodes University</t>
  </si>
  <si>
    <t>Finkelstein, Maxim/0000-0002-3018-8353; Langston, Amy/0000-0002-5217-4219</t>
  </si>
  <si>
    <t>National Research Foundation of Korea (NRF) - Ministry of Education [2019R1A6A1A11051177]</t>
  </si>
  <si>
    <t>National Research Foundation of Korea (NRF) - Ministry of Education(National Research Foundation of KoreaMinistry of Education (MOE), Republic of Korea)</t>
  </si>
  <si>
    <t>The authors would like to thank the reviewers for helpful comments and advice. The work of the second author was supported by Basic Science Research Program through the National Research Foundation of Korea (NRF) funded by the Ministry of Education (Grant Number: 2019R1A6A1A11051177) .</t>
  </si>
  <si>
    <t>10.1016/j.ress.2023.109303</t>
  </si>
  <si>
    <t>G6CJ3</t>
  </si>
  <si>
    <t>WOS:000990010900001</t>
  </si>
  <si>
    <t>Lim, S; Chi, S</t>
  </si>
  <si>
    <t>Lim, Soram; Chi, Seokho</t>
  </si>
  <si>
    <t>Xgboost application on bridge management systems for proactive damage estimation</t>
  </si>
  <si>
    <t>Bridge inspection; BMS; Bridge damage estimation; Damage influencing factor; XGBoost</t>
  </si>
  <si>
    <t>Bridge inspection is one of the most fundamental tasks in bridge management practices. Because of limited professional manpower and budget constraints, providing prior information about possible damage can reduce inspection errors and time. The purpose of this study was to estimate the condition of bridges at a damage level, considering various influencing factors for seven different damage types by six different main structure types, using data from the Korean Bridge Management System. The extreme gradient boosting (XGBoost) method was used because it has the advantage of not assuming determinacy and independence, and it clearly can handle the numerous variables that affect damage to bridges. As a result, out of the 38 decision trees that were generated, 36 trees were derived with significant performance measures. The influence of the variables was calculated by the Shapley Additive Explanation (SHAP) value. Age, average daily truck traffic, vehicle weight limit, total length, and effective width were found to be the major factors that influenced damage to bridges. This study confirmed that more detailed structural factors were significant contributors to severe damage to complex structural designs and the use of multiple kinds of materials, such as the cross-sectional properties of girders for the concrete deck of bridges with steel girders compared to the properties of the decks for bridges made of a simple slab of reinforced concrete. The research findings emphasized the benefits of artificial intelligence in the analysis of the conditions of bridges and showed its potential for use in network-level decision making for preventive maintenance.</t>
  </si>
  <si>
    <t>[Lim, Soram; Chi, Seokho] Seoul Natl Univ, Dept Civil &amp; Environm Engn, 1 Gwanak Ro, Seoul 08826, South Korea; [Chi, Seokho] ICEE, 1 Gwanak Ro, Seoul 08826, South Korea</t>
  </si>
  <si>
    <t>Chi, S (corresponding author), Seoul Natl Univ, Dept Civil &amp; Environm Engn, 1 Gwanak Ro, Seoul 08826, South Korea.</t>
  </si>
  <si>
    <t>sorami@snu.ac.kr; shchi@snu.ac.kr</t>
  </si>
  <si>
    <t>Chi, Seokho/0000-0002-0409-5268</t>
  </si>
  <si>
    <t>Basic Science Research Program through the National Research Foundation of Korea (NRF) - Ministry of Science, ICT &amp; Future Planning [2017R1C1B2009237]; Promising-Pioneering Researcher Program through Seoul National University (SNU) in 2015</t>
  </si>
  <si>
    <t>Basic Science Research Program through the National Research Foundation of Korea (NRF) - Ministry of Science, ICT &amp; Future Planning; Promising-Pioneering Researcher Program through Seoul National University (SNU) in 2015</t>
  </si>
  <si>
    <t>This research was supported by the Basic Science Research Program through the National Research Foundation of Korea (NRF) funded by the Ministry of Science, ICT &amp; Future Planning [grant number 2017R1C1B2009237) and the Promising-Pioneering Researcher Program through Seoul National University (SNU) in 2015.</t>
  </si>
  <si>
    <t>10.1016/j.aei.2019.100922</t>
  </si>
  <si>
    <t>IH2KH</t>
  </si>
  <si>
    <t>WOS:000474323200013</t>
  </si>
  <si>
    <t>Li, T; He, SG; Zhao, XJ</t>
  </si>
  <si>
    <t>Li, Ting; He, Shuguang; Zhao, Xiujie</t>
  </si>
  <si>
    <t>Optimal warranty policy design for deteriorating products with random failure threshold</t>
  </si>
  <si>
    <t>Degradation; Maintenance times; Random failure threshold; Warranty policy</t>
  </si>
  <si>
    <t>MODEL; DEGRADATION; MAINTENANCE; INSPECTION; CLAIMS</t>
  </si>
  <si>
    <t>With the rapid development of technologies and increasing availability of degradation data, the design of appropriate warranty policy for products subject to performance deterioration has hitherto received more attention in boosting profits and improving the competition of enterprises. In most existing works, a product is considered to have failed and trigger a warranty service when the degradation level exceeds the constant failure threshold. However, the stochastic nature of failure threshold exists in many applications. In this study, firstly, two truncated distributions are employed to model the random failure threshold. Then we propose three types of warranty policies-free replacement, full refund and partial refund, that take into account the random failure threshold based on the degradation model. Under the first policy, the manufacturer's total expected profit is maximized to determine the optimal price and warranty period, besides these, the prescribed maintenance times can also be obtained under the other two policies. We further compare these warranty policies under random failure threshold characterized by different distributions. Finally, a numerical example is presented along with sensitivity analysis to illustrate and compare the proposed warranty policies, showing that the parameters of degradation model and random failure threshold can lead to different expected profits.</t>
  </si>
  <si>
    <t>[Li, Ting; He, Shuguang; Zhao, Xiujie] Tianjin Univ, Coll Management &amp; Econ, Tianjin 300072, Peoples R China</t>
  </si>
  <si>
    <t>National Natural Science Foundation of China [72032005, 71872123, 72002149, 71802145, 72002066]</t>
  </si>
  <si>
    <t>The authors would like to thank the editor and anonymous reviewers for their insightful comments and suggestions. This work was financially supported by the National Natural Science Foundation of China [Grant NO. 72032005, 71872123, 72002149, 71802145, 72002066].</t>
  </si>
  <si>
    <t>10.1016/j.ress.2021.108142</t>
  </si>
  <si>
    <t>XM1LW</t>
  </si>
  <si>
    <t>WOS:000728598300024</t>
  </si>
  <si>
    <t>Gerst, MD; Coelho, M; Yazdi-Samadi, MR; Reilly, A; Kenney, MA</t>
  </si>
  <si>
    <t>Gerst, Michael D.; Coelho, Maria; Yazdi-Samadi, Mohammad Reza; Reilly, Allison; Kenney, Melissa A.</t>
  </si>
  <si>
    <t>Observed and Potential Conflicts in Management of Interdependent Infrastructure Systems</t>
  </si>
  <si>
    <t>TRANSACTION-COST ECONOMICS; CRITICAL DECISION METHOD; INTERORGANIZATIONAL RELATIONSHIPS; RELATIONAL GOVERNANCE; ORGANIZATION; RESTORATION; CONTRACTS; BEHAVIOR; DESIGN; TRUST</t>
  </si>
  <si>
    <t>In recent decades, there has been considerable research into how infrastructure systems and sectors mutually rely upon each other, how a single failure in one system can cascade and affect numerous systems, and how collective restoration sequences should be conceived. However, lacking in these discussions are how individual decision-making heuristics, intraorganizational structure and priorities, and interorganizational conflict influence infrastructure operator decisions, and how this, in turn, influences the collective performance and reliability of coupled infrastructure. Building upon literature on intra- and interorganizational conflict and governance, we develop a conceptual framework for contextualizing the operational and strategic decision patterns of operators of complex interdependent systems during situations of high uncertainty. This enables us to pinpoint (some) sources of conflict that, if addressed and resolved, could induce multiple beneficial collective outcomes. These benefits, in principle, include faster outage recoveries and better reliability. The framework is demonstrated in proof-of-concept case study of outages of an interdependent infrastructure system (electrical power, steam, water, and information technology) at a large university campus in the US. Using cognitive task analysis, system operators were interviewed about their experiences with outage events. The resulting qualitative data were assessed for patterns using the framework. We find that (1) improved communication to reduce ambiguity, (2) stronger relational norms, and (3) alternative contractual incentives and penalties may induce better coordinated maintenance and operations across the systems. Because interdependent infrastructure modeling often examines only incentives and penalties, our results highlight how qualitative analysis of individual and organizational conflict and governance can provide complementary insights. Interdependent infrastructure systems, which are coupled via physical, geographic, institutional, and cyber linkages, are becoming increasingly critical to modern society while at the same time being exposed to greater threats, such as climate change. Thus, understanding their resilience to hazards is of great importance to the continuation of the reliable services they provide. Much of the scientific work in the area of interdependent infrastructure resilience has focused on creating optimal system configuration and response strategies, which provides useful guidance, but often neglects that such configurations and strategies will have to be operated and implemented by managers and operators, who by nature of being human, do not always act optimally. Thus, a gap in understanding of how managers and operators might behave when given the opportunity to act only in their personal or their system's interest potentially leaves optimal plans vulnerable. This study outlines a framework for identifying ways in which noncooperative behavior among managers and operators might lead to interdependent infrastructure systems deviating from optimal behavior. Furthermore, the framework links these potential areas of conflict with management and governance responses that can be implemented to foster resilience across systems.</t>
  </si>
  <si>
    <t>[Gerst, Michael D.] Univ Maryland, Earth Syst Sci Interdisciplinary Ctr, 5825 Univ Res Ct,Suite 4001, College Pk, MD 20740 USA; [Coelho, Maria] Idaho Natl Lab, Dept Digital Engn, POB 1625,MS 1334, Idaho Falls, ID 83415 USA; [Yazdi-Samadi, Mohammad Reza; Reilly, Allison] Univ Maryland, Dept Civil &amp; Environm Engn, 1173 Glenn Martin Hall, College Pk, MD 20743 USA; [Kenney, Melissa A.] Univ Minnesota, Inst Environm, Res &amp; Knowledge Initiat, 1954 Buford Ave,Off Room 325K, St Paul, MN 55108 USA</t>
  </si>
  <si>
    <t>University System of Maryland; University of Maryland College Park; United States Department of Energy (DOE); Idaho National Laboratory; University System of Maryland; University of Maryland College Park; University of Minnesota System; University of Minnesota Twin Cities</t>
  </si>
  <si>
    <t>Gerst, MD (corresponding author), Univ Maryland, Earth Syst Sci Interdisciplinary Ctr, 5825 Univ Res Ct,Suite 4001, College Pk, MD 20740 USA.</t>
  </si>
  <si>
    <t>mgerst@umd.edu; mariaeduarda.montezzocoelho@inl.gov; yazdisam@umd.edu; areilly2@umd.edu; makenney@umn.edu</t>
  </si>
  <si>
    <t>Reilly, Allison/HGA-8219-2022; Kenney, Melissa/H-6426-2014</t>
  </si>
  <si>
    <t>Kenney, Melissa/0000-0002-2121-8135; Reilly, Allison/0000-0001-7209-3566</t>
  </si>
  <si>
    <t>National Science Foundation (NSF) [1832642]</t>
  </si>
  <si>
    <t>National Science Foundation (NSF)(National Science Foundation (NSF))</t>
  </si>
  <si>
    <t>This work is funded by grants from the National Science Foundation (NSF), Grant No. 1832642, CRISP 2.0 Type 1: Accelerating restoration through information-sharing: Understanding operator behavior for improved management of interdependent infrastructure. The support of the sponsor is gratefully acknowledged. Any opinions, findings, conclusions or recommendations presented in this paper are those of the authors and do not necessarily reflect the view of the National Science Foundation.</t>
  </si>
  <si>
    <t>JUL 1</t>
  </si>
  <si>
    <t>10.1061/JMENEA.MEENG-5907</t>
  </si>
  <si>
    <t>QT8T7</t>
  </si>
  <si>
    <t>WOS:001223219300011</t>
  </si>
  <si>
    <t>Wu, B; Wei, XH; Zhang, YM; Bai, SJ</t>
  </si>
  <si>
    <t>Wu, Bei; Wei, Xiaohua; Zhang, Yamei; Bai, Sijun</t>
  </si>
  <si>
    <t>Modeling dynamic environment effects on dependent failure processes with varying failure thresholds</t>
  </si>
  <si>
    <t>Markovian environment; Degradation modeling; Random shock; Reliability index; Real-time maintenance; Periodical inspection</t>
  </si>
  <si>
    <t>DETERIORATING SYSTEM SUBJECT; RELIABILITY-ANALYSIS; MAINTENANCE POLICY; DEGRADATION; AVAILABILITY; PERFORMANCE</t>
  </si>
  <si>
    <t>Devices usually fail due to multiple dependent competing failure processes resulting from internal degradation and random shocks, whose behavior may vary in different environments. This paper focuses on systems suf-fering from randomly occurring shocks described by Poisson processes and internal degradation characterized by linear path models simultaneously, where the wear rate, shock arrival rate, shock load size, and shock damage amount are modulated by Markovian environments, especially the hard failure threshold differs in distinct environments. Reliability analysis is performed where analytical formulas and simulation algorithms for computing reliability indexes of systems are provided, such as the reliability function. Two maintenance models are developed for systems, including a real-time maintenance policy where the computation formula for the availability function is derived, and a periodic inspection policy in which an optimization model is proposed to find the optimal inspection interval that minimizes the average long-run cost rate. Finally, an illustrative example of floating offshore wind turbine systems is given to demonstrate possible applications of the developed models and proposed methods.</t>
  </si>
  <si>
    <t>[Wu, Bei; Wei, Xiaohua; Zhang, Yamei; Bai, Sijun] Northwestern Polytech Univ, Sch Management, Xian 710072, Peoples R China</t>
  </si>
  <si>
    <t>Bai, SJ (corresponding author), Northwestern Polytech Univ, Sch Management, Xian 710072, Peoples R China.</t>
  </si>
  <si>
    <t>baisj@nwpu.edu.cn</t>
  </si>
  <si>
    <t>National Natural Science Foundation of China; Fundamental Research Funds for the Central Universities; [72101205]; [3102021XJS05]</t>
  </si>
  <si>
    <t>National Natural Science Foundation of China(National Natural Science Foundation of China (NSFC)); Fundamental Research Funds for the Central Universities(Fundamental Research Funds for the Central Universities); ;</t>
  </si>
  <si>
    <t>Acknowledgments The study is supported by the National Natural Science Foundation of China under grant 72101205 and the Fundamental Research Funds for the Central Universities under grant 3102021XJS05.</t>
  </si>
  <si>
    <t>10.1016/j.ress.2022.108848</t>
  </si>
  <si>
    <t>5J5DW</t>
  </si>
  <si>
    <t>WOS:000869062300008</t>
  </si>
  <si>
    <t>Sinisterra, WQ; Cavalcante, CAV</t>
  </si>
  <si>
    <t>Sinisterra, Wilfrido Quinones; Virginio Cavalcante, Cristiano Alexandre</t>
  </si>
  <si>
    <t>An integrated model of production scheduling and inspection planning for resumable jobs</t>
  </si>
  <si>
    <t>Production; Inspection policy; Delay time; Schedule; Integrated maintenance and production; planning; Job sequence</t>
  </si>
  <si>
    <t>ECONOMIC PRODUCTION QUANTITY; PRODUCTION SYSTEM; OPPORTUNISTIC MAINTENANCE; PERIODIC MAINTENANCE; REPLACEMENT POLICY; DETERIORATING JOBS; MACHINE; QUALITY; OPTIMIZATION; FAILURE</t>
  </si>
  <si>
    <t>We developed a model that integrates the schedule of a sequence of resumable jobs and inspection policy for the processing of n jobs with different processing times in a single-component system, whose failures follow a two-stage process. The assignment of inspections is performed at the beginning of the job; if an inspection detects the system to be in a defective state, preventive replacement is performed, whereas if the system fails, minimal repair is carried out to restore the system to an operational condition in the defective state. Analytical and simulation models are proposed to establish the best sequence of jobs and inspections that minimize the expected total cost. The expected total cost is composed of expected maintenance cost and expected tardiness cost. We present a numerical study that demonstrates the importance of integrating inspection policy with the sequencing of jobs, as such integration can lead to a significant cost reduction. The most interesting insights brought by the model highlight the importance of the effectiveness of maintenance actions (perform actions in smaller time and less cost), as well as the importance of deciding the correct moment to do them, considering the sequence of jobs.</t>
  </si>
  <si>
    <t>[Sinisterra, Wilfrido Quinones; Virginio Cavalcante, Cristiano Alexandre] Univ Fed Pernambuco, Dept Engn Management, RANDOM Res Grp Risk &amp; Decis Anal Operat &amp; Mainten, BR-50740550 Recife, PE, Brazil</t>
  </si>
  <si>
    <t>Cavalcante, CAV (corresponding author), Univ Fed Pernambuco, Dept Engn Management, RANDOM Res Grp Risk &amp; Decis Anal Operat &amp; Mainten, BR-50740550 Recife, PE, Brazil.</t>
  </si>
  <si>
    <t>wilfrido.quinones@ufpe.br; cristiano@ufpe.br</t>
  </si>
  <si>
    <t>Cavalcante, Cristiano/AAA-5048-2019; Quiñones, Wilfrido/HPC-4043-2023; Cavalcante, Cristiano/G-9570-2012</t>
  </si>
  <si>
    <t>Cavalcante, Cristiano/0000-0003-1466-656X; Quinones, Wilfrido/0000-0002-9535-2230</t>
  </si>
  <si>
    <t>CNPq (Brazilian Research Council); Coordenacao de Aperfeicoamento de Pessoal de Nivel Superior - Brasil [001]</t>
  </si>
  <si>
    <t>CNPq (Brazilian Research Council)(Conselho Nacional de Desenvolvimento Cientifico e Tecnologico (CNPQ)); Coordenacao de Aperfeicoamento de Pessoal de Nivel Superior - Brasil(Coordenacao de Aperfeicoamento de Pessoal de Nivel Superior (CAPES))</t>
  </si>
  <si>
    <t>The work of Cristiano Cavalcante was supported by CNPq (Brazilian Research Council). The work of Wilfrido Quinones was financed in part by the Coordenacao de Aperfeicoamento de Pessoal de Nivel Superior - Brasil (CAPES) - Finance Code 001.</t>
  </si>
  <si>
    <t>RADARWEG 29a, 1043 NX AMSTERDAM, NETHERLANDS</t>
  </si>
  <si>
    <t>10.1016/j.ijpe.2020.107668</t>
  </si>
  <si>
    <t>LY9IC</t>
  </si>
  <si>
    <t>WOS:000540840400014</t>
  </si>
  <si>
    <t>Compare, M; Baraldi, P; Marelli, P; Zio, E</t>
  </si>
  <si>
    <t>Compare, Michele; Baraldi, Piero; Marelli, Paolo; Zio, Enrico</t>
  </si>
  <si>
    <t>Partially observable Markov decision processes for optimal operations of gas transmission networks</t>
  </si>
  <si>
    <t>Partially observable Markov decision Processes; Prognostics and health management; Degradation state estimation errors; Gas transmission network</t>
  </si>
  <si>
    <t>PLANNING STRUCTURAL INSPECTION; MAINTENANCE POLICIES; OPTIMIZATION; RELIABILITY; MODEL; MINIMIZATION; CONSUMPTION; ALGORITHMS; FRAMEWORK; SYSTEM</t>
  </si>
  <si>
    <t>We develop a decision-support framework based on Partially Observable Markov Decision Processes (POMDPs) for the management of Gas Transmission Networks (GTNs) operations, encoding realistic degradation state estimations provided by Prognostics and Health Management (PHM) systems, while considering demand variations and the effects of the management decisions on the GTN degradation evolution. This Operation and Maintenance (O&amp;M) framework allows optimally operating a GTN. Furthermore, the economic impact of using PHM systems with different accuracy levels can be estimated. The approach is shown with reference to a GTN of the literature.</t>
  </si>
  <si>
    <t>[Compare, Michele; Baraldi, Piero; Marelli, Paolo; Zio, Enrico] Politecn Milan, Dept Energy, Milan, Italy; [Compare, Michele; Zio, Enrico] Aramis Srl, Zafferana Etnea, Italy; [Zio, Enrico] PSL Res Univ, CRC, MINES ParisTech, Sophia Antipolis, France; [Zio, Enrico] Kyung Hee Univ, Coll Engn, Dept Nucl Engn, Seoul, South Korea</t>
  </si>
  <si>
    <t>Compare, M (corresponding author), Politecn Milan, Dept Energy, Milan, Italy.;Compare, M (corresponding author), Aramis Srl, Zafferana Etnea, Italy.</t>
  </si>
  <si>
    <t>10.1016/j.ress.2020.106893</t>
  </si>
  <si>
    <t>LP2OP</t>
  </si>
  <si>
    <t>WOS:000534159800025</t>
  </si>
  <si>
    <t>Zhou, H; Farsi, M; Harrison, A; Parlikad, AK; Brintrup, A</t>
  </si>
  <si>
    <t>Zhou, Hang; Farsi, Maryam; Harrison, Andrew; Parlikad, Ajith Kumar; Brintrup, Alexandra</t>
  </si>
  <si>
    <t>Civil aircraft engine operation life resilient monitoring via usage trajectory mapping on the reliability contour</t>
  </si>
  <si>
    <t>Reliability; Aviation operations; Aircraft propulsion system; Fleet management; Optimization</t>
  </si>
  <si>
    <t>CONDITION-BASED MAINTENANCE; FAILURE</t>
  </si>
  <si>
    <t>The civil aircraft engine business is complex in operation. Being an asset-heavy business operating highly complex engineering systems, the optimized fleet life-cycle management is essential yet challenging. The aviation systems are known for critical operation conditions, high-standard reliability demands, and high cost in both asset value and through-life maintenance services. Civil aircraft engines typically require 3 to 4 highly costly overhauls through service life to maintain performance and the time-on-wing (TOW) requirements of the airline operators. Multiple levels of maintenance activities need accurate and long-term planning for engine fleets coordinating manufacturing, transportation, supply chains and system performance, based on the service life of the engines. The life of assets in the aviation industry is measured uniquely by two scales - the flying hour (FH) and the flying cycle (FC). This paper proposed to evaluate the aviation systems' service life combining both FH and FC, and the reliability of the systems be dynamically quantified via the records and future plans of the flight profiles. The long-term planning of the most significant shop visit (SV) overhauls is therefore optimized by maximizing the fleet TOW availability, considering the business model of 'charge customers by the flying time' in the civil aircraft engine business.</t>
  </si>
  <si>
    <t>[Zhou, Hang] Univ Glasgow, James Watt Sch Engn, Glasgow, Scotland; [Zhou, Hang; Parlikad, Ajith Kumar; Brintrup, Alexandra] Univ Cambridge, Inst Mfg, Dept Engn, Cambridge, England; [Farsi, Maryam] Cranfield Univ, Sch Aerosp Transport &amp; Mfg SATM, Bedford, England; [Harrison, Andrew] Rolls Royce plc, Derby, England</t>
  </si>
  <si>
    <t>University of Glasgow; University of Cambridge; Cranfield University; Rolls-Royce Holding Group</t>
  </si>
  <si>
    <t>Parlikad, Ajith Kumar/A-5269-2010; Far, Maryam/I-7782-2015</t>
  </si>
  <si>
    <t>Zhou, Hang/0000-0003-2354-509X; Farsi, Maryam/0000-0003-4549-0499</t>
  </si>
  <si>
    <t>10.1016/j.ress.2022.108878</t>
  </si>
  <si>
    <t>6C6GF</t>
  </si>
  <si>
    <t>Green Published, hybrid, Green Accepted</t>
  </si>
  <si>
    <t>WOS:000882109500002</t>
  </si>
  <si>
    <t>Azimpoor, S; Taghipour, S; Farmanesh, B; Sharifi, M</t>
  </si>
  <si>
    <t>Azimpoor, Samareh; Taghipour, Sharareh; Farmanesh, Babak; Sharifi, Mani</t>
  </si>
  <si>
    <t>Joint Planning of Production and Inspection of Parallel Machines with Two-phase of Failure</t>
  </si>
  <si>
    <t>parallel machines scheduling; delay time modelling; inspection; maintenance; branch and bound algorithm</t>
  </si>
  <si>
    <t>SCHEDULING PROBLEM; BOUND ALGORITHM; SINGLE-MACHINE; MAINTENANCE; SYSTEM; OPTIMIZATION; MAKESPAN; MODEL; JOBS; POLICY</t>
  </si>
  <si>
    <t>Utilizing available information on random machine breakdowns is highly effective in making joint production and inspection decisions. The current paper studies the joint planning of production schedule and inspection of identical parallel machines to process n jobs with different processing times. Each machine's failure is modeled using the two-stage delay time concept. The first stage is a defect arrival which does not cause a machine stoppage, but if it is not removed, may cause the machine failure. A machine's lifetime is divided into two stages in such a failure process: defect arrival and failure arrival stages. The defects and failures of the identical parallel machines follow non-linear and time-dependent distributions. Inspection activities are intended to identify potential defects in the machines and subsequently removing them prior to eventual failures. The objective is to establish the best jobs' schedule of the machines and the best sequence of inspection decisions that minimize the expected makespan. For this problem, unequal defect and failure arrival rates for the machines impose some complications to the expected makespan calculation. Therefore, obtaining an integrated scheduling and inspection plan requires considering all possible combinations of the jobs order and inspections on the machines that further increase the complexity of the algorithm implementation. We propose a branch and bound (B&amp;B) algorithm that restricts the search time and space and demonstrates the effectiveness of integrating inspection and maintenance operations with the jobs sequence to minimize the expected makespan. We propose an upper bound and develop a lower bound to assign the maximum number of jobs on the empty capacity of the machines. We analyze the impact of the model's parameters on the results of the B&amp;B algorithm and validate the algorithm's performance by comparing the results with the analytical solutions for small-sized problems for which analytical solution exists.</t>
  </si>
  <si>
    <t>[Azimpoor, Samareh; Taghipour, Sharareh; Sharifi, Mani] Ryerson Univ, Dept Mech &amp; Ind Engn, Reliabil Risk &amp; Maintenance Res Lab RRMR Lab, Toronto, ON, Canada; [Farmanesh, Babak] Oklahoma State Univ, Dept Ind Engn &amp; Management, Stillwater, OK USA</t>
  </si>
  <si>
    <t>Toronto Metropolitan University; Oklahoma State University System; Oklahoma State University - Stillwater</t>
  </si>
  <si>
    <t>Azimpoor, S (corresponding author), 350 Victoria St, Toronto, ON M5B 2K3, Canada.</t>
  </si>
  <si>
    <t>samareh.azimpoor@ryerson.ca; sharareh@ryerson.ca; babak.farmanesh@okstate.edu; manisharifi@ryerson.ca</t>
  </si>
  <si>
    <t>Mani, Sharifi/GVS-4658-2022</t>
  </si>
  <si>
    <t>Sharifi, Mani/0000-0002-7682-7077</t>
  </si>
  <si>
    <t>Natural Sciences and Engineering Research Council (NSERC) of Canada</t>
  </si>
  <si>
    <t>Natural Sciences and Engineering Research Council (NSERC) of Canada(Natural Sciences and Engineering Research Council of Canada (NSERC))</t>
  </si>
  <si>
    <t>The authors acknowledge the financial support from the Natural Sciences and Engineering Research Council (NSERC) of Canada for this research.</t>
  </si>
  <si>
    <t>10.1016/j.ress.2021.108097</t>
  </si>
  <si>
    <t>WOS:000708365800022</t>
  </si>
  <si>
    <t>Liu, XC; Sun, QZ; Ye, ZS; Yildirim, M</t>
  </si>
  <si>
    <t>Liu, Xingchen; Sun, Qiuzhuang; Ye, Zhi-Sheng; Yildirim, Murat</t>
  </si>
  <si>
    <t>Optimal multi-type inspection policy for systems with imperfect online monitoring</t>
  </si>
  <si>
    <t>Condition-based maintenance; Multi-type inspection; Partially observable Markov decision process; Gas turbine</t>
  </si>
  <si>
    <t>CONDITION-BASED MAINTENANCE; JOINT OPTIMIZATION; GAS-TURBINES; REPLACEMENT; SUBJECT; FAILURE; BENEFITS; DELAY; MODEL</t>
  </si>
  <si>
    <t>Both online monitoring and manual inspection are widely used in identifying a system's health state, based on which proper preventive maintenance (PM) can be carried out. The existing maintenance optimization models typically consider only online monitoring or a single type of inspection and assume they can perfectly reveal the system's state. However, the information provided by online monitoring is never perfect, and it needs to be combined with the inspection to identify the system's health state. Besides, there are usually many types of inspections with different costs and detecting capabilities in real applications. It is hence equally important to decide on when operators should make an inspection and which kind of inspection should be performed based on the information from online monitoring. In this paper, we formulate the multi-type inspection decision-making problem within the partially observable Markov decision process (POMDP) framework. We establish some structural properties for the optimal multi-type inspection policy. The value iteration and the lambda-minimization algorithm are combined to obtain the optimal solution. A case study is provided to illustrate the optimal inspection policy and its advantage over some existing policies.</t>
  </si>
  <si>
    <t>[Liu, Xingchen; Sun, Qiuzhuang; Ye, Zhi-Sheng] Natl Univ Singapore, Dept Ind Syst Engn &amp; Management, Singapore, Singapore; [Yildirim, Murat] Wayne State Univ, Dept Ind &amp; Syst Engn, Detroit, MI 48202 USA</t>
  </si>
  <si>
    <t>National University of Singapore; Wayne State University</t>
  </si>
  <si>
    <t>Ye, Zhisheng/F-6635-2011; Sun, Qiuzhuang/N-8864-2019; YILDIRIM, mahmut/AAZ-5460-2020</t>
  </si>
  <si>
    <t>Sun, Qiuzhuang/0000-0002-7103-1387; Yildirim, Murat/0000-0003-1189-2908; Liu, Xingchen/0000-0001-6576-2434</t>
  </si>
  <si>
    <t>Natural Science Foundation of Jiangsu Province [BK20180232]; Natural Science Foundation of China [71871191, 72071071, 71771221]</t>
  </si>
  <si>
    <t>Natural Science Foundation of Jiangsu Province(Natural Science Foundation of Jiangsu Province); Natural Science Foundation of China(National Natural Science Foundation of China (NSFC))</t>
  </si>
  <si>
    <t>This work is supported by Natural Science Foundation of Jiangsu Province under Grant BK20180232, and Natural Science Foundation of China under Grant 71871191, 72071071, and 71771221. The authors would like to thank the review team for their insightful comments that helped significantly improve the paper.</t>
  </si>
  <si>
    <t>10.1016/j.ress.2020.107335</t>
  </si>
  <si>
    <t>WOS:000606682100017</t>
  </si>
  <si>
    <t>Antomarioni, S; Ciarapica, FE; Bevilacqua, M</t>
  </si>
  <si>
    <t>Antomarioni, Sara; Ciarapica, Filippo Emanuele; Bevilacqua, Maurizio</t>
  </si>
  <si>
    <t>Association rules and social network analysis for supporting failure mode effects and criticality analysis: Framework development and insights from an onshore platform</t>
  </si>
  <si>
    <t>SAFETY SCIENCE</t>
  </si>
  <si>
    <t>Failure Mode Effects and Criticality Analysis; Risk-Based Maintenance; Association Rule Mining; Machine Learning; Social Network Analysis; Data-driven approach</t>
  </si>
  <si>
    <t>RISK; SYSTEM; MAINTENANCE; MANAGEMENT</t>
  </si>
  <si>
    <t>The ongoing digital transformation enables the collection of a vast amount of data from the maintenance and production processes. Hence, the techniques traditionally applied for monitoring the operations and defining the maintenance approaches for improving the asset reliability can be accompanied by new methodologies more oriented to data analytics. In this context, this work proposes a data-driven framework for supporting the analysis of the production processes in terms of failures and related effects through the well-known and widely applied Failure Mode, Effect, and Criticality Analysis (FMECA). Indeed, after developing the Failure Mode Effects and Criticality Analysis, the results obtained for the plant under investigation are elaborated through Machine Learning techniques such as the Association Rule Mining to define the cause-effect relationships that led to a failure. The association rules extracted are then processed through the Social Network Analysis to represent such relationships, facilitate their comprehension, and identify the existence of communities of nodes to detect critical patterns and locate the most influential nodes. The knowledge of such details can provide helpful support in terms of awareness of the plant and the development of intelligent maintenance procedures.The proposed approach is applied to an off-shore and on-shore platform to assess the impact of the theoretical analysis on the practical implementation by highlighting unknown relations among the analyzed variables and showing new cause-effect relationships.</t>
  </si>
  <si>
    <t>[Antomarioni, Sara; Ciarapica, Filippo Emanuele; Bevilacqua, Maurizio] Univ Politecn Marche, Dipartimento Ingn Ind &amp; Sci Matemat, Via Brecce Bianche, I-60131 Ancona, Italy</t>
  </si>
  <si>
    <t>Marche Polytechnic University</t>
  </si>
  <si>
    <t>Antomarioni, S (corresponding author), Univ Politecn Marche, Dipartimento Ingn Ind &amp; Sci Matemat, Via Brecce Bianche, I-60131 Ancona, Italy.</t>
  </si>
  <si>
    <t>s.antomarioni@univpm.it</t>
  </si>
  <si>
    <t>Antomarioni, Sara/AAO-3553-2020; Bevilacqua, Maurizio/B-4816-2012</t>
  </si>
  <si>
    <t>0925-7535</t>
  </si>
  <si>
    <t>1879-1042</t>
  </si>
  <si>
    <t>SAFETY SCI</t>
  </si>
  <si>
    <t>Saf. Sci.</t>
  </si>
  <si>
    <t>10.1016/j.ssci.2022.105711</t>
  </si>
  <si>
    <t>0Z8MC</t>
  </si>
  <si>
    <t>WOS:000791324600005</t>
  </si>
  <si>
    <t>Gao, S; Wang, JT</t>
  </si>
  <si>
    <t>Gao, Shan; Wang, Jinting</t>
  </si>
  <si>
    <t>Reliability and availability analysis of a retrial system with mixed standbys and an unreliable repair facility</t>
  </si>
  <si>
    <t>Availability; MTTF; Reliability; Retrial; Mixed standby; Preventive maintenance</t>
  </si>
  <si>
    <t>OF-N SYSTEM; PREVENTIVE MAINTENANCE; SINGLE-SERVER; QUEUE; COLD; WARM; POLICIES; PERFORMANCE; SUBJECT</t>
  </si>
  <si>
    <t>We study a K-out-of-M + W + C: G mixed standby system with an unreliable repair facility, in which there are M primary operating components, W warm standby components and C cold standby components. The life times of primary components and warm components are assumed to be exponentially distributed random variables. The repair facility is performed preventive maintenance (PM) when it is idle, and it is subject to breakdowns when it repairs a failed component (called as active breakdowns). Upon arrival, a failed component is repaired immediately if the repair facility is found free, and the failed component enters a retrial orbit for seeking repair service after some time later if the repair facility is found busy, under PM, or under repair. By adopting a Markov process approach and solving equations of statistical equilibrium in matrix form, we obtain the system steady-state availability of the machine system, the steady-state availability and the expected busy cycle of the repair facility. Furthermore, we obtain the reliability function and the mean time to the failure (MTTF) of the system by using Laplace transform method. Numerical examples are presented to show the effects of system parameters on the reliability function, steady-state availability and MTTF and to analyze the optimization problem of the cost-effectiveness ratio.</t>
  </si>
  <si>
    <t>[Gao, Shan] Fuyang Normal Univ, Sch Math &amp; Stat, Fuyang 236037, Anhui, Peoples R China; [Wang, Jinting] Cent Univ Finance &amp; Econ, Sch Management Sci &amp; Engn, Dept Management Sci, Beijing 100081, Peoples R China</t>
  </si>
  <si>
    <t>Fuyang Normal University; Central University of Finance &amp; Economics</t>
  </si>
  <si>
    <t>Wang, JT (corresponding author), Cent Univ Finance &amp; Econ, Sch Management Sci &amp; Engn, Dept Management Sci, Beijing 100081, Peoples R China.</t>
  </si>
  <si>
    <t>sgao_09@yeah.net; jtwang@cufe.edu.cn</t>
  </si>
  <si>
    <t>Wang, Jinting/E-8886-2013</t>
  </si>
  <si>
    <t>Wang, Jinting/0000-0003-4946-2719</t>
  </si>
  <si>
    <t>National Natural Science Foundation of China [71871008, 71571014]; Fuyang Municipal Government-Fuyang Normal University Horizontal Cooperation Projects in 2017 [XDHXTD201709]; building of Brand Speciality Projects of Fuyang Normal University [2019PPZY01]; Cultivation Funding Projects for Excellent Younth Scholars of Anhui Province [gxgwfx2020051]</t>
  </si>
  <si>
    <t>National Natural Science Foundation of China(National Natural Science Foundation of China (NSFC)); Fuyang Municipal Government-Fuyang Normal University Horizontal Cooperation Projects in 2017; building of Brand Speciality Projects of Fuyang Normal University; Cultivation Funding Projects for Excellent Younth Scholars of Anhui Province</t>
  </si>
  <si>
    <t>The authors would like to thank the editor and three anonymous referees sincerely for providing many constructive comments, which have greatly improved the quality of our paper. This work was supported in part by the National Natural Science Foundation of China (no. 71871008 and no. 71571014), and the Fuyang Municipal Government-Fuyang Normal University Horizontal Cooperation Projects in 2017 (no. XDHXTD201709), the building of Brand Speciality Projects of Fuyang Normal University (no. 2019PPZY01). Supported also by Cultivation Funding Projects for Excellent Younth Scholars of Anhui Province (NO. gxgwfx2020051).</t>
  </si>
  <si>
    <t>10.1016/j.ress.2020.107240</t>
  </si>
  <si>
    <t>WOS:000589091300025</t>
  </si>
  <si>
    <t>Zheng, R; Xing, Y; Ren, XY</t>
  </si>
  <si>
    <t>Zheng, Rui; Xing, Yuan; Ren, Xiangyun</t>
  </si>
  <si>
    <t>Multilevel preventive replacement for a system subject to internal deterioration, external shocks, and dynamic missions</t>
  </si>
  <si>
    <t>Maintenance; Mission-oriented system; Markov decision process; Dynamic programming</t>
  </si>
  <si>
    <t>CONDITION-BASED MAINTENANCE; IMPERFECT MAINTENANCE; OPTIMIZATION; DEGRADATION; RELIABILITY; MODEL; POLICIES</t>
  </si>
  <si>
    <t>Mission-oriented systems have received intensive attention for extensive applications. Existing maintenance policies focus mainly on unvarying missions, which is inconsistent with many mission-oriented systems. This paper develops a condition-based replacement model for a mission-oriented system subject to internal deterioration, external shocks, and a sequence of random missions. The deterioration level is revealed by condition monitoring performed at the end of each mission. If it exceeds a critical level, both the system and the previous mission fail, resulting in a corrective replacement cost and a penalty for the failed mission. Otherwise, the decision-maker can decide whether to replace the system preventively. This paper proposes a multilevel preventive replacement policy that involves a set of replacement thresholds corresponding to all mission types. The objective is to determine the optimal set of thresholds to minimize the long-run expected average cost per unit time. The optimization problem is formulated in the Markov decision process framework based on a discretization method. An efficient optimization algorithm combining stochastic dynamic programming and Nelder-Mead search is developed to find the optimal policy. Results from a numerical study confirm the effectiveness of the proposed approach.</t>
  </si>
  <si>
    <t>[Zheng, Rui] Hefei Univ Technol, Sch Management, Hefei 230009, Peoples R China; [Zheng, Rui] Hefei Univ Technol, Key Lab Proc Optimizat &amp; Intelligent Decis Making, Minist Educ, Hefei 230009, Peoples R China; [Xing, Yuan] Tianjin Univ, Sch Mech Engn, Key Lab Mech Theory &amp; Equipment Design, Minist Educ, Tianjin 300350, Peoples R China; [Ren, Xiangyun] Changan Automobile Co Ltd, Chongqing 400000, Peoples R China; [Ren, Xiangyun] Chongqing Univ, Coll Mech &amp; vehicle Engn, Chongqing 400000, Peoples R China</t>
  </si>
  <si>
    <t>Hefei University of Technology; Hefei University of Technology; Tianjin University; Chongqing University</t>
  </si>
  <si>
    <t>Fundamental Research Funds for the Central Universities, China [JZ2022HGQA0138]</t>
  </si>
  <si>
    <t>Fundamental Research Funds for the Central Universities, China(Fundamental Research Funds for the Central Universities)</t>
  </si>
  <si>
    <t>Acknowledgments This work is supported by the Fundamental Research Funds for the Central Universities, China (JZ2022HGQA0138) .</t>
  </si>
  <si>
    <t>10.1016/j.ress.2023.109507</t>
  </si>
  <si>
    <t>O9CD4</t>
  </si>
  <si>
    <t>WOS:001046717100001</t>
  </si>
  <si>
    <t>Ruiz, C; Luo, HW; Liao, HT; Xie, W</t>
  </si>
  <si>
    <t>Ruiz, Cesar; Luo, Hongwei; Liao, Haitao; Xie, Wei</t>
  </si>
  <si>
    <t>Component replacement and reordering policies for spare parts experiencing two-phase on-shelf deterioration</t>
  </si>
  <si>
    <t>Spare parts; inventory and maintenance; two-phase deterioration; consumption sequence</t>
  </si>
  <si>
    <t>PREVENTIVE MAINTENANCE; JOINT OPTIMIZATION; INVENTORY MODELS; REDUNDANCY; CLASSIFICATION; DECISIONS; SUBJECT; FAILURE; SYSTEMS; LEVEL</t>
  </si>
  <si>
    <t>Spare parts provisioning strategies for critical components are essential for maintenance management in a wide range of industrial applications. In practice, some types of spare parts may suffer from on-shelf deterioration, which will not only affect the reliability and availability of the parts themselves but also the overall operational costs. In this context, a natural question that arises is: ?Should we use new parts or degraded ones first for component replacement?? Indeed, developing mathematical models to answer this question has both theoretical and practical values. This article studies component replacement and spare parts reordering policies for a system with spare parts experiencing on-shelf deterioration. A two-phase continuous-time Markov chain is utilized to model the on-shelf deterioration process for each spare part, and two different part consumption strategies, i.e., Degraded-First (DF) and New-First (NF) strategies, are formulated. An optimization framework and a solution algorithm are developed for the two strategies to determine the optimal order intervals and order quantities of spare parts for a fixed planning horizon. The monetary performance measures of the two strategies are studied and compared to a random selection (RS) alternative. Numerical examples show that when the overall system-wise replacement demand rate is approximately independent of the part consumption strategies, the DF strategy leads to the biggest savings compared to the RS strategy while the NF strategy results in the highest expected cost among the three alternatives.</t>
  </si>
  <si>
    <t>[Ruiz, Cesar; Liao, Haitao] Univ Arkansas, Dept Ind Engn, Fayetteville, AR 72701 USA; [Luo, Hongwei] Univ Arizona, Dept Syst &amp; Ind Engn, Tucson, AZ 85721 USA; [Xie, Wei] South China Univ Technol, Sch Business Adm, Guangzhou, Guangdong, Peoples R China</t>
  </si>
  <si>
    <t>University of Arkansas System; University of Arkansas Fayetteville; University of Arizona; South China University of Technology</t>
  </si>
  <si>
    <t>Xie, W (corresponding author), South China Univ Technol, Sch Business Adm, Guangzhou, Guangdong, Peoples R China.</t>
  </si>
  <si>
    <t>bmwxie@seut.edu.cn</t>
  </si>
  <si>
    <t>Xie, Wei/M-5767-2018</t>
  </si>
  <si>
    <t>US National Science Foundation [CMMI 1238304, 1635379]; National Natural Science Foundation of China [71601079, 71520107001]; Div Of Civil, Mechanical, &amp; Manufact Inn; Directorate For Engineering [1635379] Funding Source: National Science Foundation</t>
  </si>
  <si>
    <t>US National Science Foundation(National Science Foundation (NSF)); National Natural Science Foundation of China(National Natural Science Foundation of China (NSFC)); Div Of Civil, Mechanical, &amp; Manufact Inn; Directorate For Engineering(National Science Foundation (NSF)NSF - Directorate for Engineering (ENG))</t>
  </si>
  <si>
    <t>Dr. Liao's research was partly supported by the US National Science Foundation (Grants #CMMI 1238304 and 1635379) and Dr. Xie's research was partly supported by the National Natural Science Foundation of China (Grants 71601079 and 71520107001).</t>
  </si>
  <si>
    <t>10.1080/24725854.2018.1560751</t>
  </si>
  <si>
    <t>JF4JC</t>
  </si>
  <si>
    <t>WOS:000491352800005</t>
  </si>
  <si>
    <t>Ma, XB; Han, RR; Chen, Y; Qiu, QG; Yan, R; Yang, L</t>
  </si>
  <si>
    <t>Ma, Xiaobing; Han, Ruoran; Chen, Yi; Qiu, Qingan; Yan, Rui; Yang, Li</t>
  </si>
  <si>
    <t>Intelligent spare ordering and replacement optimisation leveraging adaptive prediction information</t>
  </si>
  <si>
    <t>Intelligent asset management; Joint decision-making; Spare scheduling; Inspection planning; Replacement management; Parameter inference; Cost-effectiveness</t>
  </si>
  <si>
    <t>INVENTORY OPTIMIZATION; JOINT MAINTENANCE; SYSTEMS; REPAIR; MODELS</t>
  </si>
  <si>
    <t>Predicting system health using inspection technologies is crucial for efficiently managing the maintenance of various industrial products. This study introduced an innovative policy for intelligently ordering and replacing spare parts. It utilises real-time prediction data to make sequential decisions on whether to schedule spares and when to conduct non-immediate maintenance. A generalised non-linear stochastic process was established to capture the underlying degradation path, with a lifetime coefficient updated through Bayesian inference. Conditional reliability assessed during regular inspections determines when spare preparations and delayed replacements are warranted. Predictive replacements can also be postponed based on the expected remaining lifetime adjusted for safety factors and spare lead times. The model dynamically optimises operational costs by iteratively optimising spare-ordering times, postponement intervals, and adjustment coefficients. Numerical experiments on high-speed train gearboxes validated its superior cost-effectiveness compared to conventional approaches.</t>
  </si>
  <si>
    <t>[Ma, Xiaobing; Han, Ruoran; Chen, Yi; Yang, Li] Beihang Univ, Sch Reliabil &amp; Syst Engn, Beijing, Peoples R China; [Qiu, Qingan] Beijing Inst Technol, Sch Management, Beijing 100081, Peoples R China; [Yan, Rui] Univ Sci &amp; Technol Beijing, Sch Econ &amp; Management, Beijing, Peoples R China</t>
  </si>
  <si>
    <t>Beihang University; Beijing Institute of Technology; University of Science &amp; Technology Beijing</t>
  </si>
  <si>
    <t>Yan, Rui/ISB-7062-2023; , Qingan/AEV-3558-2022</t>
  </si>
  <si>
    <t>, Qingan/0000-0001-8741-0536; Chen, Yi/0000-0002-0934-0787</t>
  </si>
  <si>
    <t>National Natural Science Foundation of China [72101010, 72371030, 72001026]; National Key Laboratory Foundation [KZ42004001]; Fundamental Research Funds for the Central Universities [ZG216S21C3]</t>
  </si>
  <si>
    <t>National Natural Science Foundation of China(National Natural Science Foundation of China (NSFC)); National Key Laboratory Foundation; Fundamental Research Funds for the Central Universities(Fundamental Research Funds for the Central Universities)</t>
  </si>
  <si>
    <t>This work is supported partially by the National Natural Science Foundation of China (Grant No. 72101010, 72371030 and 72001026) , National Key Laboratory Foundation (Grant No. KZ42004001) , and Fundamental Research Funds for the Central Universities (Grant No. ZG216S21C3) .</t>
  </si>
  <si>
    <t>10.1016/j.ress.2024.110420</t>
  </si>
  <si>
    <t>E2H7P</t>
  </si>
  <si>
    <t>WOS:001301271000001</t>
  </si>
  <si>
    <t>Kamariotis, A; Chatzi, E; Straub, D; Dervilis, N; Goebel, K; Hughes, AJ; Lombaert, G; Papadimitriou, C; Papakonstantinou, KG; Pozzi, M; Todd, M; Worden, K</t>
  </si>
  <si>
    <t>Kamariotis, Antonios; Chatzi, Eleni; Straub, Daniel; Dervilis, Nikolaos; Goebel, Kai; Hughes, Aidan J.; Lombaert, Geert; Papadimitriou, Costas; Papakonstantinou, Konstantinos G.; Pozzi, Matteo; Todd, Michael; Worden, Keith</t>
  </si>
  <si>
    <t>Monitoring-supported value generation for managing structures and infrastructure systems</t>
  </si>
  <si>
    <t>DATA-CENTRIC ENGINEERING</t>
  </si>
  <si>
    <t>SHM; decision support; maintenance planning; value of information; population-based SHM; verification &amp; validation</t>
  </si>
  <si>
    <t>DAMAGE DETECTION; INFORMATION; INSPECTION</t>
  </si>
  <si>
    <t>To maximize its value, the design, development and implementation of structural health monitoring (SHM) should focus on its role in facilitating decision support. In this position paper, we offer perspectives on the synergy between SHM and decision-making. We propose a classification of SHM use cases aligning with various dimensions that are closely linked to the respective decision contexts. The types of decisions that have to be supported by the SHM system within these settings are discussed along with the corresponding challenges. We provide an overview of different classes of models that are required for integrating SHM in the decision-making process to support the operation and maintenance of structures and infrastructure systems. Fundamental decision-theoretic principles and state-of-the-art methods for optimizing maintenance and operational decision-making under uncertainty are briefly discussed. Finally, we offer a viewpoint on the appropriate course of action for quantifying, validating, and maximizing the added value generated by SHM. This work aspires to synthesize the different perspectives of the SHM, Prognostic Health Management, and reliability communities, and provide directions to researchers and practitioners working towards more pervasive monitoring-based decision-support.</t>
  </si>
  <si>
    <t>[Kamariotis, Antonios; Chatzi, Eleni] Swiss Fed Inst Technol, Inst Struct Engn, Stefano Franscini Pl 5, CH-8093 Zurich, Switzerland; [Straub, Daniel] Tech Univ Munich, Engn Risk Anal Grp, Arcisstr 21, D-80333 Munich, Germany; [Straub, Daniel] Tech Univ Munich, Munich Data Sci Inst, Arcisstr 21, D-80333 Munich, Germany; [Dervilis, Nikolaos; Hughes, Aidan J.; Worden, Keith] Univ Sheffield, Dept Mech Engn, Dynam Res Grp, Sheffield S1 3JD, England; [Goebel, Kai] SRI Int, PARC, Palo Alto, CA 94304 USA; [Lombaert, Geert] Katholieke Univ Leuven, Dept Civil Engn, Leuven, Belgium; [Papadimitriou, Costas] Univ Thessaly, Dept Mech Engn, Volos 38334, Greece; [Papakonstantinou, Konstantinos G.] Penn State Univ, Dept Civil &amp; Environm Engn, University Pk, PA USA; [Pozzi, Matteo] Carnegie Mellon Univ, Civil &amp; Environm Engn, Pittsburgh, PA USA; [Todd, Michael] Univ Calif San Diego, 9500 Gilman Dr, La Jolla, CA 92093 USA</t>
  </si>
  <si>
    <t>Swiss Federal Institutes of Technology Domain; ETH Zurich; Technical University of Munich; Technical University of Munich; University of Sheffield; SRI International; KU Leuven; University of Thessaly; Pennsylvania Commonwealth System of Higher Education (PCSHE); Pennsylvania State University; Pennsylvania State University - University Park; Penn State Behrend; Carnegie Mellon University; University of California System; University of California San Diego</t>
  </si>
  <si>
    <t>Kamariotis, A (corresponding author), Swiss Fed Inst Technol, Inst Struct Engn, Stefano Franscini Pl 5, CH-8093 Zurich, Switzerland.</t>
  </si>
  <si>
    <t>antoniskam@hotmail.com</t>
  </si>
  <si>
    <t>Straub, Daniel/AAC-7245-2020; Papadimitriou, Costas/C-9600-2018; Chatzi, Eleni/J-5103-2013; Lombaert, Geert/A-9866-2016</t>
  </si>
  <si>
    <t>Kamariotis, Antonios/0000-0002-5024-4340; Chatzi, Eleni/0000-0002-6870-240X; Lombaert, Geert/0000-0002-9273-3038; Worden, Keith/0000-0002-1035-238X; Hughes, Aidan/0000-0002-9692-9070</t>
  </si>
  <si>
    <t>CAMBRIDGE UNIV PRESS</t>
  </si>
  <si>
    <t>EDINBURGH BLDG, SHAFTESBURY RD, CB2 8RU CAMBRIDGE, ENGLAND</t>
  </si>
  <si>
    <t>2632-6736</t>
  </si>
  <si>
    <t>DATA-CENTRIC ENG</t>
  </si>
  <si>
    <t>Data-Centric Eng.</t>
  </si>
  <si>
    <t>e27</t>
  </si>
  <si>
    <t>10.1017/dce.2024.24</t>
  </si>
  <si>
    <t>Computer Science, Artificial Intelligence; Computer Science, Interdisciplinary Applications; Engineering, Multidisciplinary</t>
  </si>
  <si>
    <t>M1P4P</t>
  </si>
  <si>
    <t>WOS:001355328400002</t>
  </si>
  <si>
    <t>Dong, WJ; Liu, SF; Cao, YS; Bae, SJ</t>
  </si>
  <si>
    <t>Dong, Wenjie; Liu, Sifeng; Cao, Yingsai; Bae, Suk Joo</t>
  </si>
  <si>
    <t>Time-based replacement policies for a fault tolerant system subject to degradation and two types of shocks</t>
  </si>
  <si>
    <t>average cost rate; fault tolerance; time-based maintenance policy; two types of shocks; WIener process</t>
  </si>
  <si>
    <t>PREVENTIVE MAINTENANCE POLICY; COMPETING FAILURE PROCESSES; RELIABILITY-ANALYSIS; MODELS</t>
  </si>
  <si>
    <t>A single component nonrepairable system suffering from both an internal stochastic degradation process and external random shocks is investigated in this paper. More specifically, the Wiener process with a positive drift coefficient is introduced to describe the gradual deterioration and the arrival number of external shocks is counted with a nonhomogeneous Poisson process (NHPP). Meanwhile, fault tolerant design is incorporated into the stochastically deterioration system so as to protect it from shock failures to some extent and is consummately addressed via a generalizedm-delta shock model. From the actual engineering point of view, external shocks are typically classified into two distinct categories in this current research, that is, a minor shock (Type I shock) increasing the damage load on current degradation level and a traumatic shock (Type II shock) resulting in system catastrophic failure immediately. The closed-form expression of system survival function is derived analytically and is viewed as the generalization of existing reliability function for systems subject to dependent and competing failure processes. Based on which, two time-based maintenance (TBM) policies including an age replacement model and a block replacement model are scheduled, where the expected long-run cost rate (ELRCR) in each model is, respectively, optimized to seek the optimal replacement interval. In the illustrative example part, a subsea blowout preventer (BOP) control system is arranged to validate the theoretical results numerically. To compare which policy is more profitable under different conditions, the relative gain on optimal maintenance cost rate of the two TBM policies is presented.</t>
  </si>
  <si>
    <t>[Dong, Wenjie; Liu, Sifeng] Nanjing Univ Aeronaut &amp; Astronaut, Coll Econ &amp; Management, 29 Gen Ave, Nanjing, Jiangsu, Peoples R China; [Cao, Yingsai] Jiangsu Univ, Coll Management, Zhenjiang, Jiangsu, Peoples R China; [Bae, Suk Joo] Hanyang Univ, Dept Ind Engn, Seoul, South Korea</t>
  </si>
  <si>
    <t>Nanjing University of Aeronautics &amp; Astronautics; Jiangsu University; Hanyang University</t>
  </si>
  <si>
    <t>Dong, WJ (corresponding author), Nanjing Univ Aeronaut &amp; Astronaut, Coll Econ &amp; Management, 29 Gen Ave, Nanjing, Jiangsu, Peoples R China.</t>
  </si>
  <si>
    <t>bae, suk joo/0000-0002-9938-7406; Dong, Wenjie/0000-0002-8591-1756</t>
  </si>
  <si>
    <t>China Scholarship Council [201906830041]; Postgraduate Research &amp; Practice Innovation Program of Jiangsu Province [KYCX19_0141]; Natural Science Foundation of Jiangsu Province [BK20180412]; Fundamental Research Funds for the Central Universities [NP2019104, NC2019003]; China Postdoctoral Science Foundation [2018M630561, 2019TQ0150]; National Natural Science Foundation of China [71671091, 71801126, 71801127]</t>
  </si>
  <si>
    <t>China Scholarship Council(China Scholarship Council); Postgraduate Research &amp; Practice Innovation Program of Jiangsu Province; Natural Science Foundation of Jiangsu Province(Natural Science Foundation of Jiangsu Province); Fundamental Research Funds for the Central Universities(Fundamental Research Funds for the Central Universities); China Postdoctoral Science Foundation(China Postdoctoral Science Foundation); National Natural Science Foundation of China(National Natural Science Foundation of China (NSFC))</t>
  </si>
  <si>
    <t>China Scholarship Council, Grant/Award Number: 201906830041; Postgraduate Research &amp; Practice Innovation Program of Jiangsu Province, Grant/Award Number: KYCX19_0141; Natural Science Foundation of Jiangsu Province, Grant/Award Number: BK20180412; Fundamental Research Funds for the Central Universities, Grant/Award Numbers: NP2019104, NC2019003; China Postdoctoral Science Foundation, Grant/Award Numbers: 2018M630561, 2019TQ0150; National Natural Science Foundation of China, Grant/Award Numbers: 71671091, 71801126, 71801127</t>
  </si>
  <si>
    <t>10.1002/qre.2700</t>
  </si>
  <si>
    <t>OF7VM</t>
  </si>
  <si>
    <t>WOS:000544625200001</t>
  </si>
  <si>
    <t>Xiao, H; Yi, KX; Liu, HT; Kou, G</t>
  </si>
  <si>
    <t>Xiao, Hui; Yi, Kunxiang; Liu, Haitao; Kou, Gang</t>
  </si>
  <si>
    <t>Reliability modeling and optimization of a two-dimensional sliding window system</t>
  </si>
  <si>
    <t>Two-dimensional sliding window system; multi-state system; maintenance; universal generating function; genetic algorithm</t>
  </si>
  <si>
    <t>OUT-OF-N; GENETIC ALGORITHM; MAINTENANCE; ALLOCATION; BOUNDS</t>
  </si>
  <si>
    <t>Existing research on the reliability of multi-state systems concentrated on one-dimensional systems. However, many two-dimensional systems widely exist in real-world applications such as collaborative robot supported matrix production systems and touch panel systems. Motivated by these practical systems, this research studies a two-dimensional sliding window system consisting of multi-state components which fails if the cumulative performance of any sliding window cannot meet a predetermined demand. The system reliability is evaluated by extending the universal generating function technique. In order to improve the system availability, the joint optimization problem of component maintenance and allocation is further studied. A case study on a collaborative robots supported matrix automotive assembly system is presented to illustrate the proposed model and algorithm.</t>
  </si>
  <si>
    <t>[Xiao, Hui; Yi, Kunxiang] Southwestern Univ Finance &amp; Econ, Sch Stat, Dept Management Sci &amp; Engn, Chengdu, Peoples R China; [Liu, Haitao] Natl Univ Singapore, Dept Ind Syst Engn &amp; Management, Singapore, Singapore; [Kou, Gang] Southwestern Univ Finance &amp; Econ, Fac Business Adm, Sch Business Adm, Chengdu, Peoples R China</t>
  </si>
  <si>
    <t>Southwestern University of Finance &amp; Economics - China; National University of Singapore; Southwestern University of Finance &amp; Economics - China</t>
  </si>
  <si>
    <t>Liu, HT (corresponding author), Natl Univ Singapore, Dept Ind Syst Engn &amp; Management, Singapore, Singapore.</t>
  </si>
  <si>
    <t>msxh@swufe.edu.cn; yikunxiang@qq.com; haitaoliuch@gmail.com; kougang@swufe.edu.cn</t>
  </si>
  <si>
    <t>han, wei/ABG-2691-2021; Kou, Gang/ABC-3883-2020; Xiao, Hui/N-9777-2015</t>
  </si>
  <si>
    <t>National Natural Science Foundation of China [71971176, 71725001, 71910107002]; Applied Basic Research Program of Sichuan Province [2020YJ0027]; Fundamental Research Funds for the Central Universities [JBK2102051]</t>
  </si>
  <si>
    <t>National Natural Science Foundation of China(National Natural Science Foundation of China (NSFC)); Applied Basic Research Program of Sichuan Province; Fundamental Research Funds for the Central Universities(Fundamental Research Funds for the Central Universities)</t>
  </si>
  <si>
    <t>This work was supported by the National Natural Science Foundation of China under grant numbers 71971176, 71725001 and 71910107002, the Applied Basic Research Program of Sichuan Province under grant number 2020YJ0027, and the Fundamental Research Funds for the Central Universities under grant JBK2102051.</t>
  </si>
  <si>
    <t>10.1016/j.ress.2021.107870</t>
  </si>
  <si>
    <t>WOS:000690283800057</t>
  </si>
  <si>
    <t>Ay, M; Özbakir, L; Kulluk, S; Gülmez, B; Öztürk, G; Özer, S</t>
  </si>
  <si>
    <t>Ay, Merhad; Ozbakir, Lale; Kulluk, Sinem; Gulmez, Burak; Ozturk, Guney; Ozer, Sertay</t>
  </si>
  <si>
    <t>FC-Kmeans: Fixed-centered K-means algorithm</t>
  </si>
  <si>
    <t>K -means; Clustering; Fixed cluster center; Big data; Data mining</t>
  </si>
  <si>
    <t>CLUSTERING-ALGORITHM; GENETIC ALGORITHM; VALIDATION</t>
  </si>
  <si>
    <t>Clustering is one of the data mining methods that partition large-sized data into subgroups according to their similarities. K-means clustering algorithm works well in spherical or convex data distribution of large-sized data sets. Most of the algorithms based on K-means have generally been interested in an initial cluster centers se-lection or cluster distribution. However, these algorithms may not meet satisfy some requirements in practice. This paper presents the FC-Kmeans algorithm, which enables clustering by fixing some cluster centers consid-ering real conditions. Thus, while some of the cluster centers are fixed, it is tried to obtain the most appropriate cluster centers for the others and the best distribution of the data to the clusters. The K-means clustering al-gorithm is compared with two different fixed-centered clustering algorithms which are FC-Kmeans and FC-Kmeans 2. The experimental results show that although the FC-Kmeans algorithm has more limitations than K-means, it converges the performance of K-means algorithm according to some performance indicators such as SSE, DB Index and Silhouette Index.</t>
  </si>
  <si>
    <t>[Ay, Merhad; Ozbakir, Lale; Kulluk, Sinem; Gulmez, Burak] Erciyes Univ, Dept Ind Engn, Kayseri, Turkiye; [Ozturk, Guney; Ozer, Sertay] Turkcell Technol, Istanbul, Turkiye</t>
  </si>
  <si>
    <t>Erciyes University; Turkcell Turkey</t>
  </si>
  <si>
    <t>Özbakir, L (corresponding author), Erciyes Univ, Dept Ind Engn, Kayseri, Turkiye.</t>
  </si>
  <si>
    <t>Özbakır, Lale/L-2406-2018; AY, Merhad/ABE-3921-2020; Gulmez, Burak/AAL-7308-2021</t>
  </si>
  <si>
    <t>Gulmez, Burak/0000-0002-6870-6558; AY, MERHAD/0000-0002-6892-7924</t>
  </si>
  <si>
    <t>Erciyes University Technology Transfer Office [068552-156]</t>
  </si>
  <si>
    <t>Erciyes University Technology Transfer Office(Erciyes University)</t>
  </si>
  <si>
    <t>This work was supported by the Erciyes University Technology Transfer Office (068552-156) . We are also thankful to the Turkcell company for their data which helped us in this research.</t>
  </si>
  <si>
    <t>10.1016/j.eswa.2022.118656</t>
  </si>
  <si>
    <t>5V7GG</t>
  </si>
  <si>
    <t>WOS:000877394100003</t>
  </si>
  <si>
    <t>Chang, CC; Chen, YL</t>
  </si>
  <si>
    <t>Chang, Chin-Chih; Chen, Yen-Luan</t>
  </si>
  <si>
    <t>Optimal bivariate spare ordering policy for a system with imperfect maintenance</t>
  </si>
  <si>
    <t>Spare unit ordering; replacement; minimal repair; random working time; optimisation</t>
  </si>
  <si>
    <t>AGE-REPLACEMENT POLICY; DEPENDENT MINIMAL-REPAIR; PREVENTIVE REPLACEMENT; SUBJECT</t>
  </si>
  <si>
    <t>In this paper, we investigate an ordering-replacement modelling framework for a system deteriorating with two failure types: a repairable failure (Type-I failure) and an unrepairable failure (Type-II failure). Repairable failures are followed by minimal repair, whereas unrepairable failures are removed by a corrective replacement. A spare unit ordered regularly is associated with the system's operation time T and the number N of successive working times for preventive replacement, or ordered in emergency at any unrepairable failure for corrective replacement, whichever is first to happen. Three kinds of objectives - system availability, expected cost rate, and cost-effectiveness - are optimised to seek for the optimal spare unit ordering schedule (T*, N*), respectively. The existence and uniqueness of each optimal ordering policy are derived analytically and computed numerically.</t>
  </si>
  <si>
    <t>[Chang, Chin-Chih] Takming Univ Sci &amp; Technol, Dept Distribut Management, Taipei, Taiwan; [Chen, Yen-Luan] Takming Univ Sci &amp; Technol, Dept Mkt Management, Taipei, Taiwan; [Chang, Chin-Chih] Takming Univ Sci &amp; Technol, Dept Distribut Management, Taipei 114, Taiwan</t>
  </si>
  <si>
    <t>Takming University Science &amp; Technology; Takming University Science &amp; Technology; Takming University Science &amp; Technology</t>
  </si>
  <si>
    <t>Chang, CC (corresponding author), Takming Univ Sci &amp; Technol, Dept Distribut Management, Taipei 114, Taiwan.</t>
  </si>
  <si>
    <t>ccchang@takming.edu.tw</t>
  </si>
  <si>
    <t>10.1080/23302674.2023.2180690</t>
  </si>
  <si>
    <t>9N0LQ</t>
  </si>
  <si>
    <t>WOS:000942612100001</t>
  </si>
  <si>
    <t>Xu, GW; Azhari, F</t>
  </si>
  <si>
    <t>Xu, Gaowei; Azhari, Fae</t>
  </si>
  <si>
    <t>Data-driven optimization of repair schemes and inspection intervals for highway bridges</t>
  </si>
  <si>
    <t>Routine inspection; Proportional hazard model; Markov process; Semi-Markov decision process; National bridge inventory data</t>
  </si>
  <si>
    <t>MAINTENANCE; DETERIORATION; UNCERTAINTY; MODELS; RELIABILITY; PREDICTION; MANAGEMENT; POLICY</t>
  </si>
  <si>
    <t>Routine bridge inspections enable timely maintenance plans based on potential risks. These inspections are performed at fixed time intervals, which may be unnecessarily short for bridges in excellent conditions and precariously long for those in poor conditions. Also, deterioration models used in current bridge management approaches fail to include the effect of age, causing inaccurate predictions. This paper develops a hazard-based bridge management approach where inspection frequencies and repair suggestions are optimized based on hazard levels. A two-dimensional Markov model describes the age-dependent bridge deterioration, and a semi-Markov decision process optimizes inspection intervals and repair decisions. The objective is to minimize the expected long-term total annual costs, including expenses associated with maintenance and traffic detours. The modeling process and maintenance management framework was demonstrated on an example bridge super-structure in New York. The results showed lower annual and total costs than the conventional management method. As expected, sensitivity analyses indicated that the pre-specified choices of inspection intervals for low and high hazard levels have a significant effect on the calculated hazard threshold levels. The proposed main-tenance management method is adaptable and practical; bridge authorities can identify appropriate repair ac-tions and make inspection decisions based on simple threshold comparisons.</t>
  </si>
  <si>
    <t>[Xu, Gaowei; Azhari, Fae] Univ Toronto, Dept Mech &amp; Ind Engn, 27 Kings Coll Circle, Toronto, ON M5S 1A1, Canada</t>
  </si>
  <si>
    <t>University of Toronto</t>
  </si>
  <si>
    <t>Azhari, F (corresponding author), Univ Toronto, Dept Mech &amp; Ind Engn, 27 Kings Coll Circle, Toronto, ON M5S 1A1, Canada.</t>
  </si>
  <si>
    <t>azhari@mie.utoronto.ca</t>
  </si>
  <si>
    <t>Natural Sciences and Engineering Research Council of Canada (NSERC) [RGPIN-2018-0]</t>
  </si>
  <si>
    <t>The authors would like to thank the Natural Sciences and Engineering Research Council of Canada (NSERC) for the financial support under Grant No. RGPIN-2018-0.</t>
  </si>
  <si>
    <t>10.1016/j.ress.2022.108779</t>
  </si>
  <si>
    <t>WOS:000862580900004</t>
  </si>
  <si>
    <t>Spanemberg, FEM; Ferreira, APD; Da Silva, MG; Sellitto, MA</t>
  </si>
  <si>
    <t>Macuglia Spanemberg, Flavio E.; Dias Ferreira, Adriane Pedroso; Da Silva, Macaliston G.; Sellitto, Miguel Afonso</t>
  </si>
  <si>
    <t>INVESTING IN THE KNOWLEDGE OF SHOP FLOOR WORKFORCE - A SYSTEMIC ANALYSIS</t>
  </si>
  <si>
    <t>knowledge management; workforce management; quality management systems; system dynamics</t>
  </si>
  <si>
    <t>TOTAL PRODUCTIVE MAINTENANCE; MANAGEMENT-SYSTEMS; QUALITY MANAGEMENT; TPM IMPLEMENTATION; PERFORMANCE; CHAIN; DYNAMICS; MODEL; TOOL; IMPROVEMENT</t>
  </si>
  <si>
    <t>The objective of this article is to conduct a systemic analysis relating investment in knowledge for a production line to financial losses and returns. A systemic map was created based on the experience of a multidisciplinary group and a review of the literature about knowledge management, people management, and quality management systems. From estimates and initial data of a food production line, a dynamic model was created to simulate scenarios for five years. Concerning the studied production line, in the best-case scenario, within two years and five months after investing the capital, the investor will recover, due to loss reduction, all the investment in knowledge. In five years, the estimated return on investment was approximately twenty times the amount initially invested.</t>
  </si>
  <si>
    <t>[Macuglia Spanemberg, Flavio E.; Dias Ferreira, Adriane Pedroso; Sellitto, Miguel Afonso] Univ Vale Rio dos Sinos, Dept Prod &amp; Syst Engn, Sao Leopoldo, Brazil; [Da Silva, Macaliston G.] Univ Luterana Brasil, Dept Prod Engn, Canoas, Brazil</t>
  </si>
  <si>
    <t>Universidade do Vale do Rio dos Sinos (Unisinos); Universidade Luterana do Brasil</t>
  </si>
  <si>
    <t>Spanemberg, FEM (corresponding author), Univ Vale Rio dos Sinos, Dept Prod &amp; Syst Engn, Sao Leopoldo, Brazil.</t>
  </si>
  <si>
    <t>flaviospanemberg@pelotas.ifsul.edu.br</t>
  </si>
  <si>
    <t>Spanemberg, Flavio/ABB-3540-2021; Da Silva, Macáliston Gonçalves/L-6971-2018; Sellitto, Miguel/F-6639-2017</t>
  </si>
  <si>
    <t>Sellitto, Miguel/0000-0002-8561-9085</t>
  </si>
  <si>
    <t>RY1EY</t>
  </si>
  <si>
    <t>WOS:000647660900003</t>
  </si>
  <si>
    <t>Dadash, AH; Björsell, N</t>
  </si>
  <si>
    <t>Dadash, Amirhossein Hosseinzadeh; Bjorsell, Niclas</t>
  </si>
  <si>
    <t>Effective machine lifespan management using determined state-action cost estimation for multi-dimensional cost function optimization</t>
  </si>
  <si>
    <t>Production optimization; lifespan control; multi-dimensional cost-function; degradation control</t>
  </si>
  <si>
    <t>JOINT OPTIMIZATION; MAINTENANCE</t>
  </si>
  <si>
    <t>This study introduces a comprehensive framework designed to enhance production efficiency by integrating maintenance strategies, energy costs, and production specifications. This integration is achieved through a novel empirical method for estimating state-action costs, suitable for both machines with measurable and non-measurable states-of-health. We address the challenge of under-determination in state-action cost optimization by employing a k-means clustering approach, ensuring robustness and applicability. Utilizing an adapted SARSA algorithm, our framework optimally controls shop-floor machinery to minimize the global cost function. The efficacy of the state-action cost estimation method is validated using NASA's C-MAPSS dataset. Additionally, the optimization strategy is further corroborated through its successful implementation in an autonomous mining cart model on the shop floor. Our results highlight the framework's ability to optimize machine lifetime and production processes effectively, providing tailored solutions that adapt to varying operational conditions without depending on predefined machine degradation models and costs.</t>
  </si>
  <si>
    <t>[Dadash, Amirhossein Hosseinzadeh; Bjorsell, Niclas] Univ Gavle, Dept Elect Math &amp; Sci, S-80176 Gavle, Sweden</t>
  </si>
  <si>
    <t>University of Gavle</t>
  </si>
  <si>
    <t>Dadash, AH (corresponding author), Univ Gavle, Dept Elect Math &amp; Sci, S-80176 Gavle, Sweden.</t>
  </si>
  <si>
    <t>amirhossein.hosseinzadeh.dadash@hig.se</t>
  </si>
  <si>
    <t>Region Gavlebory [20202943]; Tillvaxtverket [20203291]</t>
  </si>
  <si>
    <t>Region Gavlebory(Region Auvergne-Rhone-AlpesRegion Bourgogne-Franche-ComteRegion Hauts-de-FranceRegion Nouvelle-Aquitaine); Tillvaxtverket</t>
  </si>
  <si>
    <t>This work was supported by the Region Gavlebory [20202943]; Tillvaxtverket [20203291].</t>
  </si>
  <si>
    <t>10.1080/21693277.2024.2383656</t>
  </si>
  <si>
    <t>A7E2O</t>
  </si>
  <si>
    <t>WOS:001284125100001</t>
  </si>
  <si>
    <t>Cavalcante, CA; Santos, AC; Paiva, RG; Aribisala, AA; Da Silva, RB</t>
  </si>
  <si>
    <t>Cavalcante, Cristiano A., V; Santos, Augusto C. J.; Paiva, Rafael G. N.; Aribisala, Adetoye A.; Da Silva, Roberta B.</t>
  </si>
  <si>
    <t>Delay time model for determining the effectiveness of a system under adverse conditions of production and inspection</t>
  </si>
  <si>
    <t>Maintenance; human errors; imperfect inspections; two-phase degradation; rework of defective items</t>
  </si>
  <si>
    <t>MAINTENANCE; QUALITY; FAILURE; REWORK</t>
  </si>
  <si>
    <t>The effectiveness of production is influenced by different events that may disrupt the original production plan, such as degradation in the production process, additional demands and inspection errors. To analyze the impact of these issues on production planning, we propose a delay time model for a single-component system that can experience four different states: good, minor defective, major defective and failed. The model uses cost-rate as a measure of production effectiveness. We conducted an investigation into the consequences of the degradation process, specifically focusing on its impact on the generation of nonconforming products. Additionally, we examined the effects of additional demands on the rate of rework products and analyzed the impact of inspection errors, including both the induction and non-detection of defects. These issues represent adverse conditions that many production systems run into their operation and maintenance processes. The results of our study advise the best strategies to deal with these adverse conditions in order to minimize their impacts on effectiveness of a production system. The proposed model serves as a guide and illustrative example of how these issues can be incorporated in the process of optimizing the effectiveness of production. From this perspective, this paper's main contribution is a series of insights that widens the manager's view about the production process in a real system, in which perfect and suitable conditions are not commonly present.</t>
  </si>
  <si>
    <t>[Cavalcante, Cristiano A., V; Paiva, Rafael G. N.; Aribisala, Adetoye A.; Da Silva, Roberta B.] Univ Fed Pernambuco, Dept Engn Management, BR-50740550 Recife, PE, Brazil; [Santos, Augusto C. J.] Univ Fed Rio Grande do Norte, Fac Engn Letras &amp; Ciencias Sociais Serido, Currais Novos, RN, Brazil</t>
  </si>
  <si>
    <t>Universidade Federal de Pernambuco; Universidade Federal do Rio Grande do Norte</t>
  </si>
  <si>
    <t>Cavalcante, CA (corresponding author), Univ Fed Pernambuco, Dept Engn Management, BR-50740550 Recife, PE, Brazil.</t>
  </si>
  <si>
    <t>Paiva, Rafael/ABH-1343-2020; Cavalcante, Cristiano/AAA-5048-2019; Cavalcante, Cristiano/G-9570-2012</t>
  </si>
  <si>
    <t>Aribisala, Adetoye Ayokunle/0000-0002-2209-1746; Gomes Nobrega Paiva, Rafael/0000-0003-1070-1284; Cavalcante, Cristiano/0000-0003-1466-656X</t>
  </si>
  <si>
    <t>Coordenacxao de Aperfeicxoamento de Pessoal de Nvel Superior - Brasil (CAPES) [001]; CNPq (Brazilian Research Council); FACEPE (Foundation for Science and Technology of the State of Pernambuco); CAPES; National Council for Scientific and Technological Development; World Academy of Scientists (CNPq-TWAS), Brazil [166418/2018-8]; Coordenacxao de Aperfeicxoamento de Pessoal de Nvel Superior - Brasil (CAPES) [001]; CNPq (Brazilian Research Council); FACEPE (Foundation for Science and Technology of the State of Pernambuco); CAPES; National Council for Scientific and Technological Development; World Academy of Scientists (CNPq-TWAS), Brazil [166418/2018-8]</t>
  </si>
  <si>
    <t>Coordenacxao de Aperfeicxoamento de Pessoal de Nvel Superior - Brasil (CAPES)(Coordenacao de Aperfeicoamento de Pessoal de Nivel Superior (CAPES)); CNPq (Brazilian Research Council)(Conselho Nacional de Desenvolvimento Cientifico e Tecnologico (CNPQ)); FACEPE (Foundation for Science and Technology of the State of Pernambuco)(Fundacao de Amparo a Ciencia e Tecnologia do Estado de Pernambuco (FACEPE)); CAPES(Coordenacao de Aperfeicoamento de Pessoal de Nivel Superior (CAPES)); National Council for Scientific and Technological Development(Conselho Nacional de Desenvolvimento Cientifico e Tecnologico (CNPQ)); World Academy of Scientists (CNPq-TWAS), Brazil; Coordenacxao de Aperfeicxoamento de Pessoal de Nvel Superior - Brasil (CAPES)(Coordenacao de Aperfeicoamento de Pessoal de Nivel Superior (CAPES)); CNPq (Brazilian Research Council)(Conselho Nacional de Desenvolvimento Cientifico e Tecnologico (CNPQ)); FACEPE (Foundation for Science and Technology of the State of Pernambuco)(Fundacao de Amparo a Ciencia e Tecnologia do Estado de Pernambuco (FACEPE)); CAPES(Coordenacao de Aperfeicoamento de Pessoal de Nivel Superior (CAPES)); National Council for Scientific and Technological Development(Conselho Nacional de Desenvolvimento Cientifico e Tecnologico (CNPQ)); World Academy of Scientists (CNPq-TWAS), Brazil</t>
  </si>
  <si>
    <t>The author(s) disclosed receipt of the following financial support for the research, authorship, and/or publication of this article: This study was financed in part by the Coordenacxao de Aperfeicxoamento de Pessoal de Nvel Superior - Brasil (CAPES) - Coodigo de Financiamento 001. The work of Cristiano Cavalcante and Roberta Silva has been supported by CNPq (Brazilian Research Council). The work of Augusto Santos has been supported by FACEPE (Foundation for Science and Technology of the State of Pernambuco). The work of Rafael Paiva has been supported by CAPES. The work of Adetoye Aribisala has been supported by the National Council for Scientific and Technological Development and The World Academy of Scientists (CNPq-TWAS), Brazil. Grant No [166418/2018-8].</t>
  </si>
  <si>
    <t>10.1177/1748006X231207529</t>
  </si>
  <si>
    <t>L6K5H</t>
  </si>
  <si>
    <t>WOS:001120678100001</t>
  </si>
  <si>
    <t>Kim, S; Choi, JH; Kim, NH</t>
  </si>
  <si>
    <t>Kim, Seokgoo; Choi, Joo-Ho; Kim, Nam Ho</t>
  </si>
  <si>
    <t>Inspection schedule for prognostics with uncertainty management</t>
  </si>
  <si>
    <t>Uncertainty reduction; Prognostics; Data measurement; Inspection schedule; Epistemic; Aleatory</t>
  </si>
  <si>
    <t>PLANNING STRUCTURAL INSPECTION; PREDICTIVE MAINTENANCE; PARTICLE FILTER; ION BATTERIES; POLICIES; STATE; SYSTEM</t>
  </si>
  <si>
    <t>Condition monitoring data is an essential ingredient for prognostics and health management. To minimize unnecessary inspections or measurements, it is crucial to evaluate the value of data to be measured in advance and determine the inspection or data measurement schedule. For this purpose, it is important to predict how much prognostics performance will be improved by adding additional data. Motivated by this objective, this paper proposes a new method that determines the future data measurement schedule which can reduce the uncertainty in prediction to the desired level. The proposed method decomposes the prediction uncertainty into epistemic and aleatory uncertainty, which are caused by the uncertainty of model parameters and the noise in the data, respectively. Then, contributions of these uncertainties to the overall prediction uncertainty in the future are analyzed. The next measurement schedule is determined such that the level of reducible epistemic uncertainty in the prediction is the same as that of aleatory uncertainty. The proposed method is applied to two different prognostics approaches: the model-based and data-driven methods. Two examples showed that the total number of inspections is reduced by about 85% while keeping the same level of prediction uncertainty.</t>
  </si>
  <si>
    <t>[Kim, Seokgoo; Kim, Nam Ho] Univ Florida, Dept Mech &amp; Aerosp Engn, Gainesville, FL 32611 USA; [Kim, Seokgoo; Choi, Joo-Ho] Korea Aerosp Univ, Dept Aerosp &amp; Mech Engn, Goyang Si 10540, South Korea</t>
  </si>
  <si>
    <t>State University System of Florida; University of Florida; Korea Aerospace University</t>
  </si>
  <si>
    <t>Choi, JH (corresponding author), Korea Aerosp Univ, Dept Aerosp &amp; Mech Engn, Goyang Si 10540, South Korea.</t>
  </si>
  <si>
    <t>seokgoo.kim@ufl.edu; jhchoi@kau.ac.kr; nkim@ufl.edu</t>
  </si>
  <si>
    <t>Kim, Seokgoo/AAW-5491-2020</t>
  </si>
  <si>
    <t>Kim, Seokgoo/0000-0003-1205-7736</t>
  </si>
  <si>
    <t>National Research Foundation of Korea (NRF) - Korea government (MSIT) [2020R1A4A4079904]</t>
  </si>
  <si>
    <t>National Research Foundation of Korea (NRF) - Korea government (MSIT)(National Research Foundation of KoreaMinistry of Science, ICT &amp; Future Planning, Republic of KoreaMinistry of Science &amp; ICT (MSIT), Republic of Korea)</t>
  </si>
  <si>
    <t>This work was supported by the National Research Foundation of Korea (NRF) grant funded by the Korea government (MSIT) (No. 2020R1A4A4079904).</t>
  </si>
  <si>
    <t>10.1016/j.ress.2022.108391</t>
  </si>
  <si>
    <t>WOS:000771562000013</t>
  </si>
  <si>
    <t>Oskouei, SFS; Abapour, M; Beiraghi, M</t>
  </si>
  <si>
    <t>Oskouei, Seyed Farboud Seyedan; Abapour, Mehdi; Beiraghi, Mojtaba</t>
  </si>
  <si>
    <t>Identifying critical components for railways rolling stock reliability: a case study for Iran</t>
  </si>
  <si>
    <t>CENTERED MAINTENANCE OPTIMIZATION; PREVENTIVE MAINTENANCE; COMPREHENSIVE SCHEME; SYSTEM; AVAILABILITY; COST; MANAGEMENT; IMPACT; POLICY; MODEL</t>
  </si>
  <si>
    <t>Electrical railways constitute a vital component of transportation infrastructure worldwide, with rolling stock representing a key element of these systems. Given the extensive operational hours of such systems, effective maintenance scheduling and asset management are imperative to ensure reliability and safety while mitigating costs. This paper addresses the challenge of optimizing maintenance practices for railway rolling stock by introducing a novel implementation of reliability-centered maintenance (RCM) grounded in the reliability block diagram (RBD) framework. This methodology meticulously incorporates reliability parameters into maintenance strategies, aiming to enhance the operational efficiency of railway systems. Leveraging the criticality index, the study identifies components crucial for train reliability, facilitating cost-effective maintenance management. The proposed approach is applied and validated on the Tabriz line 1 metro in Iran, a system with over six years of operational history. Analysis reveals the bogie subsystem's criticality due to its interconnected components, with parts exhibiting significant mean time to repair (MTTR). Conversely, the brake system emerges as the most reliable subsystem. Additionally, sensitivity analysis demonstrates an inverse relationship between repair rates and component sensitivity, highlighting the pivotal role of efficient repair processes in bolstering system reliability. This research contributes a comprehensive and validated methodology for RCM in railway rolling stock, emphasizing cost reduction, system reliability, and strategic prioritization of maintenance efforts. As the approached method in this research is not limited to the specific case study and can be applied in any system by generating the RBD and reliability parameters of the system we want to study The findings hold significant implications for the global planning and execution of railway maintenance operations, setting a new standard for reliability-centered maintenance practices in the field.</t>
  </si>
  <si>
    <t>[Oskouei, Seyed Farboud Seyedan; Abapour, Mehdi; Beiraghi, Mojtaba] Islamic Azad Univ, Dept Elect Engn, Urmia Branch, Orumiyeh, Iran; [Abapour, Mehdi] Univ Tabriz, Dept Elect &amp; Comp Engn, Tabriz, Iran</t>
  </si>
  <si>
    <t>Islamic Azad University; University of Tabriz</t>
  </si>
  <si>
    <t>Abapour, M (corresponding author), Islamic Azad Univ, Dept Elect Engn, Urmia Branch, Orumiyeh, Iran.;Abapour, M (corresponding author), Univ Tabriz, Dept Elect &amp; Comp Engn, Tabriz, Iran.</t>
  </si>
  <si>
    <t>abapour@tabrizu.ac.ir</t>
  </si>
  <si>
    <t>Abapour, Mehdi/ITU-1327-2023</t>
  </si>
  <si>
    <t>MAY 27</t>
  </si>
  <si>
    <t>10.1038/s41598-024-62841-2</t>
  </si>
  <si>
    <t>SH8B9</t>
  </si>
  <si>
    <t>WOS:001233645300033</t>
  </si>
  <si>
    <t>Ghardashi, F; Yaghoubi, M; Teymourzadeh, E; Bahadori, M; Salesi, M</t>
  </si>
  <si>
    <t>Ghardashi, Fatemeh; Yaghoubi, Maryam; Teymourzadeh, Ehsan; Bahadori, Mohammadkarim; Salesi, Mahmood</t>
  </si>
  <si>
    <t>The innovation capability model in higher education: A structural equation modelling approach</t>
  </si>
  <si>
    <t>AFRICAN JOURNAL OF SCIENCE TECHNOLOGY INNOVATION &amp; DEVELOPMENT</t>
  </si>
  <si>
    <t>innovation; university setting; organization learning; management</t>
  </si>
  <si>
    <t>ORGANIZATIONAL CULTURE; CHALLENGES; KNOWLEDGE; FRAMEWORK; FIRMS</t>
  </si>
  <si>
    <t>Innovation is the driving force of the knowledge-based economy. The maintenance and sustainability of this innovation depend on the ability to innovate. The present study was a combination design with a structural equation model approach. First, using a qualitative method, an operational definition of innovation capability and its initial framework in Iranian universities of medical sciences were presented by 10 experts. The scale development was performed through a literature review, a qualitative approach, and interviews with an expert panel. Then, the psychometric properties of the scale were evaluated via cross-sectional studies. Scale correlation, and exploratory and confirmatory factor analysis were performed using Amos software version 23. Qualitative data analysis led to the extraction of eight main themes which comprised the initial format of the study model. Quantitative phase findings and calculations of the fit indices of the measurement model showed that the model was suitable. Notably, the goodness fitness index (RMSEA), CFI index, and Chi-2/df ratio were 0.065, 0.917, 2.063, respectively. It is strongly recommended that this model is used for the development of Iranian universities of medical sciences.</t>
  </si>
  <si>
    <t>[Ghardashi, Fatemeh] Sabzevar Univ Med Sci, Noncommunicable Dis Res Ctr, Sch Paramed Sci, Sabzevar, Iran; [Yaghoubi, Maryam; Teymourzadeh, Ehsan; Bahadori, Mohammadkarim] Baqiyatallah Univ Med Sci, Hlth Management Res Ctr, Tehran, Iran; [Salesi, Mahmood] Baqiyatallah Univ Med Sci, Mahmood Salesi Chem Injuries Res Ctr, Syst Biol &amp; Poisonings Inst, Tehran, Iran</t>
  </si>
  <si>
    <t>Baqiyatallah University of Medical Sciences (BMSU); Baqiyatallah University of Medical Sciences (BMSU)</t>
  </si>
  <si>
    <t>Yaghoubi, M (corresponding author), Baqiyatallah Univ Med Sci, Hlth Management Res Ctr, Tehran, Iran.</t>
  </si>
  <si>
    <t>Yaghoobbi997@gmail.com</t>
  </si>
  <si>
    <t>Bahadori, Mohammadkarim/B-8056-2013; yaghoubi, maryam/GLT-2785-2022; teymourzadeh, ehsan/Y-5300-2018; ghardashi, fatemeh/L-5346-2017</t>
  </si>
  <si>
    <t>Bahadori, Mohammadkarim/0000-0002-7157-9908</t>
  </si>
  <si>
    <t>Health Management Research Center of Baqiyatallah University of Medical Sciences</t>
  </si>
  <si>
    <t>We thank all the faculty and administrators who helped us to complete this questionnaire. This study was approved by the Health Management Research Center of Baqiyatallah University of Medical Sciences. We sincerely thank them for all their support.</t>
  </si>
  <si>
    <t>ROUTLEDGE JOURNALS, TAYLOR &amp; FRANCIS LTD</t>
  </si>
  <si>
    <t>2-4 PARK SQUARE, MILTON PARK, ABINGDON OX14 4RN, OXON, ENGLAND</t>
  </si>
  <si>
    <t>2042-1338</t>
  </si>
  <si>
    <t>2042-1346</t>
  </si>
  <si>
    <t>AFR J SCI TECHNOL IN</t>
  </si>
  <si>
    <t>Afr. J. Sci. Technol. Innov. Dev.</t>
  </si>
  <si>
    <t>JUN 7</t>
  </si>
  <si>
    <t>10.1080/20421338.2022.2125594</t>
  </si>
  <si>
    <t>N2MJ9</t>
  </si>
  <si>
    <t>WOS:000869147200001</t>
  </si>
  <si>
    <t>Li, KY; Griffin, MA</t>
  </si>
  <si>
    <t>Li, Keyao; Griffin, Mark A.</t>
  </si>
  <si>
    <t>Unpacking human systems in data science innovations: Key innovator perspectives</t>
  </si>
  <si>
    <t>TECHNOVATION</t>
  </si>
  <si>
    <t>Data science innovation; Human systems; Innovation management; Data scientist</t>
  </si>
  <si>
    <t>ENHANCING ORGANIZATIONAL INNOVATION; TRANSFORMATIONAL LEADERSHIP; PROFESSIONAL IDENTITY; HUMAN SIDE; DETERMINANTS; MANAGEMENT; PERFORMANCE; CAPACITY; ADOPTION; CULTURE</t>
  </si>
  <si>
    <t>Despite optimistic forecasts, industry innovations in data science have extraordinarily high rates of failure. It is essential to minimise the failure of data science projects, for both businesses and data professionals. Human systems are critical to the success of data science innovations. However, the human aspects of innovation management are often neglected or omitted in most guidelines and frameworks for data science. This provides limited guidance about the necessary human conditions for successful data science innovations. In this article we address this concern by developing a systematic framework for understanding human systems that support data science innovations. We first reviewed the elements of human system at different levels of analysis and how they contribute to innovation. Substantial research and theory indicate successful innovation requires supports at different levels of organisations, which combine to create the organisation's innovation capability. The review provided an initial framework for integrating human systems with data science innovations. Then, we drew on a series of interviews with key innovators engaged in developing current data science innovations. The interviews generated a more complete picture of human systems in practice. The findings support a range of practices to energise and facilitate innovation as an integral part of strategic planning and business processes. This study contributes to the advancement of innovation management theories and calls attention to guiding and engaging individuals through providing support and removing barriers to data science at different organisational levels. More practically, innovation managers could use this as a guide to optimise work systems and inform pathways to improve organisation data science efforts.</t>
  </si>
  <si>
    <t>[Li, Keyao; Griffin, Mark A.] Curtin Univ, Future Work Inst, Fac Business &amp; Law, Perth 6000, Australia</t>
  </si>
  <si>
    <t>Curtin University</t>
  </si>
  <si>
    <t>Li, KY (corresponding author), Curtin Univ, Future Work Inst, Fac Business &amp; Law, Perth 6000, Australia.</t>
  </si>
  <si>
    <t>Keyao.li@curtin.edu.au; mark.griffin@curtin.edu.au</t>
  </si>
  <si>
    <t>Griffin, Mark/AFS-9946-2022; Griffin, Mark/H-9312-2014</t>
  </si>
  <si>
    <t>Griffin, Mark/0000-0003-4326-7752</t>
  </si>
  <si>
    <t>Australian Research Council through the Centre for Transforming Maintenance through Data Science [IC180100030]; Australian Government</t>
  </si>
  <si>
    <t>Australian Research Council through the Centre for Transforming Maintenance through Data Science(Australian Research Council); Australian Government(Australian Government)</t>
  </si>
  <si>
    <t>The author Keyao Li is supported by the Australian Research Council through the Centre for Transforming Maintenance through Data Science (grant number IC180100030) , funded by the Australian Government.</t>
  </si>
  <si>
    <t>0166-4972</t>
  </si>
  <si>
    <t>1879-2383</t>
  </si>
  <si>
    <t>Technovation</t>
  </si>
  <si>
    <t>10.1016/j.technovation.2023.102869</t>
  </si>
  <si>
    <t>Engineering, Industrial; Management; Operations Research &amp; Management Science</t>
  </si>
  <si>
    <t>Engineering; Business &amp; Economics; Operations Research &amp; Management Science</t>
  </si>
  <si>
    <t>T8MA3</t>
  </si>
  <si>
    <t>WOS:001080457100001</t>
  </si>
  <si>
    <t>Ben Mabrouk, A; Chelbi, A; Tlili, L; Radhoui, M</t>
  </si>
  <si>
    <t>Ben Mabrouk, Amel; Chelbi, Anis; Tlili, Lazher; Radhoui, Mehdi</t>
  </si>
  <si>
    <t>A quasi-optimal inspection strategy for leased equipment</t>
  </si>
  <si>
    <t>leasing; inspection strategy; maintenance; non-self-announcing failure; renewal; protection system</t>
  </si>
  <si>
    <t>PREVENTIVE-MAINTENANCE POLICY; SYSTEMS SUBJECT; FAILURE-RATE; PRODUCTS; MODEL; TIME</t>
  </si>
  <si>
    <t>This paper presents a quasi-optimal inspection policy for equipment that is leased for a given period and whose failures can be detected only through inspections. Maintenance including inspections and replacements is entrusted to the lessor. Whenever inspection reveals that the equipment is in failed state, it is replaced (or restored to a state as good as new). In case the average downtime between failures and their detection exceeds a contractual pre-specified duration, a penalty is incurred by the lessor. The proposed mathematical model and numerical algorithm allow finding a quasi-optimal sequence of inspection instants (theta(1)*, theta(2)*, horizontal ellipsis , theta(N)*) which minimises the expected total cost incurred by the lessor over the lease period L. A numerical example is presented and the obtained results are discussed. We investigate numerically the effect of the variation of the downtime penalty cost, the inspection cost, the lease period length, and the equipment reliability on the quasi-optimal inspection policy to be adopted by the lessor.</t>
  </si>
  <si>
    <t>[Ben Mabrouk, Amel] South Mediterranean Univ, CEREP, Mediterranean Sch Business, Tunis, Tunisia; [Chelbi, Anis] Univ Tunis, Natl Higher Engn Sch Tunis, CEREP, Tunis, Tunisia; [Tlili, Lazher] Univ Sfax, Higher Inst Ind Management Sfax, CEREP, Tunis, Tunisia; [Radhoui, Mehdi] Univ Carthage, Natl Engn Sch Carthage, CEREP, Tunis, Tunisia</t>
  </si>
  <si>
    <t>Universite de Tunis; Universite de Sfax; Universite de Carthage</t>
  </si>
  <si>
    <t>Chelbi, A (corresponding author), Univ Tunis, Natl Higher Engn Sch Tunis, CEREP, Tunis, Tunisia.</t>
  </si>
  <si>
    <t>anis.chelbi@planet.tn</t>
  </si>
  <si>
    <t>Chelbi, Anis/GVW-1988-2022; Ben Mabrouk, Amel/GRS-9775-2022; Tlili, Lazhar/N-7321-2019</t>
  </si>
  <si>
    <t>Mehdi, Radhoui/0000-0002-1573-2453</t>
  </si>
  <si>
    <t>FEB 1</t>
  </si>
  <si>
    <t>10.1080/00207543.2019.1602743</t>
  </si>
  <si>
    <t>APR 2019</t>
  </si>
  <si>
    <t>KC6TA</t>
  </si>
  <si>
    <t>WOS:000465961500001</t>
  </si>
  <si>
    <t>Gupta, S</t>
  </si>
  <si>
    <t>Gupta, Sorabh</t>
  </si>
  <si>
    <t>PERFORMANCE MODELING AND ANALYSIS OF A COMPLEX REPAIRABLE INDUSTRIAL SYSTEM</t>
  </si>
  <si>
    <t>Markov Approach; Probabilistic Approach; Transition Diagram; Chapman-Kolmogorov Equations; Corrective Maintenance</t>
  </si>
  <si>
    <t>AVAILABILITY ANALYSIS; HANDLING UNIT; RELIABILITY; DECISION; PLANT; STEAM</t>
  </si>
  <si>
    <t>High reliability and availability are the supreme importance of a complex electromechanical system. The imprecise, uncertain, and often inaccurate data collection, uncertainty, and ambiguity have been inevitably associated with a complex industrial system. The Markov approach has proven to be a unified tool to evaluate the reliability of a complex industrial system. In the present research, the author presented a structured and methodological technique to analyze the reliability and availability of various subsystems of coal crushing unit of a thermal power plant using the traditional Markov birth-death process and demonstrated it using a probabilistic approach. The approach consists of breaking up the coal crushing unit/system into various subsystems with three feasible states labeled in the transition diagram. Then using the Markov approach, a probabilistic stochastic model has been developed using Chapman-Kolmogorov equations. The results of the studies are of utmost importance for the plant management in order to take timely decisions for maintaining the system in the upstate for a long duration and take corrective maintenance action.</t>
  </si>
  <si>
    <t>[Gupta, Sorabh] Galaxy Global Educ Trusts Grp Inst, Dept Mech Engn, Ambala, Haryana, India</t>
  </si>
  <si>
    <t>Gupta, S (corresponding author), Galaxy Global Educ Trusts Grp Inst, Dept Mech Engn, Ambala, Haryana, India.</t>
  </si>
  <si>
    <t>director@galaxyglobaledu.in</t>
  </si>
  <si>
    <t>10.23055/ijietap.2022.29.1.6995</t>
  </si>
  <si>
    <t>0G9YG</t>
  </si>
  <si>
    <t>WOS:000778397300001</t>
  </si>
  <si>
    <t>Dui, HY; Lu, YH; Wu, SM</t>
  </si>
  <si>
    <t>Dui, Hongyan; Lu, Yaohui; Wu, Shaomin</t>
  </si>
  <si>
    <t>Competing risks-based resilience approach for multi-state systems under multiple shocks</t>
  </si>
  <si>
    <t>Competing risks; Resilience; System reliability; Condition-based maintenance; Semi-Markov process</t>
  </si>
  <si>
    <t>FAILURE PROCESSES; RELIABILITY; DEGRADATION; FRAMEWORK</t>
  </si>
  <si>
    <t>Effective measurement of system resilience provides a comprehensive understanding of the system's characteristics. However, little research has been devoted to the resilience of a technical system that is affected by both the degradation process of the system and the external shocks. In addition, existing studies have mainly evaluated the resilience of systems without considering competing risks, and rarely investigated the transient resilience evaluation subjected to the interaction of shocks and maintenance. In this paper, a new resilience model is proposed for the systems under competing risks. The paper first introduces a competing risk model to depict the failure modes of the single-component system, and then uses semi-Markov processes to describe the state transition process when the system suffers the attacks of multiple shocks. Then, according to the multi-state division of the system, the resistibility index, absorbability index and recoverability index are proposed and the overall resilience is then introduced. Considering that the system needs to meet the reliability requirement, constrained by limit budget for maintenance, a reliability and cost-based resilience model is proposed. Finally, the case of a radar system subjected to shocks of one type and multiple types of shocks is given to illustrate the concept developed in this paper.</t>
  </si>
  <si>
    <t>[Dui, Hongyan] Zhengzhou Univ, Sch Management, Zhengzhou 450001, Peoples R China; [Lu, Yaohui] Beihang Univ, Sch Automat Sci &amp; Elect Engn, Beijing 100191, Peoples R China; [Wu, Shaomin] Univ Kent, Kent Business Sch, Canterbury CT2 7FS, Kent, England</t>
  </si>
  <si>
    <t>Zhengzhou University; Beihang University; University of Kent</t>
  </si>
  <si>
    <t>Dui, Hongyan/0000-0002-2277-6454; Lu, Yaohui/0009-0009-7604-8063</t>
  </si>
  <si>
    <t>10.1016/j.ress.2023.109773</t>
  </si>
  <si>
    <t>Z5TN0</t>
  </si>
  <si>
    <t>WOS:001112697200001</t>
  </si>
  <si>
    <t>Dai, AS; Wei, GZ; Wang, DF; He, Z; He, SG</t>
  </si>
  <si>
    <t>Dai, Anshu; Wei, Guanzhou; Wang, Dongfan; He, Zhen; He, Shuguang</t>
  </si>
  <si>
    <t>The opportunity study of PM strategy for second-hand products sold with a two-dimensional warranty</t>
  </si>
  <si>
    <t>Two-dimensional warranty; Second-hand product; Preventive maintenance; Upgrade; Lifecycle cost analysis</t>
  </si>
  <si>
    <t>RELIABILITY IMPROVEMENT PROGRAM; OPTIMAL UPGRADE STRATEGY; PREVENTIVE MAINTENANCE; OPTIMIZING UPGRADE; EXTENDED WARRANTY; LEVEL; SYSTEMS; POLICY; PRICE; MODEL</t>
  </si>
  <si>
    <t>Preventive maintenance (PM) actions could bring the second-hand product to an improved health condition and ensure the product safety during usage. However, performing PM usually involves additional cost and brings financial burdens to both dealers and customers. How to find the trade-off between the benefits and related costs of PM is the main challenge for both sides. In this study, we investigate the opportunity of different PM strategies for second-hand products covered by a two-dimensional warranty from the perspectives of both dealers and customers. In the proposed model, the used product is upgraded before being delivered to the next customer, and then it could be preventively maintained according to different adopted PM strategies. In order to determine the maximum capital that the customer would like to invest in PM activities and the minimum price at which the dealer is willing to provide PM service, the dealer's expected servicing cost and the customer's total expected cost during the product lifecycle are derived respectively. In the end, the proposed model is validated through numerical experiments. Based on the numerical results, several practical implications are also given to help dealers in conducting PM strategy.</t>
  </si>
  <si>
    <t>[Dai, Anshu] Tianjin Univ Finance &amp; Econ, Coinnovat Ctr Computable Modeling Management Sci, Tianjin, Peoples R China; [Wei, Guanzhou] Univ Arkansas, Dept Ind Engn, Fayetteville, AR 72701 USA; [Wang, Dongfan; He, Zhen; He, Shuguang] Tianjin Univ, Coll Management &amp; Econ, Tianjin, Peoples R China</t>
  </si>
  <si>
    <t>Tianjin University of Finance &amp; Economics; University of Arkansas System; University of Arkansas Fayetteville; Tianjin University</t>
  </si>
  <si>
    <t>He, SG (corresponding author), Tianjin Univ, Coll Management &amp; Econ, Tianjin, Peoples R China.</t>
  </si>
  <si>
    <t>wang, qiufeng/C-1654-2013</t>
  </si>
  <si>
    <t>National Natural Science Foundation of China (NSFC) [71802145, 71801064, 72002149, 71872123, 72032005]; Natural Science Foundation of Tianjin, China [19JCQNJC14800]; project of Humanities and Social Sciences for Young Scholars, the Chinese Ministry of Education [20YJC630037]</t>
  </si>
  <si>
    <t>National Natural Science Foundation of China (NSFC)(National Natural Science Foundation of China (NSFC)); Natural Science Foundation of Tianjin, China(Natural Science Foundation of Tianjin); project of Humanities and Social Sciences for Young Scholars, the Chinese Ministry of Education</t>
  </si>
  <si>
    <t>This work is supported by the National Natural Science Foundation of China (NSFC) under grant nos 71802145,71801064,72002149, 71872123 and 72032005, Natural Science Foundation of Tianjin, China under grant nos 19JCQNJC14800, and also by the project of Humanities and Social Sciences for Young Scholars, the Chinese Ministry of Education, [No. 20YJC630037].</t>
  </si>
  <si>
    <t>10.1016/j.ress.2021.107699</t>
  </si>
  <si>
    <t>WOS:000663912500008</t>
  </si>
  <si>
    <t>Jia, XC; Yu, F; Liu, ZG</t>
  </si>
  <si>
    <t>Jia, Xiuchuan; Yu, Fei; Liu, Zhiguang</t>
  </si>
  <si>
    <t>A multicriteria decision support method for evaluating radical schemes at conceptual design stage</t>
  </si>
  <si>
    <t>Radical innovation (RI); Radical schemes; Decision support; Conceptual design; Data envelopment analysis (DEA); Patent mining</t>
  </si>
  <si>
    <t>PRODUCT INNOVATION; PERFORMANCE; TECHNOLOGY; COMPLEXITY; SUCCESS; DIMENSIONS; ADVANTAGE; PATENTS; NEWNESS; IMPACT</t>
  </si>
  <si>
    <t>Radical innovation can confer a competitive advantage upon enterprises, enabling them to advance in an increasingly competitive marketplace. However, due to the high uncertainty in the prospect of radical innovation, radical schemes are highly susceptible to failure and investment loss. Enterprises that are inclined to implement a radical scheme must confront the challenging task of accurately evaluating the investment value of such an initiative. This paper seeks to evaluate the viability of investing in radical schemes by analyzing the changes in their characteristics relative to mainstream products. Initially, a preliminary model for evaluating the market potential of radical schemes is established through the collection and analysis of existing case studies. Subsequently, for the schemes with high expected market potential in the preliminary evaluation, the value potential of the schemes is further examined through data envelopment analysis based on mining of competitive schemes from the patent database. Finally, the feasibility of the proposed method is validated through an evaluation of two illustrative cases.</t>
  </si>
  <si>
    <t>[Jia, Xiuchuan; Yu, Fei] Hebei Univ Technol, Sch Mech Engn, Tianjin 300401, Peoples R China; [Jia, Xiuchuan; Yu, Fei] Natl Technol Innovat Method &amp; Tool Engn Res Ctr, Tianjin 300401, Peoples R China; [Liu, Zhiguang] Tianjin Chengjian Univ, Sch Control &amp; Mech Engn, Tianjin 300384, Peoples R China</t>
  </si>
  <si>
    <t>Hebei University of Technology; Tianjin Chengjian University</t>
  </si>
  <si>
    <t>Yu, F (corresponding author), Hebei Univ Technol, Sch Mech Engn, Tianjin 300401, Peoples R China.;Yu, F (corresponding author), Natl Technol Innovat Method &amp; Tool Engn Res Ctr, Tianjin 300401, Peoples R China.</t>
  </si>
  <si>
    <t>202411201018@stu.hebut.edu.cn; fyu@hebut.edu.cn; liuzhiguang@tcu.edu.cn</t>
  </si>
  <si>
    <t>Jia, Xiuchuan/0000-0001-6452-715X</t>
  </si>
  <si>
    <t>National Natural Science Founda-tion of China [51805142]</t>
  </si>
  <si>
    <t>National Natural Science Founda-tion of China(National Natural Science Foundation of China (NSFC))</t>
  </si>
  <si>
    <t>This paper was sponsored by the National Natural Science Founda-tion of China (No.51805142) . We thank colleagues and experts for their help and review for the paper improvement.</t>
  </si>
  <si>
    <t>MAR 5</t>
  </si>
  <si>
    <t>10.1016/j.eswa.2024.125778</t>
  </si>
  <si>
    <t>N0D2O</t>
  </si>
  <si>
    <t>WOS:001361134000001</t>
  </si>
  <si>
    <t>Dui, H; Wei, X; Xing, LD</t>
  </si>
  <si>
    <t>Dui, Hongyan; Wei, Xuan; Xing, Liudong</t>
  </si>
  <si>
    <t>A new multi-criteria importance measure and its applications to risk reduction and safety enhancement</t>
  </si>
  <si>
    <t>Importance measure; Reliability; Risk; Maintenance cost; Multiple criteria</t>
  </si>
  <si>
    <t>MULTISTATE SYSTEMS</t>
  </si>
  <si>
    <t>A wide variety of importance measures have been proposed to rank components for different purposes and most of them are based on a single criterion like reliability, maintenance cost, or risk. In many practical situations, however, people need to evaluate alternatives based on multiple criteria. Thus, the single-criterion importance measure is no longer sufficient for such evaluation. Fewer research has been reported on importance measures applicable to multi-criteria engineering systems, which however fail to consider the correlation among different criteria leading to inaccurate and even misleading importance results. In this paper, a new multi-criteria importance measure (MCIM) is proposed to identify the weakest components in complex engineering systems and it objectively considers the correlation among different criteria. The proposed MCIM is then extended to two common types of complex engineering systems, series hierarchical systems and modular systems. At last, the applications and effectiveness of the proposed MCIM are illustrated by two case studies, including reducing risks of a hierarchical supply chain system and improving the safety of a train bogie modular system.</t>
  </si>
  <si>
    <t>[Dui, Hongyan] Zhengzhou Univ, Sch Management, Zhengzhou 450001, Peoples R China; [Wei, Xuan] Tianjin Univ, Coll Management &amp; Econ, Tianjin 300072, Peoples R China; [Xing, Liudong] Univ Massachusetts, Dept Elect &amp; Comp Engn, Dartmouth, MA 02747 USA</t>
  </si>
  <si>
    <t>Zhengzhou University; Tianjin University; University of Massachusetts System; University Massachusetts Dartmouth</t>
  </si>
  <si>
    <t>National Natural Science Foundation of China [72071182, U1904211]; ministry of education's humanities and social sciences planning fund [20YJA630012]; Key Science and Technology Program of Henan Province [222102520019]; Program for Science &amp; Technology Innovation Talents in Universities of Henan Province [22HASTIT022]; Program for young backbone teachers in Universities of Henan Province [2021GGJS007]</t>
  </si>
  <si>
    <t>National Natural Science Foundation of China(National Natural Science Foundation of China (NSFC)); ministry of education's humanities and social sciences planning fund; Key Science and Technology Program of Henan Province; Program for Science &amp; Technology Innovation Talents in Universities of Henan Province; Program for young backbone teachers in Universities of Henan Province</t>
  </si>
  <si>
    <t>The authors gratefully acknowledge the financial support for this research from the National Natural Science Foundation of China (Nos. 72071182, U1904211), the ministry of education's humanities and social sciences planning fund (No. 20YJA630012), the Key Science and Technology Program of Henan Province (No. 222102520019), the Program for Science &amp; Technology Innovation Talents in Universities of Henan Province (No. 22HASTIT022), the Program for young backbone teachers in Universities of Henan Province (No. 2021GGJS007).</t>
  </si>
  <si>
    <t>10.1016/j.ress.2023.109275</t>
  </si>
  <si>
    <t>E2BH4</t>
  </si>
  <si>
    <t>WOS:000973647400001</t>
  </si>
  <si>
    <t>Zheng, JF; Ren, JC; Pei, H; Zhang, JX; Zhang, ZX</t>
  </si>
  <si>
    <t>Zheng, Jianfei; Ren, Jincheng; Pei, Hong; Zhang, Jianxun; Zhang, Zhengxin</t>
  </si>
  <si>
    <t>Lifetime prediction and replacement optimization for a standby system considering storage failures of spare parts</t>
  </si>
  <si>
    <t>Lifetime prediction; Standby system; Degradation failure; Sudden failure; Nonlinear Wiener Process; Competing failure</t>
  </si>
  <si>
    <t>CYCLE LIFE; MAINTENANCE; CALENDAR</t>
  </si>
  <si>
    <t>Spare parts redundancy is an effective way to improve system reliability and prolong system lifetime. Generally, preventive maintenance and inventory management of a standby system can significantly reduce operating and maintenance costs, particularly crucial in industrial systems. Additionally, during storage, spare parts may experience degradation failure due to internal mechanisms and sudden failure due to external shocks, complicating the health management of the standby system. Unfortunately, few existing studies consider the impact of spare parts' competing failures in standby systems. To address this gap, this paper proposes a novel method for predicting the lifetime and optimizing the maintenance policy of nonlinear degradation standby systems, considering both degradation and sudden failures of spare parts. Firstly, we established the degradation model under the competing failure of spare parts and derived the analytical formula for life prediction of the standby system in the presence of competing failures, assuming that sudden failure follows the Weibull distribution. Furthermore, we developed a joint optimization model for replacement maintenance and inventory management based on predictive information, aiming to minimize the expected cost, in which the block replacement interval and the number of spare parts are treated as decision variables. Finally, the effectiveness and potential application value of the proposed method are verified through numerical simulation and a case study.</t>
  </si>
  <si>
    <t>[Zheng, Jianfei; Ren, Jincheng; Pei, Hong] Rocket Force Univ Engn, Dept Automat, Xian 710025, Shaanxi, Peoples R China; [Zhang, Jianxun; Zhang, Zhengxin] Rocket Force Univ Engn, Zhijian Lab, Xian 710025, Shaanxi, Peoples R China</t>
  </si>
  <si>
    <t>Rocket Force University of Engineering; Rocket Force University of Engineering</t>
  </si>
  <si>
    <t>Pei, H (corresponding author), Rocket Force Univ Engn, Dept Automat, Xian 710025, Shaanxi, Peoples R China.</t>
  </si>
  <si>
    <t>ph2010hph@sina.com; zhangzx.2006@tsinghua.org.cn</t>
  </si>
  <si>
    <t>Zhang, Zhengxin/GRJ-4489-2022</t>
  </si>
  <si>
    <t>Pei, Hong/0000-0002-9105-0120</t>
  </si>
  <si>
    <t>National Natural Science Foundation of China Program [62103433, 62203462, 62233017, 62373368, 62373369]; Shaanxi Provincial Association for Science and Technology Youth Talent Support Project [20230127]; General Project of China Postdoctoral Science Foundation [2023M734286]</t>
  </si>
  <si>
    <t>National Natural Science Foundation of China Program(National Natural Science Foundation of China (NSFC)); Shaanxi Provincial Association for Science and Technology Youth Talent Support Project; General Project of China Postdoctoral Science Foundation</t>
  </si>
  <si>
    <t>This paper is partly funded by National Natural Science Foundation of China Program (No. 62103433, No. 62203462, No. 62233017, No. 62373368, No 62373369) , Shaanxi Provincial Association for Science and Technology Youth Talent Support Project (No. 20230127) , General Project of China Postdoctoral Science Foundation (No. 2023M734286) .</t>
  </si>
  <si>
    <t>10.1016/j.ress.2024.110195</t>
  </si>
  <si>
    <t>N0J3O</t>
  </si>
  <si>
    <t>WOS:001361292600001</t>
  </si>
  <si>
    <t>Zhao, X; Zhang, J; Wang, XY</t>
  </si>
  <si>
    <t>Zhao, Xian; Zhang, Jing; Wang, Xiaoyue</t>
  </si>
  <si>
    <t>Joint optimization of components redundancy, spares inventory and repairmen allocation for a standby series system</t>
  </si>
  <si>
    <t>Reliability engineering; joint optimization; components redundancy; inventory management; repairmen allocation</t>
  </si>
  <si>
    <t>MAINTENANCE OPTIMIZATION; RELIABILITY OPTIMIZATION; AVAILABILITY; ALGORITHM; STRATEGY; INTERVAL</t>
  </si>
  <si>
    <t>In the past, redundancy, inventory and maintenance are often considered separately to improve the system availability. Recently, a few joint optimization papers have emerged, but they only considered hot-standby redundancy, one-for-one-ordering inventory policy and the case of single repairman. In order to deepen the previous research, this article formulates a joint optimization model of components redundancy, spares inventory and repairmen allocation for a standby series system with an objective of maximizing system availability. As to the components redundancy, hot-standby, warm-standby and cold-standby are considered, respectively. A more general batching ordering inventory policy is adopted and the number of repairmen is added as a new element. By continuous time Markov process, related reliability probability indices are derived. Then the mathematical model is constructed and branch-and-bound method is employed to solve the optimal solution. Finally, we conduct analysis and comparison for different numerical examples and obtain the following results: cold-standby and warm-standby redundancy yield higher availabilities compared to hot-standby under the same conditions. The optimal batch ordering inventory policy is better than optimal one-for-one-ordering inventory policy if the spares replenishment rate is not high enough. Moreover, an optimal number of repairmen, which is always more than one, can be achieved to enhance the efficiency of maintenance.</t>
  </si>
  <si>
    <t>[Zhao, Xian; Wang, Xiaoyue] Beijing Inst Technol, Sch Management &amp; Econ, Beijing 100081, Peoples R China; [Zhang, Jing] Inst Disaster Prevent, Sch Econ &amp; Management, Langfang, Peoples R China</t>
  </si>
  <si>
    <t>Beijing Institute of Technology; China Earthquake Administration; Institute of Disaster Prevention, CEA</t>
  </si>
  <si>
    <t>Wang, Xiaoyue/0000-0001-8978-9236; Zhang, Jing/0000-0002-7466-7460</t>
  </si>
  <si>
    <t>National Natural Science Foundation of China [71271028, 71572014]; Beijing Philosophy and Social Science Planning Program [12JGC091]; National Key R&amp;D Program of China [2016YFF 0204100]</t>
  </si>
  <si>
    <t>National Natural Science Foundation of China(National Natural Science Foundation of China (NSFC)); Beijing Philosophy and Social Science Planning Program; National Key R&amp;D Program of China</t>
  </si>
  <si>
    <t>The author(s) disclosed receipt of the following financial support for the research, authorship, and/or publication of this article: This work is sponsored by the National Natural Science Foundation of China (71271028, 71572014), the Beijing Philosophy and Social Science Planning Program (12JGC091)and the National Key R&amp;D Program of China (2016YFF 0204100).</t>
  </si>
  <si>
    <t>10.1177/1748006X18809498</t>
  </si>
  <si>
    <t>WOS:000478598600010</t>
  </si>
  <si>
    <t>Wang, XL; Xie, M; Li, LS</t>
  </si>
  <si>
    <t>Wang, Xiaolin; Xie, Min; Li, Lishuai</t>
  </si>
  <si>
    <t>On optimal upgrade strategy for second-hand multi-component systems sold with warranty</t>
  </si>
  <si>
    <t>second-hand systems; series configuration; warranty; upgrade; maintenance management; cost analysis</t>
  </si>
  <si>
    <t>RELIABILITY IMPROVEMENT PROGRAM; PREVENTIVE MAINTENANCE; 2-DIMENSIONAL WARRANTY; OPTIMIZING UPGRADE; 2-COMPONENT SYSTEM; PRODUCTS SOLD; COST-ANALYSIS; QUALITY; AVAILABILITY; OPTIMIZATION</t>
  </si>
  <si>
    <t>Reliability improvement strategies such as upgrade, reconditioning and remanufacturing have been extensively adopted by dealers of second-hand systems to improve the system reliability and reduce the warranty servicing cost. However, most existing studies on this topic do not consider the multi-component structures of complex second-hand systems, and either treat them as black-box systems by ignoring their internal structures or simply deal with individual components. In this paper, a new upgrade model is developed for complex second-hand systems sold with a non-renewing free repair/replacement warranty, by explicitly considering their multi-component configurations. Two types of components, i.e. repairable and non-repairable components, are taken into account. During the upgrade process, non-repairable components can be upgraded only by replacement (if necessary), while repairable ones may be imperfectly upgraded with various degrees. The main objective of the dealer is to determine which components to upgrade and the corresponding upgrade degrees, to minimise the total expected servicing cost. In view of the problem structure, a marginal analysis based algorithm is presented. It is shown that the proposed upgrade strategy contains the 'no upgrade' strategy and the 'component-level perfect upgrade/replacement' strategy as special cases, and outperforms them. Finally, several extensions of the proposed upgrade model are discussed.</t>
  </si>
  <si>
    <t>[Wang, Xiaolin; Xie, Min; Li, Lishuai] City Univ Hong Kong, Dept Syst Engn &amp; Engn Management, Kowloon, Hong Kong, Peoples R China; [Wang, Xiaolin; Li, Lishuai] City Univ Hong Kong, Shenzhen Res Inst, Shenzhen, Peoples R China</t>
  </si>
  <si>
    <t>City University of Hong Kong; Shenzhen Research Institute, City University of Hong Kong; City University of Hong Kong</t>
  </si>
  <si>
    <t>Wang, XL (corresponding author), City Univ Hong Kong, Dept Syst Engn &amp; Engn Management, Kowloon, Hong Kong, Peoples R China.;Wang, XL (corresponding author), City Univ Hong Kong, Shenzhen Res Inst, Shenzhen, Peoples R China.</t>
  </si>
  <si>
    <t>Li, Lishuai/0000-0002-0990-5119; Wang, Xiao-Lin/0000-0003-0100-8154</t>
  </si>
  <si>
    <t>Research Grants Council of Hong Kong [T32-101/15-R, CityU 11203815]; National Natural Science Foundation of China [71532008, 71601166]</t>
  </si>
  <si>
    <t>10.1080/00207543.2018.1488087</t>
  </si>
  <si>
    <t>HO0XW</t>
  </si>
  <si>
    <t>WOS:000460630300012</t>
  </si>
  <si>
    <t>Jafarzadegan, M; Safi-Esfahani, F; Beheshti, Z</t>
  </si>
  <si>
    <t>Jafarzadegan, Mohammad; Safi-Esfahani, Faramarz; Beheshti, Zahra</t>
  </si>
  <si>
    <t>Combining hierarchical clustering approaches using the PCA method</t>
  </si>
  <si>
    <t>Clustering; Hierarchical clustering; Principle component analysis; PCA</t>
  </si>
  <si>
    <t>COMBINATION</t>
  </si>
  <si>
    <t>In expert systems, data mining methods are algorithms that simulate humans' problem-solving capabilities. Clustering methods as unsupervised machine learning methods are crucial approaches to categorize similar samples in the same categories. The use of different clustering algorithms to a given dataset produces clusters with different qualities. Hence, many researchers have applied clustering combination methods to reduce the risk of choosing an inappropriate clustering algorithm. In these methods, the outputs of several clustering algorithms are combined. In these research works, the input hierarchical clusterings are transformed to descriptor matrices and their combination is achieved by aggregating their descriptor matrices. In previous works, only element-wise aggregation operators have been used and the relation between the elements of each descriptor matrix has been ignored. However, the value of each element of the descriptor matrix is meaningful in comparison with its other elements. The current study proposes a novel method of combining hierarchical clustering approaches based on principle component analysis (PCA). PCA as an aggregator allows considering all elements of the descriptor matrices. In the proposed approach, basic clusters are made and transformed to descriptor matrices. Then, a final matrix is extracted from the descriptor matrices using PCA. Next, a final dendrogram is constructed from the matrix that is used to summarize the results of the diverse clustering. The experimental results on popular available datasets show the superiority of the clustering accuracy of the proposed method over basic clustering methods such as single, average and centroid linkage and previously combined hierarchical clustering methods. In addition, statistical tests show that the proposed method significantly out-performed hierarchical clustering combination methods with element-wise averaging operators in almost all tested datasets. Several experiments have also been conducted which confirm the robustness of the proposed method for its parameter setting. (C) 2019 Elsevier Ltd. All rights reserved.</t>
  </si>
  <si>
    <t>[Jafarzadegan, Mohammad; Safi-Esfahani, Faramarz; Beheshti, Zahra] Islamic Azad Univ, Fac Comp Engn, Najafabad Branch, Najafabad, Iran; [Jafarzadegan, Mohammad; Safi-Esfahani, Faramarz; Beheshti, Zahra] Islamic Azad Univ, Big Data Res Ctr, Najafabad Branch, Najafabad, Iran</t>
  </si>
  <si>
    <t>Islamic Azad University; Islamic Azad University</t>
  </si>
  <si>
    <t>Safi-Esfahani, F (corresponding author), Islamic Azad Univ, Fac Comp Engn, Najafabad Branch, Najafabad, Iran.;Safi-Esfahani, F (corresponding author), Islamic Azad Univ, Big Data Res Ctr, Najafabad Branch, Najafabad, Iran.</t>
  </si>
  <si>
    <t>m.jafarzadegan@mau.ac.ir; fsafi@iaun.ac.ir; z-beheshti@iaun.ac.ir</t>
  </si>
  <si>
    <t>Esfahani, Faramarz/AAG-3805-2020; Beheshti, Zahra/AAN-4356-2021</t>
  </si>
  <si>
    <t>Safi Esfahani, Faramarz/0000-0001-7539-3089; Beheshti, Zahra/0000-0001-7917-1678; jafarzadegan, mohamad/0000-0003-0503-7649</t>
  </si>
  <si>
    <t>DEC 15</t>
  </si>
  <si>
    <t>10.1016/j.eswa.2019.06.064</t>
  </si>
  <si>
    <t>IZ6BT</t>
  </si>
  <si>
    <t>WOS:000487167500001</t>
  </si>
  <si>
    <t>Kristjanpoller, F; Cárdenas-Pantoja, N; Viveros, P; Pascual, R</t>
  </si>
  <si>
    <t>Kristjanpoller, Fredy; Cardenas-Pantoja, Nicolas; Viveros, Pablo; Pascual, Rodrigo</t>
  </si>
  <si>
    <t>Wind farm life cycle cost modelling based on oversizing capacity under load sharing configuration</t>
  </si>
  <si>
    <t>Wind park sizing; Load sharing; Life cycle cost; Wind farm reliability</t>
  </si>
  <si>
    <t>MAINTENANCE; SYSTEM; IMPACT</t>
  </si>
  <si>
    <t>Renewable energies are becoming the norm and as such they are responsible for the energy supply of large cities, therefore, there is a need for this energy sources to be able to deliver a determined level of service. The latter is especially complex for wind farms due to the high stress and rough climate conditions in which they operate. A higher service level is usually achieved by injecting budget on the operation of plants, namely, maintenance and asset management to reduce the risk of failure and outage. This article proposes a methodology to study the improvement of the service level, availability, and reliability of a plant from the design stage through oversizing the allocation of Wind Turbine Generators (WTG) without compromising the project Life Cycle Cost, indeed, results reveal up to a 2.11% of improvement on availability, a reduction of up to 18.48% on corrective maintenance costs and up to a 1.44% reduction of total differential costs. Furthermore, the evidence found suggests that the load sharing perspective imprints less stress on the WTG, enabling higher service levels at reduced costs and better results for maintenance and asset management planning, thus improving efficiency focussing on preventive maintenance and reliability improving.</t>
  </si>
  <si>
    <t>[Kristjanpoller, Fredy; Cardenas-Pantoja, Nicolas; Viveros, Pablo] Univ Tecn Federico Santa Maria, Dept Ind Engn, Valparaiso, Chile; [Pascual, Rodrigo] Univ Chile, Mech Engn Dept, Ave Beauchef 851, Santiago, Chile</t>
  </si>
  <si>
    <t>Universidad Tecnica Federico Santa Maria; Universidad de Chile</t>
  </si>
  <si>
    <t>Kristjanpoller, F (corresponding author), Univ Tecn Federico Santa Maria, Dept Ind Engn, Valparaiso, Chile.</t>
  </si>
  <si>
    <t>fredy.kristjanpoller@usm.cl</t>
  </si>
  <si>
    <t>Viveros, Pablo/L-4961-2014; Pascual, Rodrigo/F-8884-2013; Kristjanpoller, Fredy/E-7340-2013</t>
  </si>
  <si>
    <t>Pascual, Rodrigo/0000-0001-7991-7652; Cardenas Pantoja, Nicolas Javier/0000-0003-1508-9039; Kristjanpoller, Fredy/0000-0001-8970-9371</t>
  </si>
  <si>
    <t>Fondo Nacional de Desarrollo Cientifico y Tec- nol ' ogico (FONDECYT) of the Chilean Government [1210892]</t>
  </si>
  <si>
    <t>Fondo Nacional de Desarrollo Cientifico y Tec- nol ' ogico (FONDECYT) of the Chilean Government(Comision Nacional de Investigacion Cientifica y Tecnologica (CONICYT)CONICYT FONDECYT)</t>
  </si>
  <si>
    <t>Acknowledgements The authors would like to also acknowledge the partial funding of this research by the Fondo Nacional de Desarrollo Cientifico y Tec- nol ' ogico (FONDECYT) of the Chilean Government, through project #1210892.</t>
  </si>
  <si>
    <t>10.1016/j.ress.2023.109307</t>
  </si>
  <si>
    <t>F6NZ0</t>
  </si>
  <si>
    <t>WOS:000983505300001</t>
  </si>
  <si>
    <t>Chang, PC</t>
  </si>
  <si>
    <t>Chang, Ping-Chen</t>
  </si>
  <si>
    <t>Theory and applications of an integrated model for capacitated-flow network reliability analysis</t>
  </si>
  <si>
    <t>System reliability; Capacitated-flow network; Time-dependent; Maintenance policy</t>
  </si>
  <si>
    <t>MONTE-CARLO-SIMULATION; MULTISTATE SYSTEMS; ALGORITHM; BOUNDS; TERMS</t>
  </si>
  <si>
    <t>To evaluate the performance of engineering systems, this study acts as a bridge between the theories of classical and capacitated-flow network reliabilities and helps integrate them. Unlike existing works, in which a deterministic probability distribution was used for arcs in a network, in this study, the time-dependent reliability function is applied for components in arcs. In particular, the proposed model applies an arbitrary reliability function to evaluate reliability. In arc-level reliability analysis, the components in an arc are characterized by a reliability function, and such components comprise a capacitated-flow arc. Therefore, a certain number of components can be derived from the probability distribution of the capacity provided by an arc. In system-level reliability analysis, an algorithm is used to generate the minimal component vectors (MCV) for the given demand and time constraints. The system reliability can be calculated in terms of the MCVs using the derived capacity probability distribution. Based on the reliability analysis, a maintenance issue with two policies is discussed. Examples, including a large-scale case study of the Taiwan Academic Network, are discussed to validate the correctness, applicability, and scalability of the proposed model.</t>
  </si>
  <si>
    <t>[Chang, Ping-Chen] Natl Quemoy Univ, Dept Ind Engn &amp; Management, Kinmen 892, Taiwan</t>
  </si>
  <si>
    <t>National Quemoy University</t>
  </si>
  <si>
    <t>Chang, PC (corresponding author), Natl Quemoy Univ, Dept Ind Engn &amp; Management, Kinmen 892, Taiwan.</t>
  </si>
  <si>
    <t>pcchang@nqu.edu.tw</t>
  </si>
  <si>
    <t>Chang, Ping-Chen/0000-0001-5563-2580</t>
  </si>
  <si>
    <t>Ministry of Science and Technology, Taiwan, Republic of China [MOST 110-2221-E-507-007MY3]</t>
  </si>
  <si>
    <t>Ministry of Science and Technology, Taiwan, Republic of China(Ministry of Science and Technology, Taiwan)</t>
  </si>
  <si>
    <t>This work was supported by the Ministry of Science and Technology, Taiwan, Republic of China [grant number MOST 110-2221-E-507-007MY3].</t>
  </si>
  <si>
    <t>10.1016/j.cie.2021.107877</t>
  </si>
  <si>
    <t>WOS:000752860400012</t>
  </si>
  <si>
    <t>Chen, ZS; Feng, J; Yang, DG; Cai, FP</t>
  </si>
  <si>
    <t>Chen, Zhongshang; Feng, Ji; Yang, Degang; Cai, Fapeng</t>
  </si>
  <si>
    <t>Hierarchical clustering algorithm based on Crystallized neighborhood graph for identifying complex structured datasets</t>
  </si>
  <si>
    <t>Clustering; Data mining; Crystallized neighborhood graph; Weight shared natural neighborhood graph; Merging strategy of sub-graphs</t>
  </si>
  <si>
    <t>In data mining, the neighborhood graph is an important method for describing the distribution of datasets. However, existing neighborhood graph methods are often sensitive to parameters settings and the presence of outliers. These traditional neighborhood graphs typically necessitate one or more input parameters, and they may not function optimally when applied to complex datasets that include a substantial number of noise points. To overcome these drawbacks, we have received inspiration from crude salt purification, and propose anon- parameter neighborhood graph method named the Crystallized neighborhood graph (CNG). This method can adaptively capture the distribution structure of complex structured datasets. Based on the CNG, we propose a Hierarchical clustering algorithm based on the Crystallized neighborhood graph for identifying complex structured datasets (HCCNG). It redefines the similarity between sub-graphs using the bridges between sub- graphs and the shortest distance between them. Then, sub-graphs are repeatedly merged according to their similarity until the ideal clustering result is achieved. The experimental results show that the HCCNG algorithm can identify not only popular clusters, but also variable-density spherical clusters. Moreover, it performs well on complex structured datasets with a significant amount of noise.</t>
  </si>
  <si>
    <t>[Chen, Zhongshang; Feng, Ji; Yang, Degang; Cai, Fapeng] Chongqing Normal Univ, Coll Comp &amp; Informat Sci, Chongqing 400030, Peoples R China</t>
  </si>
  <si>
    <t>Chongqing Normal University</t>
  </si>
  <si>
    <t>Feng, J (corresponding author), Chongqing Normal Univ, Coll Comp &amp; Informat Sci, Chongqing 400030, Peoples R China.</t>
  </si>
  <si>
    <t>2022110516057@stu.cqnu.edu.cn; jifeng@cqnu.edu.cn; yangdg@cqnu.edu.cn; 2022110516056@stu.cqnu.edu.cn</t>
  </si>
  <si>
    <t>yang, dg/JVO-6871-2024; Yang, Degang/J-1150-2014</t>
  </si>
  <si>
    <t>Yang, Degang/0000-0002-8582-4302</t>
  </si>
  <si>
    <t>Science and Technology Research Program of Chongqing Municipal Education Commission, China [KJZD-M202300502, KJQN201800539]</t>
  </si>
  <si>
    <t>Science and Technology Research Program of Chongqing Municipal Education Commission, China</t>
  </si>
  <si>
    <t>Funding This work was supported by Science and Technology Research Program of Chongqing Municipal Education Commission, China (KJZD-M202300502, KJQN201800539) .</t>
  </si>
  <si>
    <t>MAR 15</t>
  </si>
  <si>
    <t>10.1016/j.eswa.2024.125714</t>
  </si>
  <si>
    <t>P1P9C</t>
  </si>
  <si>
    <t>WOS:001375726600001</t>
  </si>
  <si>
    <t>Singh, VP; Ganguly, K</t>
  </si>
  <si>
    <t>Singh, Vipin Prakash; Ganguly, Kunal</t>
  </si>
  <si>
    <t>A supporting framework for estimating no fault found cost: development and application in the aircraft MRO industry</t>
  </si>
  <si>
    <t>No fault found; Cost drivers; Aircraft MRO</t>
  </si>
  <si>
    <t>TECHNOLOGY-TRANSFER; MAINTENANCE; WARRANTY</t>
  </si>
  <si>
    <t>Purpose This research aims to develop a new generic framework for estimating different maintenance costs (preventive, corrective and conditional based) and its distribution to original equipment manufacturer (OEM), customer and supply chain due to no fault found (NFF) events. The study extend the domain of NFF to military aircraft maintenance, repair and overhaul (MRO) by including broader range of cost drivers than are normally found in maintenance NFF literature. Design/methodology/approach The research applies the soft system methodology involving 80 field surveys and five in depth semi-structured interviews with practicing experts having background in military aircraft NFF MRO. For impact analysis, authors have used an agent-based model to represent and prioritize the critical NFF cost drivers during aircraft MRO based on the cost inputs of 21 technology transfer cases. Findings The paper provides imperial insights about how NFF cost drivers affect the OEM, customer and supply chain. It suggests that NFF cost need to be part of the commercial MRO contract, depending on its frequency pattern in different types of maintenances. Research limitations/implications The context of the current research is military aircrafts industry and may lack generalizability to commercial aircrafts. Therefore, researchers are encouraged to test the proposed propositions further. Practical implications The developed framework will provide invaluable help in key financial decision-making during signing of MRO contract in technology transfer cases. Originality/value This paper proposed a new prediction model for NFF cost estimation across its shareholders and current status of NFF in military aircraft NFF MRO in India.</t>
  </si>
  <si>
    <t>[Singh, Vipin Prakash; Ganguly, Kunal] Indian Inst Management Kashipur, Dept Operat Management &amp; Decis Sci, Kashipur, India</t>
  </si>
  <si>
    <t>Singh, VP (corresponding author), Indian Inst Management Kashipur, Dept Operat Management &amp; Decis Sci, Kashipur, India.</t>
  </si>
  <si>
    <t>vipin.efpm1716@iimkashipur.ac.in; kunal.ganguly@iimkashipur.ac.in</t>
  </si>
  <si>
    <t>Ganguly, Kunal/0000-0002-7692-7844</t>
  </si>
  <si>
    <t>10.1108/JQME-01-2020-0005</t>
  </si>
  <si>
    <t>WM3EV</t>
  </si>
  <si>
    <t>WOS:000547889100001</t>
  </si>
  <si>
    <t>Managing engineering systems with large state and action spaces through deep reinforcement learning</t>
  </si>
  <si>
    <t>Life-cycle cost optimization; Multi-component deteriorating systems; Inspection and maintenance; Dynamic programming; Partially observable Markov decision processes; Multi-agent stochastic control; Large discrete action spaces; Deep reinforcement learning</t>
  </si>
  <si>
    <t>CONDITION-BASED MAINTENANCE; LIFE-CYCLE COST; PLANNING STRUCTURAL INSPECTION; MARKOV DECISION-PROCESSES; RISK-BASED INSPECTION; PREDICTIVE MAINTENANCE; NEURAL-NETWORKS; MANAGEMENT; INFRASTRUCTURE; OPTIMIZATION</t>
  </si>
  <si>
    <t>Decision-making for engineering systems management can be efficiently formulated using Markov Decision Processes (MDPs) or Partially Observable MDPs (POMDPs). Typical MDP/POMDP solution procedures utilize offline knowledge about the environment and provide detailed policies for relatively small systems with tractable state and action spaces. However, in large multi-component systems the dimensions of these spaces easily explode, as system states and actions scale exponentially with the number of components, whereas environment dynamics are difficult to be described explicitly for the entire system and may, often, only be accessible through computationally expensive numerical simulators. In this work, to address these issues, an integrated Deep Reinforcement Learning (DRL) framework is introduced. The Deep Centralized Multi-agent Actor Critic (DCMAC) is developed, an off-policy actor-critic DRL algorithm that directly probes the state/belief space of the underlying MDP/POMDP, providing efficient life-cycle policies for large multi-component systems operating in high-dimensional spaces. Apart from deep network approximators parametrizing complex functions with vast state spaces, DCMAC also adopts a factorized representation of the system actions, thus being able to designate individualized component- and subsystem-level decisions, while maintaining a centralized value function for the entire system. DCMAC compares well against Deep Q-Network and exact solutions, where applicable, and outperforms optimized baseline policies that incorporate time-based, condition-based, and periodic inspection and maintenance considerations.</t>
  </si>
  <si>
    <t>[Andriotis, C. P.; Papakonstantinou, K. G.] Penn State Univ, Dept Civil &amp; Environm Engn, University Pk, PA 16802 USA</t>
  </si>
  <si>
    <t>Pennsylvania Commonwealth System of Higher Education (PCSHE); Pennsylvania State University; Pennsylvania State University - University Park; Penn State Behrend</t>
  </si>
  <si>
    <t>Andriotis, CP; Papakonstantinou, KG (corresponding author), Penn State Univ, Dept Civil &amp; Environm Engn, University Pk, PA 16802 USA.</t>
  </si>
  <si>
    <t>cxa5246@psu.edu; kpapakon@psu.edu</t>
  </si>
  <si>
    <t>National Science Foundation under CAREER [1751941]; Div Of Civil, Mechanical, &amp; Manufact Inn; Directorate For Engineering [1751941] Funding Source: National Science Foundation</t>
  </si>
  <si>
    <t>National Science Foundation under CAREER(National Science Foundation (NSF)); Div Of Civil, Mechanical, &amp; Manufact Inn; Directorate For Engineering(National Science Foundation (NSF)NSF - Directorate for Engineering (ENG))</t>
  </si>
  <si>
    <t>This material is based upon work supported by the National Science Foundation under CAREER Grant No. 1751941.</t>
  </si>
  <si>
    <t>10.1016/j.ress.2019.04.036</t>
  </si>
  <si>
    <t>WOS:000491685000004</t>
  </si>
  <si>
    <t>Calvert, G; Neves, L; Andrews, J; Hamer, M</t>
  </si>
  <si>
    <t>Calvert, Gareth; Neves, Luis; Andrews, John; Hamer, Matthew</t>
  </si>
  <si>
    <t>Multi-defect modelling of bridge deterioration using truncated inspection records</t>
  </si>
  <si>
    <t>Bridge deterioration; Bridge management; Infrastructure; Multi-defect; Railway</t>
  </si>
  <si>
    <t>CIVIL INFRASTRUCTURE; LIFETIME FUNCTIONS; MAINTENANCE; OPTIMIZATION; PERFORMANCE; MANAGEMENT; PREDICTION; FRAMEWORK; EMPHASIS; SAFETY</t>
  </si>
  <si>
    <t>Bridge Management Systems (BMS) are decision support tools that have gained widespread use across the transportation infrastructure management industry. The Whole Life Cycle Cost (WLCC) modelling in a BMS is typically composed of two main components: a deterioration model and a decision model. An accurate deterioration model is fundamental to any quality decision output. There are examples of deterministic and stochastic models for predictive deterioration modelling in the literature, however the condition of a bridge in these models is considered as an 'overall' condition which is either the worst condition or some aggregation of all the defects present. This research proposes a predictive bridge deterioration model which computes deterioration profiles for several distinct deterioration mechanisms on a bridge. The predictive deterioration model is composed of multiple Markov Chains, estimated using a method of maximum likelihood applied to panel data. The data available for all the defects types at each inspection is incomplete. As such, the proposed method considers that only the most significant defects are recorded, and inference is required for the less severe defects. A portfolio of 9726 masonry railway bridges, with an average of 2.47 inspections per bridge, in the United Kingdom is the case study considered.</t>
  </si>
  <si>
    <t>[Calvert, Gareth; Neves, Luis; Andrews, John] Univ Nottingham, Resilience Engn Res Grp, Nottingham, England; [Hamer, Matthew] Network Rail, Milton Keynes, Bucks, England</t>
  </si>
  <si>
    <t>Calvert, G (corresponding author), Univ Nottingham, Resilience Engn Res Grp, Nottingham, England.</t>
  </si>
  <si>
    <t>gareth.calvert@nottingham.ac.uk</t>
  </si>
  <si>
    <t>Neves, Luis/E-6382-2011</t>
  </si>
  <si>
    <t>Neves, Luis/0000-0001-5034-8417; Calvert, Gareth Samuel/0000-0002-3453-4583</t>
  </si>
  <si>
    <t>Engineering and Physical Sciences Research Council [EP/N50970X/1]; Network Rail; Royal Academy of Engineering; Lloyd's Register Foundation (LRF) Resilience Engineering Research Group at the University of Nottingham; University of Nottingham; EPSRC [1930689] Funding Source: UKRI</t>
  </si>
  <si>
    <t>Engineering and Physical Sciences Research Council(UK Research &amp; Innovation (UKRI)Engineering &amp; Physical Sciences Research Council (EPSRC)); Network Rail; Royal Academy of Engineering(Royal Academy of Engineering - UK); Lloyd's Register Foundation (LRF) Resilience Engineering Research Group at the University of Nottingham; University of Nottingham; EPSRC(UK Research &amp; Innovation (UKRI)Engineering &amp; Physical Sciences Research Council (EPSRC))</t>
  </si>
  <si>
    <t>John Andrews is the Royal Academy of Engineering and Network Rail Professor of Infrastructure Asset Management. He is also Director of the Lloyd's Register Foundation (LRF) Resilience Engineering Research Group at the University of Nottingham. Luis Neves is an Assistant Professor in Structural Engineering and Infrastructure Asset Management at the University of Nottingham. Gareth Calvert is a PhD student at the University of Nottingham. This work was supported by the Engineering and Physical Sciences Research Council [EP/N50970X/1]. Additional support was received from Network Rail. Matthew Hamer is a Whole Life Cycle Costing Manager at Network Rail. The authors gratefully acknowledge the support of these organizations.</t>
  </si>
  <si>
    <t>10.1016/j.ress.2020.106962</t>
  </si>
  <si>
    <t>WOS:000531606400022</t>
  </si>
  <si>
    <t>Krishna, V; Jain, SK</t>
  </si>
  <si>
    <t>Krishna, Vinita; Jain, Sudhir K.</t>
  </si>
  <si>
    <t>Patent-based indicators for predicting patent commercialization: a study of the diffusion of pharmaceutical innovations</t>
  </si>
  <si>
    <t>JOURNAL OF TECHNOLOGY TRANSFER</t>
  </si>
  <si>
    <t>India; Patent-based indicators; Patent commercialization; Strategic management; Technological innovation; O30</t>
  </si>
  <si>
    <t>EMPIRICAL-EVIDENCE; SURVIVAL ANALYSIS; MARKET; BIOTECHNOLOGY; DETERMINANTS; US; INFORMATION; PERSPECTIVE; STATISTICS; OPPOSITION</t>
  </si>
  <si>
    <t>How can patent data be used by the managers for insights on technological innovation, what is the status of technological innovation contained in the firm's patents, how can these innovations be managed better through their characteristics: maintenance duration, ownership, claims? Adopting a regional focus on India, the empirical findings of this study are a response to inadequate studies from developing countries on the low rate of patent commercialization. A descriptive analysis of a unique dataset comprising of the Form-27 documents (disclosure on the working use of the patent under Indian Patent Act, 1970) and the granted patent data (2005-2022) at the Indian Patent Office was followed by binary logistic regression to find answers to the above-stated questions. The key findings from Form-27 point to the embryonic state of majority of the pharmaceutical inventions in the patent sample. Further with a host of patent-based indicators (patent ownership, duration of maintenance of patent, number of claims and number of inventors), a total of 266 x 6 = 1596 observations was analyzed. Maintenance duration and patent ownership have been found to be positively significant predictors of patent commercialization. These results have policy implications for the government &amp; the managers of the firms.</t>
  </si>
  <si>
    <t>[Krishna, Vinita] Shiv Nadar Inst Eminence, Sch Management &amp; Entrepreneurship, Dept Gen Management, Greater Noida 210314, India; [Jain, Sudhir K.] Indian Inst Technol, Delhi 110016, Hauz Khas, India</t>
  </si>
  <si>
    <t>Indian Institute of Technology System (IIT System); Indian Institute of Technology (IIT) - Delhi</t>
  </si>
  <si>
    <t>Krishna, V (corresponding author), Shiv Nadar Inst Eminence, Sch Management &amp; Entrepreneurship, Dept Gen Management, Greater Noida 210314, India.</t>
  </si>
  <si>
    <t>vinita.krishna@snu.edu.in; skjain51@hotmail.com</t>
  </si>
  <si>
    <t>0892-9912</t>
  </si>
  <si>
    <t>1573-7047</t>
  </si>
  <si>
    <t>J TECHNOL TRANSFER</t>
  </si>
  <si>
    <t>J. Technol. Transf.</t>
  </si>
  <si>
    <t>10.1007/s10961-024-10087-5</t>
  </si>
  <si>
    <t>Social Science Citation Index (SSCI)</t>
  </si>
  <si>
    <t>X5Q8E</t>
  </si>
  <si>
    <t>WOS:001205419700001</t>
  </si>
  <si>
    <t>Shang, LJ; Qiu, QG; Wu, C; Du, YJ</t>
  </si>
  <si>
    <t>Shang, Lijun; Qiu, Qingan; Wu, Cang; Du, Yongjun</t>
  </si>
  <si>
    <t>Random replacement policies to sustain the post-warranty reliability</t>
  </si>
  <si>
    <t>Working cycle; Warranty; Post-warranty reliability; Replacement first; Replacement last</t>
  </si>
  <si>
    <t>2-DIMENSIONAL EXTENDED WARRANTY; PRODUCTION RUN-LENGTH; PRODUCTS SOLD; COST-ANALYSIS; REPAIR TIME; MAINTENANCE; OPTIMIZATION; DESIGN; SUBJECT; SYSTEMS</t>
  </si>
  <si>
    <t>Purpose The study aims to design the limited number of random working cycle as a warranty term and propose two types of warranties, which can help manufacturers to ensure the product reliability during the warranty period. By extending the proposed warranty to the consumer's post-warranty maintenance model, besides the authors investigate two kinds of random maintenance policies to sustain the post-warranty reliability, i.e. random replacement first and random replacement last. By integrating depreciation expense depending on working time, the cost rate is constructed for each random maintenance policy and some special cases are provided by discussing parameters in cost rates. Finally, sensitivities on both the proposed warranty and random maintenance policies are analyzed in numerical experiments. Design/methodology/approach The working cycle of products can be monitored by advanced sensors and measuring technologies. By monitoring the working cycle, manufacturers can design warranty policies to ensure product reliability performance and consumers can model the post-warranty maintenance to sustain the post-warranty reliability. In this article, the authors design a limited number of random working cycles as a warranty term and propose two types of warranties, which can help manufacturers to ensure the product reliability performance during the warranty period. By extending a proposed warranty to the consumer's post-warranty maintenance model, the authors investigate two kinds of random replacement policies to sustain the post-warranty reliability, i.e. random replacement first and random replacement last. By integrating a depreciation expense depending on working time, the cost rate is constructed for each random replacement and some special cases are provided by discussing parameters in the cost rate. Finally, sensitivities to both the proposed warranties and random replacements are analyzed in numerical experiments. Findings It is shown that the manufacturer can control the warranty cost by limiting number of random working cycle. For the consumer, when the number of random working cycle is designed as a greater warranty limit, the cost rate can be reduced while the post-warranty period can't be lengthened. Originality/value The contribution of this article can be highlighted in two key aspects: (1) the authors investigate early warranties to ensure reliability performance of the product which executes successively projects at random working cycles; (2) by integrating random working cycles into the post-warranty period, the authors is the first to investigate random maintenance policy to sustain the post-warranty reliability from the consumer's perspective, which seldom appears in the existing literature.</t>
  </si>
  <si>
    <t>[Shang, Lijun] Foshan Univ, Sch Qual Management &amp; Standardizat, Foshan, Peoples R China; [Qiu, Qingan] Beijing Inst Technol, Sch Management &amp; Econ, Beijing, Peoples R China; [Wu, Cang; Du, Yongjun] Lanzhou Univ Technol, Sch Mech &amp; Elect Engn, Lanzhou, Peoples R China</t>
  </si>
  <si>
    <t>Foshan University; Beijing Institute of Technology; Lanzhou University of Technology</t>
  </si>
  <si>
    <t>National Social Science Foundation of China [72001026, 72161025, 71961030]; Base and Basic Applied Study of Guangdong Province [2020A1515011360]; Natural Science Basic Research Program of Shaanxi [2021JM-419]</t>
  </si>
  <si>
    <t>National Social Science Foundation of China(National Office of Philosophy and Social Sciences); Base and Basic Applied Study of Guangdong Province; Natural Science Basic Research Program of Shaanxi</t>
  </si>
  <si>
    <t>This article is supported by the National Social Science Foundation of China (Nos.72001026, 72161025, 71961030), the Base and Basic Applied Study of Guangdong Province (No. 2020A1515011360), and Natural Science Basic Research Program of Shaanxi (2021JM-419).</t>
  </si>
  <si>
    <t>floor 5, Northspring 21-23 Wellington Street, Leeds, W YORKSHIRE, ENGLAND</t>
  </si>
  <si>
    <t>10.1108/JQME-09-2021-0067</t>
  </si>
  <si>
    <t>WOS:000784776900001</t>
  </si>
  <si>
    <t>Momani, A; Khrais, S; Almahmood, R</t>
  </si>
  <si>
    <t>Momani, Amer; Khrais, Samir; Almahmood, Ro'a</t>
  </si>
  <si>
    <t>Managing Risk and Uncertainty in Machine Replacement Decisions Using Real Options Analysis and Monte Carlo Simulation</t>
  </si>
  <si>
    <t>MANAGEMENT SYSTEMS IN PRODUCTION ENGINEERING</t>
  </si>
  <si>
    <t>machine replacement; Monte Carlo simulation; Real Option Analysis; risk management</t>
  </si>
  <si>
    <t>ASSET MANAGEMENT; MAINTENANCE; STRATEGY; MODEL; INVESTMENT; GENERATION; RENEWAL; QUALITY; DEMAND</t>
  </si>
  <si>
    <t>The present research discusses the application of risk management tools and Real Option Analysis (ROA) to assess and quantify managerial flexibility in machine replacement decisions under uncertain conditions. Different management configurations are used for the real options approach: options to execute, options to delay, and options to cancel. This reflects the uncertainty inherent to each stage of planning. Uncertainties such as future demand and life-cycle costs are implemented in the model as probability distributions. Monte Carlo simulation is employed to deal with such uncertainties and to facilitate experimental trials. The net present value is used as a decision criterion to determine the best replacement option under different replacement and real option scenarios. Herein, a case study to evaluate different replacement alternatives was conducted for the garment industry. Results of the stochastic net present value, mean-standard-deviation scatter plot, and stochastic dominance showed that the best option was to rent and then buy a new machine of reduced size but greater technological advancement. Finally, tornado diagrams and perfect control methods were used to analyze uncertain factors in order to improve the model and further minimize uncertainty effects.</t>
  </si>
  <si>
    <t>[Momani, Amer; Khrais, Samir; Almahmood, Ro'a] Jordan Univ Sci &amp; Technol, Ind Engn Dept, POB 3030, Irbid 22110, Jordan</t>
  </si>
  <si>
    <t>Jordan University of Science &amp; Technology</t>
  </si>
  <si>
    <t>Momani, A (corresponding author), Jordan Univ Sci &amp; Technol, Ind Engn Dept, POB 3030, Irbid 22110, Jordan.</t>
  </si>
  <si>
    <t>ammomani@just.edu.jo; khrais@just.edu.jo; rmalmahmood16@eng.just.edu.jo</t>
  </si>
  <si>
    <t>2299-0461</t>
  </si>
  <si>
    <t>2450-5781</t>
  </si>
  <si>
    <t>MANAG SYST PROD ENG</t>
  </si>
  <si>
    <t>Manag. Syst. Prod. Eng.</t>
  </si>
  <si>
    <t>AUG 1</t>
  </si>
  <si>
    <t>10.2478/mspe-2024-0031</t>
  </si>
  <si>
    <t>F2C1S</t>
  </si>
  <si>
    <t>WOS:001307941400014</t>
  </si>
  <si>
    <t>Schiefer, T; Mahr, D; van Fenema, PC; Mennens, K</t>
  </si>
  <si>
    <t>Schiefer, Tom; Mahr, Dominik; van Fenema, Paul C.; Mennens, Kars</t>
  </si>
  <si>
    <t>A collaborative approach to manage continuous service innovation</t>
  </si>
  <si>
    <t>Supply chain collaboration; Continuous service innovation; Innovation management; Technology life cycle</t>
  </si>
  <si>
    <t>CO-CREATION; TECHNOLOGY; CAPABILITIES; NETWORK; KNOWLEDGE; EXPLORATION; DYNAMICS; BUSINESS; STRATEGY; CONTEXT</t>
  </si>
  <si>
    <t>In dynamic market environments, companies look beyond organizational boundaries to pursue competitive advantages. When they collaborate, organizations might develop innovative service offerings and stay relevant in the market over time, enabled by advances in technologies. However, the collaborative dynamics underpinning strategies for continuous service innovation remain underexplored, such that extant research predominantly adopts an organization-centric perspective and fails to offer a comprehensive view of collaborative innovation initiatives that integrate consecutive projects across technology life cycles. To bridge these gaps, the current research applies an action research approach to the supply chain of organizations dedicated to complex technology delivery and maintenance in the maritime industry. The findings specify not just collaborative strategies for continuous service innovation but also the influential factors and operational service attributes crucial to their success. Therefore, this study proposes collaborative strategies for continuous service innovation, with the assertion that collaboration opportunities are integral to developing and managing novel services. Furthermore, this article introduces a technology life cycle perspective to the management of continuous innovation systems, which demand a collective approach to accommodate multiple technology frequencies (e.g., upkeep, update, upgrade), particularly in multi-technology contexts.</t>
  </si>
  <si>
    <t>[Schiefer, Tom; Mahr, Dominik; Mennens, Kars] Maastricht Univ, Sch Business &amp; Econ, Dept Mkt &amp; Supply Chain Management, Tongersestr 53, NL-6211 LM Maastricht, Netherlands; [Schiefer, Tom] Maastricht Univ, Brightlands Inst Supply Chain Innovat BISCI, Sch Business &amp; Econ, Tongersestr 53, NL-6211 LM Maastricht, Netherlands; [Mahr, Dominik] Maastricht Univ, Sch Business &amp; Econ, Serv Sci Factory SSF, Tongersestr 53, NL-6211 LM Maastricht, Netherlands; [Mahr, Dominik] Hanken Sch Econ, Ctr Relationship Mkt &amp; Serv Management, Dept Mkt, Helsinki, Finland; [van Fenema, Paul C.] Netherlands Def Acad, Fac Mil Sci, Dept Mil Business Studies, Hgsk Laan 2,POB 90004, NL-3509 AA Utrecht, Netherlands</t>
  </si>
  <si>
    <t>Maastricht University; Maastricht University; Maastricht University; Hanken School of Economics</t>
  </si>
  <si>
    <t>Schiefer, T (corresponding author), Maastricht Univ, Sch Business &amp; Econ, Dept Mkt &amp; Supply Chain Management, Tongersestr 53, NL-6211 LM Maastricht, Netherlands.;Schiefer, T (corresponding author), Maastricht Univ, Brightlands Inst Supply Chain Innovat BISCI, Sch Business &amp; Econ, Tongersestr 53, NL-6211 LM Maastricht, Netherlands.</t>
  </si>
  <si>
    <t>t.schiefer@maastrichtuniversity.nl; d.mahr@maastrichtuniversity.nl; pc.v.fenema@mindef.nl; k.mennens@maastrichtuniversity.nl</t>
  </si>
  <si>
    <t>Mennens, Kars/AAX-2100-2021; van Fenema, Paul/ABH-7671-2020</t>
  </si>
  <si>
    <t>, Tom/0009-0001-1702-2316</t>
  </si>
  <si>
    <t>Dutch Research Council (NWO) [439.18.309]</t>
  </si>
  <si>
    <t>Dutch Research Council (NWO)(Netherlands Organization for Scientific Research (NWO))</t>
  </si>
  <si>
    <t>This research was conducted within the MARCONI research con- sortium supported by the Dutch Research Council (NWO) , grant no. 439.18.309.</t>
  </si>
  <si>
    <t>10.1016/j.technovation.2024.103029</t>
  </si>
  <si>
    <t>TF9J7</t>
  </si>
  <si>
    <t>WOS:001239965700001</t>
  </si>
  <si>
    <t>Ochella, S; Shafiee, M; Sansom, C</t>
  </si>
  <si>
    <t>Ochella, Sunday; Shafiee, Mahmood; Sansom, Chris</t>
  </si>
  <si>
    <t>Adopting machine learning and condition monitoring P-F curves in determining and prioritizing high-value assets for life extension</t>
  </si>
  <si>
    <t>Machine learning; Data mining; Potential failure interval factor; K-means clustering; Life-extension; Remaining useful life; Condition monitoring</t>
  </si>
  <si>
    <t>REMAINING USEFUL LIFE; DECISION-MAKING; HEALTH; PROGNOSTICS; REGRESSION; WORKING</t>
  </si>
  <si>
    <t>Many machine learning algorithms and models have been proposed in the literature for predicting the remaining useful life (RUL) of systems and components that are subject to condition monitoring (CM). However, in cases where data is ubiquitous, identifying the most suitable equipment for life-extension based on CM data and RUL predictions is a rather challenging task. This paper proposes a technique for determining and prioritizing highvalue assets for life-extension treatments when they reach the end of their useful life. The technique exploits the use of key concepts in machine learning (such as data mining and k-means clustering) in combination with an important tool from reliability-centered maintenance (RCM) called the potential-failure (P-F) curve. The RCM process identifies essential equipment within a plant which are worth monitoring, and then derives the P-F curves for equipment using CM and operational data. Afterwards, a new index called the potential failure interval factor (PFIF) is calculated for each equipment or unit, serving as a health indicator. Subsequently, the units are grouped in two ways: (i) a regression model in combination with suitably defined PFIF window boundaries, (ii) a k-means clustering algorithm based on equipment with similar data features. The most suitable equipment for life-extension are identified in groups in order to aid in planning, decision-making and deployment of maintenance resources. Finally, the technique is empirically tested on NASA?s Commercial Modular Aero-Propulsion System Simulation datasets and the results are discussed in detail.</t>
  </si>
  <si>
    <t>[Ochella, Sunday; Sansom, Chris] Cranfield Univ, Dept Energy &amp; Power, Cranfield MK43 0AL, Beds, England; [Shafiee, Mahmood] Univ Kent, Sch Engn, Mech Engn Grp, Canterbury CT2 7NT, Kent, England</t>
  </si>
  <si>
    <t>Cranfield University; University of Kent</t>
  </si>
  <si>
    <t>Sansom, C (corresponding author), Cranfield Univ, Dept Energy &amp; Power, Cranfield MK43 0AL, Beds, England.;Shafiee, M (corresponding author), Univ Kent, Sch Engn, Mech Engn Grp, Canterbury CT2 7NT, Kent, England.</t>
  </si>
  <si>
    <t>Sunday.Ochella@cranfield.ac.uk; m.shafiee@kent.ac.uk; c.l.sansom@cranfield.ac.uk</t>
  </si>
  <si>
    <t>Ochella, Sunday/0000-0002-8204-1222; Sansom, Christopher/0000-0003-1021-3133</t>
  </si>
  <si>
    <t>Petroleum Technology Development Fund (PTDF) in Nigeria</t>
  </si>
  <si>
    <t>The first author wishes to thank the Petroleum Technology Development Fund (PTDF) in Nigeria for sponsoring his PhD research.</t>
  </si>
  <si>
    <t>10.1016/j.eswa.2021.114897</t>
  </si>
  <si>
    <t>SB1EI</t>
  </si>
  <si>
    <t>WOS:000649744900005</t>
  </si>
  <si>
    <t>Chen, Z; Pan, ES; Xia, TB; Li, YT</t>
  </si>
  <si>
    <t>Chen, Zhen; Pan, Ershun; Xia, Tangbin; Li, Yanting</t>
  </si>
  <si>
    <t>Optimal degradation-based burn-in policy using Tweedie exponential-dispersion process model with measurement errors</t>
  </si>
  <si>
    <t>Degradation; Burn-in test; Tweedie exponential-dispersion process; Measurement error; Preventive maintenance</t>
  </si>
  <si>
    <t>TIME; CLASSIFICATION; LIFE</t>
  </si>
  <si>
    <t>In this paper, degradation-based burn-in for highly-reliable products subject to degradation is studied. Since the common degradation models for burn-in are usually established on the basis of a specific stochastic process, such as Wiener process and gamma process, it greatly restricts the scope of application. Moreover, measurement errors are often inevitable due to the imperfect inspection and environment disturbance. Hence, a Tweedie exponential-dispersion process with measurement errors (TEDPE) model is developed to describe the degradation paths of the population which includes weak units and normal units. The TEDPE model contains the common stochastic process models as special case by setting different forms of variance function. Then, a joint saddle-point approximation and expectation maximization algorithm is proposed for parameter estimation. To identity and eliminate weak units, the linear discriminant analysis method, which can make full use of the degradation sequence of observations, is used to develop classification criterion. The optimal burn-in policy involving the duration and cutoff point can be obtained by minimizing the total per-unit cost. Furthermore, considering the failure costs in field operation, a joint policy of burn-in and preventive maintenance is optimized. Finally, a case study based on an IRLED dataset is implemented to illustrate the proposed methods.</t>
  </si>
  <si>
    <t>[Chen, Zhen; Pan, Ershun; Xia, Tangbin; Li, Yanting] Shanghai Jiao Tong Univ, Dept Ind Engn &amp; Management, State Key Lab Mech Syst &amp; Vibrat, Shanghai, Peoples R China</t>
  </si>
  <si>
    <t>Pan, ES (corresponding author), Shanghai Jiao Tong Univ, Dept Ind Engn &amp; Management, State Key Lab Mech Syst &amp; Vibrat, Shanghai, Peoples R China.</t>
  </si>
  <si>
    <t>National Natural Science Foundation of China [51475289, 51875359, 71672109]</t>
  </si>
  <si>
    <t>The authors would like to thank the Editor and anonymous referees for their careful work and remarkable comments which considerably help to improve this manuscript substantially. This work is supported in part by National Natural Science Foundation of China under grant number 51475289, grant number 51875359 and grant number 71672109.</t>
  </si>
  <si>
    <t>10.1016/j.ress.2019.106748</t>
  </si>
  <si>
    <t>WOS:000515416500040</t>
  </si>
  <si>
    <t>Wang, JT; Zhou, SH; Peng, R; Qiu, QA; Yang, L</t>
  </si>
  <si>
    <t>Wang, Jiantai; Zhou, Shihan; Peng, Rui; Qiu, Qingan; Yang, Li</t>
  </si>
  <si>
    <t>An inspection-based replacement planning in consideration of state-driven imperfect inspections</t>
  </si>
  <si>
    <t>Optimization; Cost effectiveness; Inspection planning; Imperfect inspection; Replacement management; Two-phase failure</t>
  </si>
  <si>
    <t>MAINTENANCE; SYSTEM; OPTIMIZATION; MODEL</t>
  </si>
  <si>
    <t>Inspection, as a fundamental component of asset management, is crucial to reveal underlying defects and report health evolution. Due to technical restrictions or human errors, inspections are often imperfect to miss the actual system state, posing challenges to the optimality of decision-makings. This study investigates an inspection-based replacement management strategy for two-phase continuous deteriorating systems subject to inspection errors. The non-steady evolution trajectory is captured by piecewise stochastic process with random state transition time. Inspections are equally spaced to reveal the underlying system state (both discrete and continuous), with a certain probability to miss the hidden defective state. Upon inspection, two levels of control limits are jointly scheduled to adjust execution frequencies of preventive replacement. The cost model is formulated and optimized, and the impact of imperfect inspection on system performance is assessed. The applicability of the proposed optimization model is validated through a case study from high-speed train bearings, which scales well in operational cost control, reducing about 39 and 4% cost compared with two conventional policies.</t>
  </si>
  <si>
    <t>[Wang, Jiantai; Zhou, Shihan; Yang, Li] Beihang Univ, Sch Reliabil &amp; Syst Engn, Beijing, Peoples R China; [Peng, Rui] Beijing Univ Technol, Sch Econ &amp; Management, Beijing, Peoples R China; [Qiu, Qingan] Beijing Inst Technol, Sch Management &amp; Econ, Beijing, Peoples R China</t>
  </si>
  <si>
    <t>Beihang University; Beijing University of Technology; Beijing Institute of Technology</t>
  </si>
  <si>
    <t>Yang, L (corresponding author), Beihang Univ, Sch Reliabil &amp; Syst Engn, Beijing, Peoples R China.;Qiu, QG (corresponding author), Beijing Inst Technol, Sch Management &amp; Econ, Beijing, Peoples R China.</t>
  </si>
  <si>
    <t>Qinganqiu@bit.edu.cn; yanglirass@buaa.edu.cn</t>
  </si>
  <si>
    <t>Peng, Rui/AAL-7506-2020; , Qingan/AEV-3558-2022</t>
  </si>
  <si>
    <t>, Qingan/0000-0001-8741-0536; , Jiantai/0009-0003-1919-9515</t>
  </si>
  <si>
    <t>National Natural Science Foundation of China [72101010]; National Key Laboratory Foundation [KZ42004001, ZG216S21C3]; Central University Foundation Scientific Research Fund Special Fund [KG16166501]</t>
  </si>
  <si>
    <t>National Natural Science Foundation of China(National Natural Science Foundation of China (NSFC)); National Key Laboratory Foundation; Central University Foundation Scientific Research Fund Special Fund</t>
  </si>
  <si>
    <t>Acknowledgments This work is supported partially by the National Natural Science Foundation of China (Grant No. 72101010) , National Key Laboratory Foundation (Grant No. KZ42004001) , the Double-First Class SpecialBudget (Grant No. ZG216S21C3) , and the Central University Foundation Scientific Research Fund Special Fund (Grant No. KG16166501) .</t>
  </si>
  <si>
    <t>10.1016/j.ress.2022.109064</t>
  </si>
  <si>
    <t>D6PA0</t>
  </si>
  <si>
    <t>WOS:000969917500001</t>
  </si>
  <si>
    <t>Zhao, X; Li, R; Fan, Y; Qiu, QG</t>
  </si>
  <si>
    <t>Zhao, Xian; Li, Rong; Fan, Yu; Qiu, Qingan</t>
  </si>
  <si>
    <t>Reliability modeling for multi-state systems with a protective device considering multiple triggering mechanism</t>
  </si>
  <si>
    <t>Multi-state systems; shock models; protective device; reliability evaluation; maintenance optimization</t>
  </si>
  <si>
    <t>DELTA-SHOCK MODEL; SUBJECT; POLICIES; LIFE</t>
  </si>
  <si>
    <t>Failures of safety-critical systems may result in irretrievable economic losses and significant safety hazards, thus enhancing the reliability of safety-critical system is crucial. As applied widely in engineering fields, protective devices are commonly equipped for the systems operating in shock environment to reduce external damage, which has not been taken into consideration in existing literatures. This paper investigates the reliability of multi-state systems with competing failure patterns supported by a protective device. According to the system failure modes, state-based and shock number-based triggering mechanism of the protective device are developed. That is, the protective device is triggered once the system state or cumulative number of shocks exceeds corresponding critical thresholds respectively. After being triggered, the protective device can reduce the probability of damaging shocks for the system. The protective device fails when the number of consecutive valid shocks reaches a threshold. Based on the constructed model, a finite Markov chain imbedding approach is employed to derive reliability indices including distribution functions of system lifetime and residual lifetime, together with expected operating time of the protective device. Moreover, two age-based replacement policies together with a condition-based replacement policy are developed to accommodate different maintenance scenarios and corresponding optimal solutions are acquired. Numerical illustrations based on the application of cooling systems in engines are presented to validate the results.</t>
  </si>
  <si>
    <t>[Zhao, Xian; Li, Rong; Fan, Yu; Qiu, Qingan] Beijing Inst Technol, Sch Management &amp; Econ, Beijing, Peoples R China</t>
  </si>
  <si>
    <t>Qiu, QG (corresponding author), Beijing Inst Technol, Beijing 100081, Peoples R China.</t>
  </si>
  <si>
    <t>National Natural Science Foundation of China [71971026, 72001026]</t>
  </si>
  <si>
    <t>The author(s) disclosed receipt of the following financial support for the research, authorship, and/or publication of this article: This work is supported by National Natural Science Foundation of China [grant number 71971026 and 72001026].</t>
  </si>
  <si>
    <t>1748006X211013325</t>
  </si>
  <si>
    <t>10.1177/1748006X211013325</t>
  </si>
  <si>
    <t>WOS:000651170600001</t>
  </si>
  <si>
    <t>Lewis, AD; Groth, KM</t>
  </si>
  <si>
    <t>Lewis, Austin D.; Groth, Katrina M.</t>
  </si>
  <si>
    <t>A comparison of DBN model performance in SIPPRA health monitoring based on different data stream discretization methods</t>
  </si>
  <si>
    <t>Time discretization; Dynamic Bayesian networks; Complex engineering systems; Prognostics and health management; Risk management</t>
  </si>
  <si>
    <t>DYNAMIC BAYESIAN NETWORK; RELIABILITY ASSESSMENT; SYSTEMS; DIAGNOSTICS; PROGNOSTICS</t>
  </si>
  <si>
    <t>The energy and industry sectors depend upon the reliability of complex engineering systems (CESes), such as nuclear power plants or manufacturing plants; it is important, therefore, to monitor system health and make informed decisions on maintenance and risk management practices. One proposed approach is to use causal-based models such as Dynamic Bayesian Networks (DBN), which contain the structural logic of and provide graphical representations of the causal relationships within engineering systems. A current challenge in CES modeling is fully understanding how different data stream discretizations used in developing underlying conditional probability tables (CPTs) impact the DBN's system health estimates. This paper demonstrates the impact that different time discretization strategies have on the performance of DBN models built for CES health assessments. Using simulated nuclear data of a sodium fast reactor (SFR) experiencing a transient overpower (TOP), different strategies for discretizing CES data streams are used to construct the CPTs for a health-based DBN model. This study finds that these strategies generate different models with varying levels of performance for determining different assessments of overall system health. By understanding how these design factors impact the model's health assessments, future risk models can be developed to provide a more meaningful assessment of a system's health, resulting in more informed decisions.</t>
  </si>
  <si>
    <t>[Lewis, Austin D.; Groth, Katrina M.] Univ Maryland, Ctr Risk &amp; Reliabil, Syst Risk &amp; Reliabil Anal Lab SyRRA, College Pk, MD 20742 USA</t>
  </si>
  <si>
    <t>University System of Maryland; University of Maryland College Park</t>
  </si>
  <si>
    <t>Lewis, AD (corresponding author), Univ Maryland, Ctr Risk &amp; Reliabil, Syst Risk &amp; Reliabil Anal Lab SyRRA, College Pk, MD 20742 USA.</t>
  </si>
  <si>
    <t>adlewis@umd.edu; kgroth@umd.edu</t>
  </si>
  <si>
    <t>University of Maryland; U.S. Nuclear Regulatory Commission; National Science Foundation; [2045519]; [31310018M0043]</t>
  </si>
  <si>
    <t>University of Maryland; U.S. Nuclear Regulatory Commission; National Science Foundation(National Science Foundation (NSF)); ;</t>
  </si>
  <si>
    <t>This research was funded in part by the University of Maryland, including the Clark Doctoral Fellowship Program at the University of Maryland. The research was supported in part under award 31310018M0043 from the U.S. Nuclear Regulatory Commission and the National Science Foundation under Grant No. 2045519. The statements, findings, conclusions, and recommendations are those of the authors and do not necessarily reflect the view of the U.S. Nuclear Regulatory Commission or the National Science Foundation.</t>
  </si>
  <si>
    <t>10.1016/j.ress.2023.109206</t>
  </si>
  <si>
    <t>Q1QG9</t>
  </si>
  <si>
    <t>WOS:001055329100001</t>
  </si>
  <si>
    <t>Zhang, J; Zhao, X; Song, YB</t>
  </si>
  <si>
    <t>Zhang, Jing; Zhao, Xian; Song, Yanbo</t>
  </si>
  <si>
    <t>Joint optimization of reliability design and spares inventory for a use-oriented product-service system based on the electric vehicle charging station</t>
  </si>
  <si>
    <t>Joint optimization; reliability design; spares inventory; replacement maintenance; availability; product-service system</t>
  </si>
  <si>
    <t>With the shift of business pattern from the traditional manufacturer orientation to customer orientation, the product-service system has become more and more popular. This paper takes an electrical vehicle charging station as the research object and builds a joint optimization model of reliability design and spares inventory with the objective of maximizing net profit under the constraints of availability and customer's loss rate. Particularly, this model considers not only two types of services, namely fast charging and slow charging but also the transfer of customers between different types of service. This new model is more accordant with the practical circumstances by involving a series of elements of the product-service system simultaneously, such as the customer's arrival, service, replacement maintenance and spares replenishment process. Then, the probabilistic indices related to reliability are derived by applying the continuous time Markov Process. A balance between the number of charging piles and spares inventory policy can be achieved by solving the joint optimization model. The influence of model parameters on these indices and the superiority of the proposed joint optimization model are analyzed in detail by numerical examples. Finally, some critical conclusions are obtained with the intent of promoting the system reliability and profit. Furthermore, this joint optimization model can be extended to more circumstances and provides guidances to solve the reliability optimization problems regarding a similar system.</t>
  </si>
  <si>
    <t>[Zhang, Jing; Zhao, Xian; Song, Yanbo] Beijing Inst Technol, Sch Management &amp; Econ, 5 Yard,Zhong Guan Cun South St, Beijing 100081, Peoples R China; [Zhang, Jing] Inst Disaster Prevent, Sch Econ &amp; Management, Beijing, Peoples R China</t>
  </si>
  <si>
    <t>Zhao, X (corresponding author), Beijing Inst Technol, Sch Management &amp; Econ, 5 Yard,Zhong Guan Cun South St, Beijing 100081, Peoples R China.</t>
  </si>
  <si>
    <t>Zhang, Jing/0000-0002-7466-7460</t>
  </si>
  <si>
    <t>National Natural Science Foundation of China [71971026, 71572014]</t>
  </si>
  <si>
    <t>The author(s) disclosed receipt of the following financial support for the research, authorship, and/or publication of this article: This work was supported by the National Natural Science Foundation of China (71971026, 71572014).</t>
  </si>
  <si>
    <t>1748006X20983975</t>
  </si>
  <si>
    <t>10.1177/1748006X20983975</t>
  </si>
  <si>
    <t>WOS:000637915700001</t>
  </si>
  <si>
    <t>Wang, JJ; Qiu, QG; Wang, HH</t>
  </si>
  <si>
    <t>Wang, Jingjing; Qiu, Qingan; Wang, Huanhuan</t>
  </si>
  <si>
    <t>Joint optimization of condition-based and age-based replacement policy and inventory policy for a two-unit series system</t>
  </si>
  <si>
    <t>Condition-based replacement policy; Age-based replacement policy; Inventory policy; Joint optimization; Semi-Markov decision process</t>
  </si>
  <si>
    <t>SPARE PROVISIONING POLICY; PREVENTIVE MAINTENANCE; OPPORTUNISTIC MAINTENANCE; REPAIR; MODELS</t>
  </si>
  <si>
    <t>This paper proposes a joint optimization problem of the condition-based and age-based replacement policy and spare parts inventory policy for a series system with two non-identical units. Unit 1 is subject to soft failure and condition-based maintenance actions are adopted. Unit 2 is subject to hard failure and maintenance actions are performed based its usage. Besides the replacement policies, the (0,1) inventory policy is used to order the spare part of unit 1 and the (s,S) inventory policy is employed for unit 2. Unlike the previous studies where the maintenance policy and inventory policy are optimized separately, the replacement and order activities are simultaneously determined at decision epochs in this paper. Moreover, the system state transition probabilities, the expected maintenance costs and expected sojourn times would be derived by utilizing the semi-Markov decision process. The optimal preventive replacement thresholds of both units and the order level of unit 2 are simultaneously determined to minimize the system average maintenance cost per unit time. An illustrative example of a two-unit wind turbine system is used to demonstrate the priority of the proposed joint optimization policy.</t>
  </si>
  <si>
    <t>[Wang, Jingjing] Qingdao Univ Technol, Sch Management Engn, Qingdao 266520, Peoples R China; [Qiu, Qingan] Beijing Inst Technol, Sch Management &amp; Econ, Beijing 100081, Peoples R China; [Wang, Huanhuan] City Univ Hong Kong, Sch Energy &amp; Environm, Kowloon, Hong Kong, Peoples R China</t>
  </si>
  <si>
    <t>Qingdao University of Technology; Beijing Institute of Technology; City University of Hong Kong</t>
  </si>
  <si>
    <t>Qiu, QG (corresponding author), Beijing Inst Technol, Sch Management &amp; Econ, Beijing 100081, Peoples R China.</t>
  </si>
  <si>
    <t>Qinganqiu@bit.edu.cn; Qinganqiu@bit.edu.cn</t>
  </si>
  <si>
    <t>National Natural Science Foundation of China [72001026]</t>
  </si>
  <si>
    <t>This work was supported by the National Natural Science Foundation of China (72001026).</t>
  </si>
  <si>
    <t>10.1016/j.ress.2020.107251</t>
  </si>
  <si>
    <t>WOS:000589091300034</t>
  </si>
  <si>
    <t>Jordan, JA; Etemadi, A; Grenn, MW</t>
  </si>
  <si>
    <t>Jordan, Johnathan A.; Etemadi, Amir; Grenn, Michael W.</t>
  </si>
  <si>
    <t>Predicting KC-135R Aircraft Availability With Aircraft Metrics</t>
  </si>
  <si>
    <t>Maintenance engineering; Military aircraft; Aircraft; Measurement; Predictive models; Optimization; Schedules; Decision support; decision making; military aircraft; machine learning; neural networks; predictive models; random forests; statistical learning</t>
  </si>
  <si>
    <t>SYSTEM; MODEL; RELIABILITY; SIMULATION</t>
  </si>
  <si>
    <t>The KC-135R Stratotanker is a multifunction slim body aircraft that provides air refueling and airlift for the United States' war and peacetime requirements, which demand a certain level of availability. As the KC-135R fleet ages, the aircraft availability (AA) rate degrades due to high demand use, stress, and the age of the equipment. Preventative and corrective maintenance is designed to return the aircraft to an available state to meet mission requirements, but the United States Air Force continues to fail at meeting every requirement communicated by commanders for KC-135R air refueling and airlift. Focusing on aircraft metrics can enable a prediction model of AA and provide the unit commanders the tools for data influenced decisions. The analysis of historical aircraft maintenance and flight metrics will show a correlation between tracked metrics and AA, thus, the ability to predict a future availability rate. Furthermore, analyzing the data with machine learning techniques will improve prediction accuracy by evaluating the variable importance and will make inferences learned from mining the data that are otherwise difficult to model in a complex system of systems.</t>
  </si>
  <si>
    <t>[Jordan, Johnathan A.] US Space Force, Space &amp; Missile Syst Ctr, Data Program Off, Peterson Afb, CO 80914 USA; [Jordan, Johnathan A.] US Air Force Reserve, Mcconnell Afb, KS 67221 USA; [Etemadi, Amir; Grenn, Michael W.] George Washington Univ, Sch Engn &amp; Appl Sci Washington, Washington, DC 20052 USA</t>
  </si>
  <si>
    <t>George Washington University</t>
  </si>
  <si>
    <t>Jordan, JA (corresponding author), US Space Force, Space &amp; Missile Syst Ctr, Data Program Off, Peterson Afb, CO 80914 USA.;Jordan, JA (corresponding author), US Air Force Reserve, Mcconnell Afb, KS 67221 USA.</t>
  </si>
  <si>
    <t>johnathan.jordan@gmail.com; etemadi@gwu.edu; grennm@email.gwu.edu</t>
  </si>
  <si>
    <t>Jordan, Johnathan/0000-0002-8942-1359</t>
  </si>
  <si>
    <t>10.1109/TEM.2021.3059372</t>
  </si>
  <si>
    <t>WOS:000732696400001</t>
  </si>
  <si>
    <t>Li, XY; Liu, Y; Lin, YH; Xiao, LH; Zio, E; Kang, R</t>
  </si>
  <si>
    <t>Li, Xiao-Yang; Liu, Yue; Lin, Yan-Hui; Xiao, Liang-Hua; Zio, Enrico; Kang, Rui</t>
  </si>
  <si>
    <t>A generalized petri net-based modeling framework for service reliability evaluation and management of cloud data centers</t>
  </si>
  <si>
    <t>Cloud Data Center; Hierarchical Colored Generalized Stochastic; Petri Nets; IT Architecture; Resource Allocation; Service Reliability</t>
  </si>
  <si>
    <t>NETWORK ARCHITECTURE</t>
  </si>
  <si>
    <t>A cloud data center is a critical infrastructure whose service reliability is relevant for service delivery. Constituting the carrier of service for cloud computing, the IT architecture of a cloud data center plays an important role, since it directly relates to service reliability. However, most existing research focuses only on the connectivity of the IT architecture and on service considering only the processing procedure. In order to bridge the gap between the existing works and reality, a hierarchical colored generalized stochastic petri net is proposed to evaluate the service reliability by Monte Carlo simulation, which comprehensively considers the connectivity and performance of the IT architecture and the dynamic of service delivery. The modeling and simulation framework is applied to the cloud data center of an insurance company and cost-effective strategies are found to support the configuration, operation and maintenance of the cloud data center.</t>
  </si>
  <si>
    <t>[Li, Xiao-Yang; Liu, Yue; Lin, Yan-Hui; Kang, Rui] Beihang Univ, Sch Reliabil &amp; Syst Engn, Beijing, Peoples R China; [Li, Xiao-Yang; Liu, Yue; Lin, Yan-Hui; Kang, Rui] Beihang Univ, Sci &amp; Technol Reliabil &amp; Environm Engn Lab, Beijing, Peoples R China; [Xiao, Liang-Hua] Data Ctr China Life Insurance Co Ltd, Beijing, Peoples R China; [Zio, Enrico] Politecn Milan, Energy Dept, Milan, Italy; [Zio, Enrico] PSL Univ, Ctr Res Risk &amp; Crises CRC, Mines ParisTech, Sophia Antipolis, France</t>
  </si>
  <si>
    <t>Beihang University; Beihang University; Polytechnic University of Milan; Universite PSL; MINES ParisTech</t>
  </si>
  <si>
    <t>Lin, YH (corresponding author), Beihang Univ, Sch Reliabil &amp; Syst Engn, Beijing, Peoples R China.;Lin, YH (corresponding author), Beihang Univ, Sci &amp; Technol Reliabil &amp; Environm Engn Lab, Beijing, Peoples R China.</t>
  </si>
  <si>
    <t>linyanhui@buaa.edu.cn</t>
  </si>
  <si>
    <t>Li, Xiaoyang/AAJ-7386-2020</t>
  </si>
  <si>
    <t>Li, Xiaoyang/0000-0002-4046-2934</t>
  </si>
  <si>
    <t>Science Challenge Project [TZ2018007]; National Natural Science Foundation of China [61573043]</t>
  </si>
  <si>
    <t>Science Challenge Project; National Natural Science Foundation of China(National Natural Science Foundation of China (NSFC))</t>
  </si>
  <si>
    <t>Work on this paper is supported by Science Challenge Project (No. TZ2018007), National Natural Science Foundation of China (Grant No. 51775020 and Grant No. 51875016) and National Natural Science Foundation of China (Grant No. 61573043).</t>
  </si>
  <si>
    <t>10.1016/j.ress.2020.107381</t>
  </si>
  <si>
    <t>WOS:000606682100040</t>
  </si>
  <si>
    <t>Morato, PG; Andriotis, CP; Papakonstantinou, KG; Rigo, P</t>
  </si>
  <si>
    <t>Morato, P. G.; Andriotis, C. P.; Papakonstantinou, K. G.; Rigo, P.</t>
  </si>
  <si>
    <t>Inference and dynamic decision-making for deteriorating systems with probabilistic dependencies through Bayesian networks and deep reinforcement learning</t>
  </si>
  <si>
    <t>Infrastructure management; Decision analysis; Deep reinforcement learning; Partially observable Markov decision processes; System reliability analysis; Dynamic Bayesian networks</t>
  </si>
  <si>
    <t>PLANNING STRUCTURAL INSPECTION; LIFE-CYCLE COST; MAINTENANCE POLICIES; RELIABILITY-ANALYSIS; FRAMEWORK; OPTIMIZATION; POMDP; GAME; GO</t>
  </si>
  <si>
    <t>In the context of modern engineering, environmental, and societal concerns, there is an increasing demand for methods able to identify rational management strategies for civil engineering systems, minimizing structural failure risks while optimally planning inspection and maintenance (I&amp;M) processes. Most available methods simplify the I&amp;M decision problem to the component level, often assuming statistical, structural, or cost independence among components, due to the computational complexity associated with global optimization methodologies under joint system-level state descriptions. In this paper, we propose an efficient algorithmic framework for inference and decision-making under uncertainty for engineering systems exposed to deteriorat-ing environments, providing optimal management strategies directly at the system level. In our approach, the decision problem is formulated as a factored partially observable Markov decision process, whose dynamics are encoded in Bayesian network conditional structures. The methodology can handle environments under equal or general, unequal deterioration correlations among components, through Gaussian hierarchical structures and dynamic Bayesian networks, decoupling the originally joint system state space to component networks conditional on shared random variables. In terms of policy optimization, we adopt a deep decentralized multi-agent actor-critic (DDMAC) reinforcement learning approach, in which the policies are approximated by actor neural networks guided by a critic network. By including deterioration dependence in the simulated environment, and by formulating the cost model at the system level, DDMAC policies intrinsically consider the underlying system-effects. This is demonstrated through numerical experiments conducted for both a 9 -out-of-10 system and a steel frame under fatigue deterioration. Results demonstrate that DDMAC policies offer substantial benefits when compared to state-of-the-art heuristic approaches. The inherent consideration of system-effects by DDMAC strategies is also interpreted based on the learned policies.</t>
  </si>
  <si>
    <t>[Morato, P. G.; Rigo, P.] Univ Liege, Dept ArGEnCo, ANAST, B-4000 Liege, Belgium; [Andriotis, C. P.] Delft Univ Technol, Fac Architecture &amp; Built Environm, NL-2628 BL Delft, Netherlands; [Papakonstantinou, K. G.] Penn State Univ, Dept Civil &amp; Environm Engn, University Pk, PA 16802 USA</t>
  </si>
  <si>
    <t>University of Liege; Delft University of Technology; Pennsylvania Commonwealth System of Higher Education (PCSHE); Pennsylvania State University; Penn State Behrend; Pennsylvania State University - University Park</t>
  </si>
  <si>
    <t>Morato, PG (corresponding author), Univ Liege, Dept ArGEnCo, ANAST, B-4000 Liege, Belgium.</t>
  </si>
  <si>
    <t>pgmorato@uliege.be</t>
  </si>
  <si>
    <t>Andriotis, Charalampos P./GPG-1047-2022; Morato, Pablo G/JYO-7379-2024</t>
  </si>
  <si>
    <t>Andriotis, Charalampos P./0000-0002-0140-5021; Morato Dominguez, Pablo G/0000-0002-2744-0650</t>
  </si>
  <si>
    <t>National Fund for Scientific Research in Belgium F.R.I.A.-F.N.R.S; U.S. National Science Foundation [1751941, 2053620]; TU Delft AI Labs program; Directorate For Engineering; Div Of Civil, Mechanical, &amp; Manufact Inn [2053620, 1751941] Funding Source: National Science Foundation</t>
  </si>
  <si>
    <t>National Fund for Scientific Research in Belgium F.R.I.A.-F.N.R.S; U.S. National Science Foundation(National Science Foundation (NSF)); TU Delft AI Labs program; Directorate For Engineering; Div Of Civil, Mechanical, &amp; Manufact Inn(National Science Foundation (NSF)NSF - Directorate for Engineering (ENG))</t>
  </si>
  <si>
    <t>This research is funded by the National Fund for Scientific Research in Belgium F.R.I.A.-F.N.R.S. This support is gratefully acknowledged. Dr. Papakonstantinou would further like to acknowledge that this material is also based upon work supported by the U.S. National Science Foundation under Grants No. 1751941 and 2053620. Dr. Andriotis would like to acknowledge the support of the TU Delft AI Labs program. Finally, the authors would like to acknowledge the support provided by DNV GL Digital Solutions for granting access to the software package Sesam.</t>
  </si>
  <si>
    <t>10.1016/j.ress.2023.109144</t>
  </si>
  <si>
    <t>C2GF6</t>
  </si>
  <si>
    <t>Green Published, Green Submitted, Bronze</t>
  </si>
  <si>
    <t>WOS:000960156700001</t>
  </si>
  <si>
    <t>Parkash, S; Tewari, PC</t>
  </si>
  <si>
    <t>Parkash, Shanti; Tewari, P. C.</t>
  </si>
  <si>
    <t>Performability analysis for the SPVC line system of leaf spring production plant using probabilistic approach</t>
  </si>
  <si>
    <t>Performability; Availability; Decision matrix; Markov method; RAMS</t>
  </si>
  <si>
    <t>PurposeThis work ensures the higher performability of this complex system, which consists of five different subsystems, i.e. shearing machine, V-cutting machine, center hole punch, edge cutting burr and drilling machine. These subsystems are placed in combinations of both series and parallel arrangement. The concerned plant management must be aware of the failures that have the greatest/least impact on the system's performance.Design/methodology/approachPerformability analysis has been done for the Shearing, Punch and V- Cutting (SPVC) line system by using a probabilistic approach (i.e. Markov method). This system was further divided into five subsystems, and single-order differential equations are derived using the transition diagram. MATLAB software was used to determine the performability of the system for various combinations of repair and failure rates.FindingsIn this research work, performability analysis was done using different combinations of repair and failure rates for these subsystems. Further, a decision matrix (DM) has been developed that indicates that edge cutting burr is the most critical subsystem, which requires the top level of maintenance priorities among the various subsystems. This matrix will facilitate policymaking related to various maintenance activities for the respective system.Originality/valueIn this research work, a mathematical modeling based on a single differential equation using a transition diagram has been developed for the SPVC line system. The novelty of this work is to consider interaction among different subsystem, which generates more realistic situation during modeling. The purposed DM helps make future maintenance planning, which reduces maintenance costs and enhances system's performability.</t>
  </si>
  <si>
    <t>[Parkash, Shanti; Tewari, P. C.] Natl Inst Technol Kurukshetra, Mech Engn Dept, Kurukshetra, India</t>
  </si>
  <si>
    <t>National Institute of Technology (NIT System); National Institute of Technology Kurukshetra</t>
  </si>
  <si>
    <t>Parkash, S (corresponding author), Natl Inst Technol Kurukshetra, Mech Engn Dept, Kurukshetra, India.</t>
  </si>
  <si>
    <t>shanti_62000012@nitkkr.ac.in</t>
  </si>
  <si>
    <t>parkash, Shanti/0000-0001-9085-6627</t>
  </si>
  <si>
    <t>10.1108/JQME-07-2023-0062</t>
  </si>
  <si>
    <t>K3M6L</t>
  </si>
  <si>
    <t>WOS:001271193200001</t>
  </si>
  <si>
    <t>Qin, XY; Che, A; Wu, B</t>
  </si>
  <si>
    <t>Qin, Xiangyu; Che, Ada; Wu, Bei</t>
  </si>
  <si>
    <t>Modeling coupling impacts of self-healing mechanisms and dynamic environments on systems subject to dependent failure processes</t>
  </si>
  <si>
    <t>Self-healing system; Dynamic environment; Periodical inspection; Reliability measure; Maintenance model</t>
  </si>
  <si>
    <t>RELIABILITY; MAINTENANCE</t>
  </si>
  <si>
    <t>Modern smart products are endowed with the capability to autonomously repair damage from random shocks, thereby highlighting the critical necessity to incorporate this self -healing attribute in reliability assessments. This paper investigates periodically inspected self -healing systems that are exposed to dependent competing failure processes within dynamically evolving environments. The impact of environmental changes is manifested in that both the natural degradation process and the self -healing behavior are governed by distinct laws in varying environments. Explicit formulas for the system reliability and availability are analytically derived using the stochastic process theory, and their correctness is verified by proposed simulation algorithms respectively. Meanwhile, the inspection period is optimized by minimizing the long -run average cost rate. Lastly, a practical example of semiconductor lasers is applied to showcase the application of the presented methods. The sensitivity analysis reveals that increasing the self -healing time threshold or the shock arrival rate can improve the system performance while lowering the long -run average cost rate.</t>
  </si>
  <si>
    <t>[Qin, Xiangyu; Che, Ada; Wu, Bei] Northwestern Polytech Univ, Sch Management, Xian 710072, Peoples R China</t>
  </si>
  <si>
    <t>This work is supported by the National Natural Science Foundation of China (Grant No. 72101205) .</t>
  </si>
  <si>
    <t>10.1016/j.ress.2024.110272</t>
  </si>
  <si>
    <t>WZ1N7</t>
  </si>
  <si>
    <t>WOS:001258605600001</t>
  </si>
  <si>
    <t>Jolfaei, Neda Gorjian; Jin, Bo; van der Linden, Leon; Gunawan, Indra; Gorjian, Nima</t>
  </si>
  <si>
    <t>Reliability modelling with redundancy-A case study of power generation engines in a wastewater treatment plant</t>
  </si>
  <si>
    <t>energy management; hazard function; Kaplan-Meier estimator; log beta-Weibull model; power generation engine; reliability; Weibull model</t>
  </si>
  <si>
    <t>WEIBULL DISTRIBUTION; SYSTEM; OPTIMIZATION; MAINTENANCE; PREDICTION; 3-PARAMETER</t>
  </si>
  <si>
    <t>Power generators are critical assets in wastewater treatment plants (WWTPs) in Australia and many countries. Better managing the lifetime, minimising failures, improving reliability and availability, and reducing operating and maintenance costs of the power generation assets are still challenging topics for water utilities. This case study aims to develop power generation system reliability and availability modelling considering redundancy to minimise operation and maintenance costs. The two-parameter Weibull model was used to assess system reliability and availability to power generation engines in WWTPs. The Kaplan-Meier method (a time-driven estimation technique) and the log beta-Weibull model (which is suitable for modelling censored and uncensored data) were used to analyse and validate the modelling results. Shape and scale parameters of the Weibull models were estimated by maximising the log-likelihood function using non-linear optimisation. Hazard and reliability functions were calculated using the Weibull model. Results using two-parameter Weibull, Kaplan-Meier, and log beta-Weibull models display low reliability and high hazard rate over time, which was associated with spark plug failure due to a suboptimal start and stop operation strategy.</t>
  </si>
  <si>
    <t>[Jolfaei, Neda Gorjian; Jin, Bo] Univ Adelaide, Sch Chem Engn &amp; Adv Mat, Adelaide, SA 5005, Australia; [van der Linden, Leon; Gorjian, Nima] South Australian Water Corp, Adelaide, SA 5002, Australia; [Gunawan, Indra] Univ Adelaide, ECIC, Adelaide, SA, Australia; [Gorjian, Nima] Univ South Australia, Adelaide, SA, Australia</t>
  </si>
  <si>
    <t>Jin, B (corresponding author), Univ Adelaide, Sch Chem Engn &amp; Adv Mat, Adelaide, SA 5005, Australia.;Gorjian, N (corresponding author), South Australian Water Corp, Adelaide, SA 5002, Australia.</t>
  </si>
  <si>
    <t>bo.jin@adelaide.edu.au; nima.gorjianjolfaei@sawater.com.au</t>
  </si>
  <si>
    <t>Water Research Australia; Water Research Australia Limited; University of Adelaide</t>
  </si>
  <si>
    <t>Water Research Australia, Grant/Award Number: Industry Top-up; Water Research Australia Limited; University of Adelaide, Grant/Award Number: RTP Scholorship</t>
  </si>
  <si>
    <t>10.1002/qre.2573</t>
  </si>
  <si>
    <t>WOS:000498290400001</t>
  </si>
  <si>
    <t>Wang, SQ; Zhao, X; Zuo, MJ</t>
  </si>
  <si>
    <t>Wang, Siqi; Zhao, Xian; Zuo, Ming J.</t>
  </si>
  <si>
    <t>A multi-state k-out-of-n:F balanced system with a rebalancing mechanism</t>
  </si>
  <si>
    <t>maintenance strategy; Markov process imbedding technique; multi-state k-out-of-n:F balanced system; rebalancing mechanism</t>
  </si>
  <si>
    <t>RELIABILITY EVALUATION; APPROXIMATION</t>
  </si>
  <si>
    <t>Balanced systems have extensive applications in engineering fields such as new energy storage and aeronautics. The reliability analysis of such systems has been reported in literature. However, most existing studies focus on the binary-state situation, and research on multi-state cases and the relevant rebalancing mechanism is still limited. To fill this gap, a multi-state k-out-of-n:F balanced system with a rebalancing mechanism is studied in this paper. Both components and the system have multiple states, and all the components are required to be working in similar states to ensure that the system operates in a balanced condition. It means that the difference between the maximum and minimum component states should not exceed a threshold. Otherwise, the system is out of balance and should be rebalanced by identifying the components whose states are too high and adjusting them into lower states. A continuous-time Markov process is used to describe the component operation process and relevant reliability indices are derived accordingly. An age maintenance strategy is also proposed and an optimization model is constructed to obtain the optimal results. Finally, numerical examples based on a product line balancing problem are presented to demonstrate the application of the proposed model.</t>
  </si>
  <si>
    <t>[Wang, Siqi; Zhao, Xian] Beijing Inst Technol, Sch Management &amp; Econ, Beijing 100081, Peoples R China; [Zuo, Ming J.] Univ Alberta, Dept Mech Engn, Edmonton, AB, Canada</t>
  </si>
  <si>
    <t>Beijing Institute of Technology; University of Alberta</t>
  </si>
  <si>
    <t>Wang, Siqi/ABE-3341-2020; Zuo, Ming/AAC-9391-2019</t>
  </si>
  <si>
    <t>National Natural Science Foundation of China [71971026, 71572014]; China Scholarship Council [201906030033]</t>
  </si>
  <si>
    <t>This work is supported by National Natural Science Foundation of China (Grant No. 71971026, 71572014). Siqi Wang is supported by China Scholarship Council (Grant No. 201906030033) being a visiting scholar in University of Alberta, Canada, 2019-2020.</t>
  </si>
  <si>
    <t>10.1002/qre.2867</t>
  </si>
  <si>
    <t>4J7DV</t>
  </si>
  <si>
    <t>WOS:000643930100001</t>
  </si>
  <si>
    <t>Moerman, JJ; Braaksma, J; van Dongen, L</t>
  </si>
  <si>
    <t>Moerman, Jan-jaap; Braaksma, Jan; van Dongen, Leo</t>
  </si>
  <si>
    <t>Reliable introduction of critical assets: an explorative case study in railways</t>
  </si>
  <si>
    <t>Critical asset introductions; Operational performance; Framework; Issues and challenges; Human factors</t>
  </si>
  <si>
    <t>Purpose Asset-intensive organizations rely heavily on physical assets that are often expensive, complex and have a significant impact on organizational performance. Past introductions of critical assets in various industries showed that despite many preparations in maintenance and operations, shortcomings were identified after deployment resulting in unreliable performance. The main purpose of this qualitative study is to explore the factors that determine how asset-intensive organizations can achieve reliable outcomes in critical asset introductions despite random failures as a result of increasing complexity and infant mortalities. Design/methodology/approach To gain a detailed understanding of the issues and challenges of critical asset introductions, a case study in railways (rolling stock introductions) was conducted and analyzed using qualitative analysis. Findings The case showed that organizational factors were perceived as decisive factors for a reliable performance of the introduction, while the main focus of the introduction was on the asset and its technical systems. This suggests that more consideration toward organizational factors is needed. Therefore, a critical asset introduction framework was proposed based on 15 identified factors. Originality/value Reliable performance is often associated with technical systems only. This empirical study emphasizes the need for a more holistic perspective and the inclusion of organizational factors when introducing critical assets seeking reliable performance. This study demonstrated the application of the affinity diagramming technique in collectively analyzing the data adopting a multidisciplinary orientation.</t>
  </si>
  <si>
    <t>[Moerman, Jan-jaap] Univ Twente, Enschede, Netherlands; [Braaksma, Jan] Univ Twente, Prod Design &amp; Management, Enschede, Netherlands; [van Dongen, Leo] Univ Twente, Design Prod &amp; Management, Enschede, Netherlands</t>
  </si>
  <si>
    <t>University of Twente; University of Twente; University of Twente</t>
  </si>
  <si>
    <t>Moerman, JJ (corresponding author), Univ Twente, Enschede, Netherlands.</t>
  </si>
  <si>
    <t>j.moerman@utwente.nl; a.j.j.braaksma@utwente.nl; l.a.m.vandongen@utwente.nl</t>
  </si>
  <si>
    <t>Braaksma, Jan/0000-0002-5883-9568; van Dongen, Leo/0000-0001-6382-2253</t>
  </si>
  <si>
    <t>JUL 12</t>
  </si>
  <si>
    <t>10.1108/JQME-05-2020-0037</t>
  </si>
  <si>
    <t>TI5WA</t>
  </si>
  <si>
    <t>WOS:000658317800001</t>
  </si>
  <si>
    <t>Zhang, Q; Xu, P; Fang, ZG</t>
  </si>
  <si>
    <t>Zhang, Qin; Xu, Peng; Fang, Zhigeng</t>
  </si>
  <si>
    <t>Optimal age replacement policies for parallel systems with mission durations</t>
  </si>
  <si>
    <t>Age replacement policy; Mission duration; Parallel system; Replacement first; Replacement last</t>
  </si>
  <si>
    <t>MAINTENANCE OPTIMIZATION; SUBJECT; MODEL</t>
  </si>
  <si>
    <t>The replacement time might be scheduled during the mission executing process if the conventional maintenance policies are adopted. The system may fall short of requirements and unimaginable losses or bad social impact would take place. Hence, as a vital role in maintaining engineering systems, the mission durations should be integrated in maintenance studies. In this paper, we firstly propose the age replacement policy for parallel systems with mission durations and derive the optimum number of units. To address the trade-off between the cost and maintainability, we consider the replacement time in maintenance and propose two policies, i.e., replacement first and replacement last. Then, the optimal policies of each replacement are discussed analytically. Numerical examples are discussed to demonstrate the effectiveness of the methodology derived by this paper. Finally, the suggested replacement policies are illustrated in maintaining the pumps of a cooling water system of a nuclear power plant based on the assumed data.</t>
  </si>
  <si>
    <t>[Zhang, Qin] Yangzhou Univ, Business Sch, Yangzhou 225127, Peoples R China; [Xu, Peng] Nanjing Univ, Ctr Behav Decis &amp; Control, Sch Management &amp; Engn, Nanjing 210093, Peoples R China; [Fang, Zhigeng] Nanjing Univ Aeronaut &amp; Astronaut, Coll Econ &amp; Management, Nanjing 211106, Peoples R China</t>
  </si>
  <si>
    <t>Yangzhou University; Nanjing University; Nanjing University of Aeronautics &amp; Astronautics</t>
  </si>
  <si>
    <t>Xu, P (corresponding author), Nanjing Univ, Ctr Behav Decis &amp; Control, Sch Management &amp; Engn, Nanjing 210093, Peoples R China.</t>
  </si>
  <si>
    <t>pengxu@smail.nju.edu.cn</t>
  </si>
  <si>
    <t>Zhang, Qin/MCY-4271-2025</t>
  </si>
  <si>
    <t>Xu, Peng/0000-0002-3404-7654</t>
  </si>
  <si>
    <t>project of National Natural Science Foundation of China [7167109, 72071111]</t>
  </si>
  <si>
    <t>project of National Natural Science Foundation of China(National Natural Science Foundation of China (NSFC))</t>
  </si>
  <si>
    <t>This research is supported by the project of the National Natural Science Foundation of China (Grant No: 7167109, 72071111)</t>
  </si>
  <si>
    <t>10.1016/j.cie.2022.108172</t>
  </si>
  <si>
    <t>WOS:000804773500010</t>
  </si>
  <si>
    <t>Li, YH; Dong, Y; Guo, HY</t>
  </si>
  <si>
    <t>Li, Yaohan; Dong, You; Guo, Hongyuan</t>
  </si>
  <si>
    <t>Copula-based multivariate renewal model for life-cycle analysis of civil infrastructure considering multiple dependent deterioration processes</t>
  </si>
  <si>
    <t>Copula; Life-cycle cost; Higher-order moments; Stochastic deterioration; Structural reliability</t>
  </si>
  <si>
    <t>MAINTENANCE OPTIMIZATION; PREVENTIVE MAINTENANCE; MULTICOMPONENT SYSTEMS; AGING STRUCTURES; DEGRADATION; RELIABILITY; PROBABILITY; COST; SUBJECT; MOMENTS</t>
  </si>
  <si>
    <t>Civil infrastructure is subjected to multiple deterioration processes (e.g., gradual deterioration and shock dete-rioration) caused by environmental exposure and extreme events during its lifetime. To maintain performance and functionality, maintenance actions should be performed and the life-cycle cost may be affected. There is a need to explore the effect of maintenance actions and various uncertainties on the life-cycle performance of the engineering systems. This study proposes a probabilistic life-cycle analysis framework for civil infrastructure based on performance indicators, e.g., reliability and maintenance cost. Stochastic uncertainties resulting from multiple dependent deterioration processes, system reliability, intervention actions, and maintenance cost are considered. In particular, the dependence between the maintenance interval and cost is highlighted. Previous studies generally assume they are independent. Such an assumption can be misleading and lead to inappropriate cost estimation. To address this concern, a copula-based multivariate renewal model is proposed to assess the life-cycle maintenance cost analytically and numerically. In addition to the expected cost, statistical moments (e. g., standard deviation, skewness, and kurtosis) are calculated to quantify uncertainties from higher-order mo-ments. Two illustrative examples show that the dependence and uncertainties can have a large impact on the life -cycle cost, and decisions can be altered by considering statistical moments of the cost.</t>
  </si>
  <si>
    <t>[Li, Yaohan] Hong Kong Metropolitan Univ, Sch Sci &amp; Technol, Dept Construct &amp; Qual Management, Hong Kong, Peoples R China; [Dong, You; Guo, Hongyuan] Hong Kong Polytech Univ, Dept Civil &amp; Environm Engn, Hong Kong, Peoples R China</t>
  </si>
  <si>
    <t>Hong Kong Metropolitan University; Hong Kong Polytechnic University</t>
  </si>
  <si>
    <t>Dong, Y (corresponding author), Hong Kong Polytech Univ, Dept Civil &amp; Environm Engn, Hong Kong, Peoples R China.</t>
  </si>
  <si>
    <t>you.dong@polyu.edu.hk</t>
  </si>
  <si>
    <t>Guo, Hongyuan/GRX-2721-2022</t>
  </si>
  <si>
    <t>Guo, Hongyuan/0000-0002-6056-9691; Li, Yaohan/0000-0002-9288-9016</t>
  </si>
  <si>
    <t>National Natural Science Foundation of China [52078448]; Research Grants Council of Hong Kong [T22-502/18-R, PolyU 15219819]; National Key R&amp;D Program of China [2019YFB1600702]</t>
  </si>
  <si>
    <t>National Natural Science Foundation of China(National Natural Science Foundation of China (NSFC)); Research Grants Council of Hong Kong(Hong Kong Research Grants Council); National Key R&amp;D Program of China</t>
  </si>
  <si>
    <t>The study has been supported by the National Natural Science Foundation of China (Grant no. 52078448), the Research Grants Council of Hong Kong (Project no. T22-502/18-R and PolyU 15219819), and the National Key R&amp;D Program of China (No. 2019YFB1600702). The support is gratefully acknowledged. The opinions and conclusions presented in this paper are those of the authors and do not necessarily reflect the views of the sponsoring organizations.</t>
  </si>
  <si>
    <t>10.1016/j.ress.2022.108992</t>
  </si>
  <si>
    <t>6Y2WM</t>
  </si>
  <si>
    <t>WOS:000896960400007</t>
  </si>
  <si>
    <t>Martón, I; Sánchez, A; Carlos, S; Mullor, R; Martorell, S</t>
  </si>
  <si>
    <t>Marton, I.; Sanchez, A. I.; Carlos, S.; Mullor, R.; Martorell, S.</t>
  </si>
  <si>
    <t>Prognosis of wear-out effect on of safety equipment reliability for nuclear power plants long-term safe operation</t>
  </si>
  <si>
    <t>MAINTENANCE; OPTIMIZATION; MULTIPLE</t>
  </si>
  <si>
    <t>To reach a Net Zero Emission scenario, on 1st January 2022 the European Union (EU) declared nuclear and gas as transitional activities under strict safety conditions. A central challenge is that many nuclear reactors in operation are close to or have reached their design life, so that, it is required to demonstrate the influence of equipment ageing on plant reliability will be kept under control in the plan extended lifetime. In this work a three-step methodology is proposed to obtain the time instants at which the failure rate behaviour changes (break points) and the most appropriate age-dependant reliability model to explicitly include the effects of ageing and maintenance. The methodology requires the reliability parameters estimation at each phase of the plant equipment lifetime, what is carried out by using the available Nuclear Power Plant (NPP) historical data, which is quite scarce. The methodology is applied to a motor operated valve of a NPP safety system. The results demonstrate the capability of the approach proposed to estimate and predict the component reliability in the plant extended lifetime depending on the maintenance policy implemented, being necessary to estimate an accurate age-dependant reliability model to support the decision-making process on equipment ageing management.</t>
  </si>
  <si>
    <t>[Marton, I.; Sanchez, A. I.] Univ Politecn Valencia, Dept Stat &amp; Operat Res, MEDASEGI Res Grp, Valencia, Spain; [Carlos, S.; Martorell, S.] Univ Politecn Valencia, Dept Chem &amp; Nucl Engn, MEDASEGI Res Grp, Valencia, Spain; [Mullor, R.] Univ Alicante, Dept Math, Alicante, Spain</t>
  </si>
  <si>
    <t>Universitat Politecnica de Valencia; Universitat Politecnica de Valencia; Universitat d'Alacant</t>
  </si>
  <si>
    <t>Martón, I (corresponding author), Univ Politecn Valencia, Dept Stat &amp; Operat Res, MEDASEGI Res Grp, Valencia, Spain.</t>
  </si>
  <si>
    <t>ismarllu@eio.upv.es; ismarllu@eio.upv.es</t>
  </si>
  <si>
    <t>MCIN/AEI [PID2019-110590RB-I00]</t>
  </si>
  <si>
    <t>MCIN/AEI</t>
  </si>
  <si>
    <t>Grant PID2019-110590RB-I00 funded by MCIN/AEI/10.13039/501100011033 ERDF A way of making Europe.</t>
  </si>
  <si>
    <t>10.1016/j.ress.2023.109121</t>
  </si>
  <si>
    <t>8Q8XV</t>
  </si>
  <si>
    <t>WOS:000927484100001</t>
  </si>
  <si>
    <t>Akcay, A; Topan, E; van Houtum, GJ</t>
  </si>
  <si>
    <t>Akcay, Alp; Topan, Engin; van Houtum, Geert-Jan</t>
  </si>
  <si>
    <t>Machine tools with hidden defects: Optimal usage for maximum lifetime value</t>
  </si>
  <si>
    <t>Markov decision processes; manufacturing operations; inspection planning; tool management</t>
  </si>
  <si>
    <t>MAINTENANCE POLICIES; JOINT OPTIMIZATION; INSPECTION; MODEL; REPLACEMENT; SYSTEMS</t>
  </si>
  <si>
    <t>We consider randomly failing high-precision machine tools in a discrete manufacturing setting. Before a tool fails, it goes through a defective phase where it can continue processing new products. However, the products processed by a defective tool do not necessarily generate the same reward obtained from the ones processed by a normal tool. The defective phase of the tool is not visible and can only be detected by a costly inspection. The tool can be retired from production to avoid a tool failure and save its salvage value; however, doing so too early causes not fully using the production potential of the tool. We build a Markov decision model and study when it is the right moment to inspect or retire a tool with the objective of maximizing the total expected reward obtained from an individual tool. The structure of the optimal policy is characterized. The implementation of our model by using the real-world maintenance logs at the Philips shaver factory shows that the value of the optimal policy can be substantial compared to the policy currently used in practice.</t>
  </si>
  <si>
    <t>[Akcay, Alp; van Houtum, Geert-Jan] Eindhoven Univ Technol, Dept Ind Engn &amp; Innovat Sci, Eindhoven, Netherlands; [Topan, Engin] Univ Twente, Dept Ind Engn &amp; Business Informat Syst, Enschede, Netherlands</t>
  </si>
  <si>
    <t>Eindhoven University of Technology; University of Twente</t>
  </si>
  <si>
    <t>Akcay, A (corresponding author), Eindhoven Univ Technol, Dept Ind Engn &amp; Innovat Sci, Eindhoven, Netherlands.</t>
  </si>
  <si>
    <t>a.e.akcay@tue.nl</t>
  </si>
  <si>
    <t>Topan, Engin/AAM-7679-2020; Akcay, Alp/IQU-6019-2023; van Houtum, Geert-Jan/AAK-8668-2021</t>
  </si>
  <si>
    <t>van Houtum, Geert-Jan/0000-0003-4225-5434; Akcay, Alp/0000-0003-2000-6816</t>
  </si>
  <si>
    <t>European Commission H2020-ECSEL Project [MANTIS-662189]</t>
  </si>
  <si>
    <t>European Commission H2020-ECSEL Project(European Union (EU)European Commission Joint Research Centre)</t>
  </si>
  <si>
    <t>The authors gratefully acknowledge the financial support by European Commission H2020-ECSEL Project MANTIS-662189.</t>
  </si>
  <si>
    <t>10.1080/24725854.2020.1739786</t>
  </si>
  <si>
    <t>OK5MZ</t>
  </si>
  <si>
    <t>WOS:000529514900001</t>
  </si>
  <si>
    <t>Sharma, NR; Mishra, AK; Jain, S</t>
  </si>
  <si>
    <t>Sharma, Niraj Ranjan; Mishra, Arvind Kumar; Jain, Sandeep</t>
  </si>
  <si>
    <t>OEE improvement of mining shovels by survival analysis and linear optimisation as per sustainable development goals</t>
  </si>
  <si>
    <t>OEE; sustainability; ML; cost optimisation; mining shovel; RUL</t>
  </si>
  <si>
    <t>PERFORMANCE-MEASUREMENT; MAINTENANCE; MODEL; PROGNOSTICS; MANAGEMENT; FRAMEWORK; FLEET</t>
  </si>
  <si>
    <t>Sustainability is acknowledged as an emerging megatrend in business that significantly affects companies' survival and competitiveness in the market-place. Environmental, global workforce and complex supply chain networks have created pressures to have a clear vision and improve sustainability due to geopolitical dimensions. As per United Nations (UN), Sustainable Development Goals (SDGs), responsible production and consumption (SDG 12), and industry, innovation and infrastructure (SDG 9), and attain higher economic scales of productivity (SDG 8) oblige to drive productivity improvement. The mining maintenance costs constitute around 30% to 40% of the direct mining costs in mining due to diverse operating conditions. First, this article aims to develop the Cox regression Machine Learning (ML) model to derive shovels' Remaining Useful Life (RUL). Second, formulate and model the maintenance schedule optimisation of mining equipment. Third, test and validate the cost optimisation model by deploying Decision Optimisation (DO) ILOG CPLEX to combine maintenance schedules of Preventive Maintenance (PM) and Predictive Maintenance (PdM). Finally, the data-driven actions demonstrate operating cost reduction through the metrics of Overall Equipment Effectiveness (OEE), Overall Throughput Effectiveness (OTE) and Impact Factor (IF) computation. Further, this article demonstrates the benefits of IF improvements through a case study. The combined optimised maintenance reduced shovels' maintenance by 2.27 hours per combined schedule, which led to the potential 'OEE': improvement between 2.7% and 7.2% of different shovels and which is a measure of equipment productivity. The computed IF improvement for mining shovels is 49% and is aligned as per the SDG of responsible production.</t>
  </si>
  <si>
    <t>[Sharma, Niraj Ranjan] Indian Sch Mines, Min Engn, Indian Inst Technol, Dhanbad, Bihar, India; [Mishra, Arvind Kumar] Indian Inst Technol, Min Engn, Dhanbad, Bihar, India; [Jain, Sandeep] Hewlett Packard Enterprise Co, Supply Chain, Bangalore, Karnataka, India</t>
  </si>
  <si>
    <t>Indian Institute of Technology System (IIT System); Indian Institute of Technology (Indian School of Mines) Dhanbad; Indian Institute of Technology System (IIT System); Indian Institute of Technology (Indian School of Mines) Dhanbad</t>
  </si>
  <si>
    <t>Sharma, NR (corresponding author), Indian Sch Mines, Indian Inst Technol, Dhanbad 826001, Bihar, India.</t>
  </si>
  <si>
    <t>nirajpauwels@gmail.com</t>
  </si>
  <si>
    <t>Mishra, Arvind Kumar/JZT-8823-2024; Mishra, Arvind/H-1647-2019</t>
  </si>
  <si>
    <t>Mishra, Arvind/0000-0002-1921-2973; Jain, Sandeep/0000-0002-7498-8272</t>
  </si>
  <si>
    <t>10.1080/17480930.2022.2044138</t>
  </si>
  <si>
    <t>1K1HP</t>
  </si>
  <si>
    <t>WOS:000765225300001</t>
  </si>
  <si>
    <t>Zhao, X; Lv, ZH; Qiu, QA; Wu, YG</t>
  </si>
  <si>
    <t>Zhao, Xian; Lv, Zuheng; Qiu, Qingan; Wu, Yaguang</t>
  </si>
  <si>
    <t>Designing two-level rescue depot location and dynamic rescue policies for unmanned vehicles</t>
  </si>
  <si>
    <t>Rescue; Mission abort; Rescue depots location; Mission success probability; System survivability</t>
  </si>
  <si>
    <t>MISSION ABORT POLICY; SYSTEMS SUBJECT; MAINTENANCE; MODEL; OPTIMIZATION; RELIABILITY</t>
  </si>
  <si>
    <t>Unmanned vehicles are often required to execute critical missions in harsh environment, causing system failure which may occur during the mission execution or rescue procedure. Existing research has focused primarily on policies during mission execution to reduce failure risk. The paper investigates risk evaluation and control policies both in the mission execution and rescue phases, and proposes two-level rescue depot location policies and dynamic rescue policies including mission abort and maintenance policies for unmanned vehicle systems. Specifically, considering multi-state characteristics of unmanned vehicle systems, two-level rescue depots are introduced to satisfy maintenance demands by providing different types of maintenance. To improve surviv-ability in the mission execution, dynamic mission abort policies are executed when the number of failed com-ponents reaches predetermined thresholds, and then a rescue procedure is initiated. During the rescue, elaborate designed rescue depots location and dynamic maintenance policies are developed to reduce the risk of failure in the rescue. After a successful rescue, unmanned vehicles can re-attempt missions. The recursive algorithm and discretization algorithm are used to derive and evaluate mission success probability, system survivability, and expected cost of losses, and optimization models based on three indicators are formulated. The superiority of the proposed policies is demonstrated by a case study of a UAV system.</t>
  </si>
  <si>
    <t>[Zhao, Xian; Lv, Zuheng; Qiu, Qingan; Wu, Yaguang] Beijing Inst Technol, Sch Management &amp; Econ, Beijing 100081, Peoples R China</t>
  </si>
  <si>
    <t>National Natural Science Foundation of China [72131002, 71971026, 72001026]; Science and Technology Inno- vation Project of Beijing Institute of Technology [2021CX01022]</t>
  </si>
  <si>
    <t>National Natural Science Foundation of China(National Natural Science Foundation of China (NSFC)); Science and Technology Inno- vation Project of Beijing Institute of Technology</t>
  </si>
  <si>
    <t>The authors are grateful to the editor and reviewers for their constructive suggestion which greatly improves the paper. This research is supported by National Natural Science Foundation of China (72131002, 71971026 and 72001026) , Science and Technology Inno- vation Project of Beijing Institute of Technology (2021CX01022) .</t>
  </si>
  <si>
    <t>10.1016/j.ress.2023.109119</t>
  </si>
  <si>
    <t>8Z0HQ</t>
  </si>
  <si>
    <t>WOS:000933070500001</t>
  </si>
  <si>
    <t>Zhang, WH; Qin, JJ; Lu, DG; Liu, M; Faber, MH</t>
  </si>
  <si>
    <t>Zhang, Wei-Heng; Qin, Jianjun; Lu, Da-Gang; Liu, Min; Faber, Michael H.</t>
  </si>
  <si>
    <t>Quantification of the value of condition monitoring system with time-varying monitoring performance in the context of risk-based inspection</t>
  </si>
  <si>
    <t>MAINTENANCE; MANAGEMENT</t>
  </si>
  <si>
    <t>Condition monitoring systems (CMSs) can be used to further reduce the expected value of life-cycle cost in the context of risk-based inspection (RBI) planning. However, the degradation of CMS monitoring performance and the utilization of historical data lead to the time-varying property of CMS monitoring performance, which would significantly affect the contributions of CMS. To facilitate risk analysis, a stochastic degradation model and Bayesian theorem are utilized to model the time-varying monitoring performance. Furthermore, a selection method of the CMS identification threshold is proposed to improve the CMS contributions to RBI planning further. To quantify the CMS contributions from a cost-effective perspective, this paper proposes an analytical framework on the value of CMS information analysis, which integrates condition-based maintenance action into RBI planning. In this framework, the importance of considering the time-varying performance of CMS can also be quantified by value of information (VoI) analysis. A case study of fatigue-induced degradation of a welded connection is used to clarify the proposed framework, in which the value of CMS information is quantified and the importance of considering time-varying monitoring performance is highlighted. Finally, the optimal implementation strategy regarding the CMS operation period is identified based on the VoI metric.</t>
  </si>
  <si>
    <t>[Zhang, Wei-Heng; Lu, Da-Gang; Liu, Min] Harbin Inst Technol, Sch Civil Engn, Harbin, Peoples R China; [Zhang, Wei-Heng; Liu, Min; Faber, Michael H.] Aalborg Univ, Dept Built Environm, Aalborg, Denmark; [Qin, Jianjun] Shanghai Jiao Tong Univ, Sch Naval Architecture Ocean &amp; Civil Engn, State Key Lab Ocean Engn, Shanghai 200240, Peoples R China; [Qin, Jianjun] Shanghai Jiao Tong Univ, Sch Naval Architecture Ocean &amp; Civil Engn, Shanghai Key Lab Digital Maintenance Bldg &amp; Infras, Shanghai 200240, Peoples R China</t>
  </si>
  <si>
    <t>Harbin Institute of Technology; Aalborg University; Shanghai Jiao Tong University; Shanghai Jiao Tong University</t>
  </si>
  <si>
    <t>Lu, DG (corresponding author), Harbin Inst Technol, Sch Civil Engn, Harbin, Peoples R China.;Qin, JJ (corresponding author), Shanghai Jiao Tong Univ, Sch Naval Architecture Ocean &amp; Civil Engn, State Key Lab Ocean Engn, Shanghai 200240, Peoples R China.;Qin, JJ (corresponding author), Shanghai Jiao Tong Univ, Sch Naval Architecture Ocean &amp; Civil Engn, Shanghai Key Lab Digital Maintenance Bldg &amp; Infras, Shanghai 200240, Peoples R China.</t>
  </si>
  <si>
    <t>jianjunqin@sjtu.edu.cn; ludagang@hit.edu.cn</t>
  </si>
  <si>
    <t>Faber, Michael/IYS-6924-2023</t>
  </si>
  <si>
    <t>, Jianjun/0000-0003-1443-2464</t>
  </si>
  <si>
    <t>National Key Research and Develop- ment Plan of China; China Scholarship Council (CSC); [2021YFB2600500]; [201906120281]</t>
  </si>
  <si>
    <t>National Key Research and Develop- ment Plan of China(National Key Research &amp; Development Program of China); China Scholarship Council (CSC)(China Scholarship Council); ;</t>
  </si>
  <si>
    <t>This work is supported by the National Key Research and Develop- ment Plan of China (Grant No. 2021YFB2600500) . The first author is grateful to the China Scholarship Council (CSC) (Grant No. 201906120281) who supports his work at Aalborg University. The authors express our deepest gratitude to the editors and anon- ymous reviewers, whose careful work and thoughtful suggestions have helped to improve this paper considerably.</t>
  </si>
  <si>
    <t>10.1016/j.ress.2022.108993</t>
  </si>
  <si>
    <t>WOS:000896689600004</t>
  </si>
  <si>
    <t>Lewicka, D; Zakrzewska-Bielawska, AF</t>
  </si>
  <si>
    <t>Lewicka, Dagmara; Zakrzewska-Bielawska, Agnieszka Freda</t>
  </si>
  <si>
    <t>Trust and distrust in interorganisational relations-Scale development</t>
  </si>
  <si>
    <t>ORGANIZATIONAL TRUST; KNOWLEDGE; ONLINE; TRUSTWORTHINESS; AMBIVALENCE; GOVERNANCE; LEADERSHIP; SUSPICION</t>
  </si>
  <si>
    <t>Trust and distrust are considered as crucial elements in the management of hybrid interorganisational relationships with a view to helping to deal with their uncertainty and unpredictability. In this regard this paper seeks to conceptualize and clarify the interorganisational element of organizational trust and distrust and develop scales on which to measure it. The dimensions of the constructs have been tested on a sample of 400 respondents owners or top management on a representative sample by employment size. The research also attempts to identify the relationship between trust and distrust in inter-organisational relations. As a result of the research approach adopted, a one-dimensional scale for examining inter-organisational trust has been developed, as well as a two-dimensional scale for examining distrust in inter-organisational relations. The measurement scales developed and their validation conducted in this study represent a step forward towards the effective and reliable measurement of interorganisational trust and distrust. This is one of the few attempts at empirical verification of these constructs and the relationship between them, providing a comprehensive, operationally valid measure of interorganisational trust and distrust.</t>
  </si>
  <si>
    <t>[Lewicka, Dagmara] AGH Univ Sci &amp; Technol, Dept Business Management, Krakow, Poland; [Zakrzewska-Bielawska, Agnieszka Freda] Lodz Univ Technol, Dept Management, Lodz, Poland</t>
  </si>
  <si>
    <t>AGH University of Krakow; Lodz University of Technology</t>
  </si>
  <si>
    <t>Lewicka, D (corresponding author), AGH Univ Sci &amp; Technol, Dept Business Management, Krakow, Poland.</t>
  </si>
  <si>
    <t>dagal@poczta.fm</t>
  </si>
  <si>
    <t>Lewicka, Dagmara/U-8457-2019</t>
  </si>
  <si>
    <t>Lewicka, Dagmara/0000-0002-6955-7371</t>
  </si>
  <si>
    <t>National Science Centre in Poland [UMO2015/17/B/HS4/00982]; subsidy for maintenance and development of research potential AGH University of Science and Technology</t>
  </si>
  <si>
    <t>National Science Centre in Poland(National Science Centre, Poland); subsidy for maintenance and development of research potential AGH University of Science and Technology</t>
  </si>
  <si>
    <t>This research was funded by the National Science Centre in Poland (Grant number UMO2015/17/B/HS4/00982) and from the subsidy for maintenance and development of research potential AGH University of Science and Technology.</t>
  </si>
  <si>
    <t>e0279231</t>
  </si>
  <si>
    <t>10.1371/journal.pone.0279231</t>
  </si>
  <si>
    <t>8N5IZ</t>
  </si>
  <si>
    <t>WOS:000925183400038</t>
  </si>
  <si>
    <t>Zou, G; Faber, MH; González, A; Banisoleiman, K</t>
  </si>
  <si>
    <t>Zou, Guang; Faber, Michael Havbro; Gonzalez, Arturo; Banisoleiman, Kian</t>
  </si>
  <si>
    <t>Computing the value of information from periodic testing in holistic decision making under uncertainty</t>
  </si>
  <si>
    <t>Value of information; Extended Bayesian decision analysis; Decision dependency; Reliability; System maintenance</t>
  </si>
  <si>
    <t>EXPECTED VALUE; RISK-AVERSION; SENSITIVITY-ANALYSIS; PERFECT INFORMATION; OPTIMUM INSPECTION; SHIP STRUCTURES; HEALTH-CARE; MAINTENANCE; RELIABILITY; FATIGUE</t>
  </si>
  <si>
    <t>Periodic tests are often considered before making intervention decisions in the life-cycle of an engineering system. Value of information (VoI) is a strong tool to quantify the added value from future tests and support rational decision making under uncertainty. While intervention decisions can be made sequentially, the benefits of holistic decision making (HDM) are worth exploration. This paper proposes a holistic decision modelling and optimization approach, considering combined effects of interventions and dependencies in intervention decisions. An algorithm is developed for quantifying the VoI from periodic tests in holistic optimization of multiple interventions (i.e. holistic VoI), based on an extended Bayesian decision analysis framework. The proposed approach is exemplified on a decision problem in structural management, compared with a sequential decision making (SDM) approach. The proposed approach yields optimal decisions associated with higher utilities, due to capturing decision dependencies and combined effects. In addition, the proposed approach yields optimal decisions reliably (whether future tests add value or not) and without the need to prescribe decision rules. Moreover, the relationship between the holistic VoI and the VoI from each test is investigated for the first time. Sensitivities to the parameters characterizing decision contexts and capacities of testing methods are given.</t>
  </si>
  <si>
    <t>[Zou, Guang; Banisoleiman, Kian] Lloyds Register Grp Ltd, Lloyds Register Global Technol Ctr, Southampton, Hants, England; [Zou, Guang; Gonzalez, Arturo] Univ Coll Dublin, Sch Civil Engn, Dublin, Ireland; [Faber, Michael Havbro] Aalborg Univ, Dept Civil Engn, Aalborg, Denmark</t>
  </si>
  <si>
    <t>University College Dublin; Aalborg University</t>
  </si>
  <si>
    <t>Zou, G (corresponding author), Lloyds Register Grp Ltd, Lloyds Register Global Technol Ctr, Southampton, Hants, England.;Zou, G (corresponding author), Univ Coll Dublin, Sch Civil Engn, Dublin, Ireland.</t>
  </si>
  <si>
    <t>European Union's Horizon 2020 research and innovation programme [642453]</t>
  </si>
  <si>
    <t>European Union's Horizon 2020 research and innovation programme</t>
  </si>
  <si>
    <t>The authors would like to express their gratitude to the European Union's Horizon 2020 research and innovation programme for their funding toward this project under the Marie Sklodowska-Curie grant agreement No. 642453 (http://trussitiLeu).</t>
  </si>
  <si>
    <t>10.1016/j.ress.2020.107242</t>
  </si>
  <si>
    <t>PQ6SS</t>
  </si>
  <si>
    <t>WOS:000606675400002</t>
  </si>
  <si>
    <t>Hanafi, N; Saadatfar, H</t>
  </si>
  <si>
    <t>Hanafi, Nooshin; Saadatfar, Hamid</t>
  </si>
  <si>
    <t>A fast DBSCAN algorithm for big data based on efficient density calculation</t>
  </si>
  <si>
    <t>Data Mining; Clustering; Big Data; DBSCAN Algorithm</t>
  </si>
  <si>
    <t>CLUSTERING-ALGORITHM</t>
  </si>
  <si>
    <t>Today, data is being generated with a high speed. Managing large volume of data has become a challenge in the current age. Clustering is a method to analyze data that is generated in the Internet. Various approaches have been presented for data clustering until now. Among them, DBSCAN is a most well-known density-based clustering algorithm. This algorithm can detect clusters of different shapes and does not require prior knowledge about the number of clusters. A major part of the DBSCAN run-time is spent to calculate the distance of data from each other to find the neighbors of each sample in the dataset. The time complexity of this algorithm is O(n2); Therefore, it is not suitable for processing big datasets.In this paper, DBSCAN is improved so that it can be applied to big datasets. The proposed method calculates accurately each sample density based on a reduced set of data. This reduced set is called the operational set. This collection is updated periodically. The use of local samples to calculate the density has greatly reduced the computational cost of clustering. The empirical results on various datasets of different sizes and dimensions show that the proposed algorithm increases the clustering speed compared to recent related works while having similar accuracy as the original DBSCAN algorithm.</t>
  </si>
  <si>
    <t>[Hanafi, Nooshin; Saadatfar, Hamid] Univ Birjand, Comp Engn Dept, Birjand, Iran</t>
  </si>
  <si>
    <t>University of Birjand</t>
  </si>
  <si>
    <t>Saadatfar, H (corresponding author), Univ Birjand, Comp Engn Dept, Birjand, Iran.</t>
  </si>
  <si>
    <t>nooshinhanafi@birjand.ac.ir; saadatfar@birjand.ac.ir</t>
  </si>
  <si>
    <t>Saadatfar, Hamid/AAF-5037-2021</t>
  </si>
  <si>
    <t>Saadatfar, Hamid/0000-0002-6130-8450</t>
  </si>
  <si>
    <t>10.1016/j.eswa.2022.117501</t>
  </si>
  <si>
    <t>1T7RV</t>
  </si>
  <si>
    <t>WOS:000804926200004</t>
  </si>
  <si>
    <t>Dong, QL; Cui, LR; Gao, HD</t>
  </si>
  <si>
    <t>Dong, Qinglai; Cui, Lirong; Gao, Hongda</t>
  </si>
  <si>
    <t>A bivariate replacement policy for an imperfect repair system based on geometric processes</t>
  </si>
  <si>
    <t>Maintenance; replacement policy; delayed repair; geometric process; working time threshold; working age threshold</t>
  </si>
  <si>
    <t>MAINTENANCE POLICIES; MODEL; RELIABILITY</t>
  </si>
  <si>
    <t>A repair replacement model for a deteriorating system with delayed repair is studied, in which the successive working times after repair and the consecutive repair times of the system are described by geometric processes. The instantaneous availability is studied in the case of general distributions for the working time, repair time and delayed repair time. A bivariate replacement policy is considered, that is, the system is replaced whenever the working age of the system reaches T or at the first hitting time of the working time after repair with respect to the working time threshold tau, whichever occurs first. The explicit expression of the long-run average cost rate under the replacement policies is derived. The corresponding optimal replacement policy can be determined numerically, and numerical examples are presented to demonstrate the application of the developed model and approach. It is shown that the optimal solution and optimal value are sensitive to the tiny change in the ratios of the Geometric processes and the expectation of the delayed repair time.</t>
  </si>
  <si>
    <t>[Dong, Qinglai; Cui, Lirong; Gao, Hongda] Beijing Inst Technol, Sch Management &amp; Econ, Beijing 100081, Peoples R China; [Dong, Qinglai] Yanan Univ, Sch Math &amp; Comp Sci, Yanan, Peoples R China</t>
  </si>
  <si>
    <t>Dong, QL (corresponding author), Beijing Inst Technol, Sch Management &amp; Econ, Beijing 100081, Peoples R China.</t>
  </si>
  <si>
    <t>qinglaidong@163.com</t>
  </si>
  <si>
    <t>Cui, Lirong/A-6687-2011</t>
  </si>
  <si>
    <t>The author(s) disclosed receipt of the following financial support for the research, authorship, and/or publication of this article: This work was supported by the National Natural Science Foundation of China under Grant 71631001.</t>
  </si>
  <si>
    <t>10.1177/1748006X18817359</t>
  </si>
  <si>
    <t>WOS:000478598600014</t>
  </si>
  <si>
    <t>Lakemond, N; Holmberg, G</t>
  </si>
  <si>
    <t>Lakemond, Nicolette; Holmberg, Gunnar</t>
  </si>
  <si>
    <t>The quest for combined generativity and criticality in digital-physical complex systems</t>
  </si>
  <si>
    <t>Digital -physical systems; Platform -based archi; tecture; Criticality; Generativity; Innovation; Avionics</t>
  </si>
  <si>
    <t>OPEN INNOVATION; BOUNDARY RESOURCES; PERSPECTIVES; MANAGEMENT; FIRMS</t>
  </si>
  <si>
    <t>The transformation from physical systems into digital-physical systems puts new engineering and technology management challenges at the foreground. This paper explores how industrial firms engaged in such systems simultaneously can address the seemingly disjunct properties of criticality and generativity in platform-based systems including the connected (inter)-organizational processes and related strategic choices. The in-depth embedded single case study of avionics, the electronics on aircraft, underline the importance of (1) considering organizational and technology aspects together, (2) the long-term gradual transition towards digitalization, and (3) openness in innovation including temporality and cross-industry aspects. Digital innovation appears as a double-edged sword as it enables mastering an increasingly complex system, facilitating its safe operation and maintenance, but at the same time requires new approaches to manage increased complexity during the development and evolution of systems.</t>
  </si>
  <si>
    <t>[Lakemond, Nicolette; Holmberg, Gunnar] Linkoping Univ, S-58183 Linkoping, Sweden; [Holmberg, Gunnar] Saab AB, S-58188 Linkoping, Sweden</t>
  </si>
  <si>
    <t>Linkoping University; Saab Group</t>
  </si>
  <si>
    <t>Lakemond, N (corresponding author), Linkoping Univ, S-58183 Linkoping, Sweden.</t>
  </si>
  <si>
    <t>nicolette.lakemond@liu.se</t>
  </si>
  <si>
    <t>Holmberg, Gunnar/IZQ-1357-2023; Lakemond, Nicolette/C-6197-2015</t>
  </si>
  <si>
    <t>JUL-SEP</t>
  </si>
  <si>
    <t>10.1016/j.jengtecman.2022.101701</t>
  </si>
  <si>
    <t>5D4WF</t>
  </si>
  <si>
    <t>WOS:000864943300001</t>
  </si>
  <si>
    <t>Qiu, QG; Cui, LR</t>
  </si>
  <si>
    <t>Qiu, Qingan; Cui, Lirong</t>
  </si>
  <si>
    <t>Availability analysis for periodically inspected systems subject to multiple failure modes</t>
  </si>
  <si>
    <t>Availability analysis; periodic inspections; multiple failure modes; renewal process</t>
  </si>
  <si>
    <t>OPTIMAL REPLACEMENT POLICY; REPAIRABLE SYSTEM; DEGRADING SYSTEMS; MAINTENANCE; OPTIMIZATION</t>
  </si>
  <si>
    <t>The instantaneous availability and steady-state availability of a competing-risk system undergoing periodic inspections are studied in this paper. Specifically, a repairable system with a working state and M failure modes is considered. Each failure mode has a random failure time. When the system fails from the ith(i = 1, 2, ..., M) failure mode, corresponding corrective repair (CR) is performed which takes a random time Y-i (i = 1, 2, ..., M). Two maintenance models are formulated. At the time of inspection, if the system is working, then the system is restored to as good as new condition in Model 1 while no maintenance actions are taken in Model 2. Some analytical results on the instantaneous availability and the steady-state availability for the two models are derived. A numerical example for an Integrated Digital Communication System is presented to demonstrate the application of the developed approach.</t>
  </si>
  <si>
    <t>[Qiu, Qingan; Cui, Lirong] Beijing Inst Technol, Sch Management &amp; Econ, Management Sci, Beijing, Peoples R China</t>
  </si>
  <si>
    <t>Qiu, QA (corresponding author), Beijing Inst Technol, Sch Management &amp; Econ, Management Sci, Beijing, Peoples R China.</t>
  </si>
  <si>
    <t>qiuqingan@bit.edu.cn</t>
  </si>
  <si>
    <t>Cui, Lirong/JHU-9897-2023; , Qingan/AEV-3558-2022</t>
  </si>
  <si>
    <t>National Natural Science Foundation of China [71371031, 71631001]</t>
  </si>
  <si>
    <t>National Natural Science Foundation of China [grant number 71371031 &amp; 71631001].</t>
  </si>
  <si>
    <t>10.1080/23302674.2017.1384961</t>
  </si>
  <si>
    <t>VJ6MK</t>
  </si>
  <si>
    <t>WOS:000615117300003</t>
  </si>
  <si>
    <t>Su, D; Liu, YS; Li, XT; Cao, ZC</t>
  </si>
  <si>
    <t>Su, Dan; Liu, Yisheng; Li, Xintong; Cao, Zhicheng</t>
  </si>
  <si>
    <t>Study on optimization of inspection mechanism of concrete beam bridge</t>
  </si>
  <si>
    <t>China is shifting from the stage of large-scale bridge construction to the stage of equal emphasis on the construction and maintenance of bridges. The problems of low efficiency and high cost in bridge inspection are becoming more and more prominent, which threaten people's life safety. In this paper, the deterioration state prediction model of concrete beam bridge under Boosting DT C5.0 was established as the basis, and optimization suggestions were put forward in terms of bridge inspection standards and processes, which aims to perfect the bridge inspection mechanism, realize the fine management of the bridge and prolong the service life of the bridge. Research shows that: first, the bridge inspection standard with a single index should be improved into the bridge inspection standard with multiple indexes, so as to scientifically determine the bridges that need to be inspected and optimize the allocation of maintenance resources. Second, the bridge deterioration state prediction model is used to add a screening mechanism for the bridge in the inspection plan, which can effectively reduce the workload of bridge inspection and enhance the inspection efficiency. Third, the deterioration phenomenon of coexistence between adjacent traffic assets should be fully considered and the linkage inspection mechanism of adjacent traffic assets should be established to improve the effect of bridge inspection.</t>
  </si>
  <si>
    <t>[Su, Dan; Liu, Yisheng; Li, Xintong] Beijing Jiaotong Univ, Sch Econ &amp; Management, Dept Construct Management, Beijing, Peoples R China; [Cao, Zhicheng] China Astronaut Stand Inst, Beijing, Peoples R China</t>
  </si>
  <si>
    <t>Su, D (corresponding author), Beijing Jiaotong Univ, Sch Econ &amp; Management, Dept Construct Management, Beijing, Peoples R China.</t>
  </si>
  <si>
    <t>dannasu93@126.com</t>
  </si>
  <si>
    <t>su, dan/GYJ-1940-2022</t>
  </si>
  <si>
    <t>National Natural Science Foundation of China [71871014]; China National Key R&amp;D Program during the 13th Five-year Plan Period [2018YFC0704402-02]</t>
  </si>
  <si>
    <t>National Natural Science Foundation of China(National Natural Science Foundation of China (NSFC)); China National Key R&amp;D Program during the 13th Five-year Plan Period</t>
  </si>
  <si>
    <t>The research was supported by the National Natural Science Foundation of China (71871014). The China National Key R&amp;D Program during the 13th Five-year Plan Period (2018YFC0704402-02).</t>
  </si>
  <si>
    <t>e0256028</t>
  </si>
  <si>
    <t>10.1371/journal.pone.0256028</t>
  </si>
  <si>
    <t>TZ4EI</t>
  </si>
  <si>
    <t>WOS:000684426400063</t>
  </si>
  <si>
    <t>Zheng, R; Xing, Y; Peng, ZL; Ren, XY; Tan, KL</t>
  </si>
  <si>
    <t>Zheng, Rui; Xing, Yuan; Peng, Zhanglin; Ren, Xiangyun; Tan, Kanlun</t>
  </si>
  <si>
    <t>Economic design of a self-healing policy with limited agents</t>
  </si>
  <si>
    <t>Self-healing; Condition-based maintenance; Stochastic dynamic programming; Backward induction algorithm</t>
  </si>
  <si>
    <t>MAINTENANCE POLICIES; RELIABILITY; NETWORKS; SYSTEMS; PERFORMANCE; FRAMEWORK; BEHAVIOR</t>
  </si>
  <si>
    <t>Self-healing has been increasingly integrated into systems to enhance their reliability. Many popular intrinsic self-healing policies are not cost-effective because their self-healing actions are not always performed at the right time. This paper investigates the economic design of a self-healing policy with limited agents for an intelligent system that executes a mission of finite length. Several healing agents are embedded into the system before the mission. The system performs self-detection at equidistant epochs to reveal deterioration levels. The deterioration can be randomly healed by releasing healing agents, and the healing effect depends on the number of agents released. At each inspection epoch, a decision is made on how many healing agents to be released. The objective is to jointly determine the capacity of agents and the self-healing policy to minimize the expected total cost over the mission length. The optimization problem is formulated in the stochastic dynamic programming framework. A backward induction algorithm is developed to find the optimal solution. A numerical example is provided to illustrate the effectiveness of the proposed approach. The comparison with a control-limit policy confirms the outstanding performance of the proposed policy.</t>
  </si>
  <si>
    <t>[Zheng, Rui; Peng, Zhanglin] Hefei Univ Technol, Sch Management, Hefei 230009, Peoples R China; [Zheng, Rui; Peng, Zhanglin] Hefei Univ Technol, Key Lab Proc Optimizat &amp; Intelligent Decis Making, Minist Educ, Hefei 230009, Peoples R China; [Xing, Yuan] Tianjin Univ, Sch Mech Engn, Key Lab Mech Theory &amp; Equipment Design, Minist Educ, Tianjin 300350, Peoples R China; [Ren, Xiangyun; Tan, Kanlun] State Key Lab Intelligent Vehicle Safety Technol, Chongqing 400000, Peoples R China</t>
  </si>
  <si>
    <t>Hefei University of Technology; Hefei University of Technology; Tianjin University</t>
  </si>
  <si>
    <t>rui_zheng@hfut.edu.cn</t>
  </si>
  <si>
    <t>National Natural Science Foundation of China [72371095, 72431005, 72401085, 72471069]; Projects of International Cooperation and Exchanges NSFC [W2411063]; Anhui Provincial Natural Science Foundation [2308085MG225]</t>
  </si>
  <si>
    <t>National Natural Science Foundation of China(National Natural Science Foundation of China (NSFC)); Projects of International Cooperation and Exchanges NSFC; Anhui Provincial Natural Science Foundation(Natural Science Foundation of Anhui Province)</t>
  </si>
  <si>
    <t>This work is supported by the National Natural Science Foundation of China (72371095; 72431005; 72401085; 72471069) , Projects of International Cooperation and Exchanges NSFC (W2411063) , and by Anhui Provincial Natural Science Foundation (2308085MG225) .</t>
  </si>
  <si>
    <t>10.1016/j.cie.2024.110740</t>
  </si>
  <si>
    <t>N9Z3I</t>
  </si>
  <si>
    <t>WOS:001367824600001</t>
  </si>
  <si>
    <t>Wang, JT; Ma, XB; Yang, L; Qiu, QA; Shang, LJ; Wang, JJ</t>
  </si>
  <si>
    <t>Wang, Jiantai; Ma, Xiaobing; Yang, Li; Qiu, Qingan; Shang, Lijun; Wang, Jingjing</t>
  </si>
  <si>
    <t>A hybrid inspection-replacement policy for multi-stage degradation considering imperfect inspection with variable probabilities</t>
  </si>
  <si>
    <t>Inspection model; Replacement planning; Decision making; Multi-stage degradation; Cost effectiveness; Inspection errors</t>
  </si>
  <si>
    <t>SYSTEM; FAILURE; MODEL</t>
  </si>
  <si>
    <t>Inspections are crucial to reveal asset health and support preventive maintenance, which, however, are susceptible to multiple uncertainties due to human errors and limitations of diagnosing technologies. This often leads to inspection errors with variable probabilities affected by operational time/state, particularly for multistage degradation. This paper investigates a hybrid inspection-replacement policy for two-stage continuously degrading assets subject to time-state-variant inspection errors, either false positive or false negative. The error probabilities upon each inspection are related to (a) the accumulated operational age, and (b) whether encounters defects. To mitigate loss due to errors, a hybrid replacement planning integrating three types of replacements is scheduled. In particular, age-centered replacement is implemented to relieve uncertainty interference of inspection errors. Additionally, threshold-based replacement (when degradation attains a threshold) and defect-induced replacement (when the asset is reported as defective) are executed to ensure timely response to state variations. The long run cost rate is minimized through the joint optimization of the inspection interval, degradation threshold and age limit. The applicability of the proposed model is demonstrated through numerical experiments conducted on operations &amp; maintenance management of high-speed train bearing, which is proved to be cost-effective than several comparative models.</t>
  </si>
  <si>
    <t>[Wang, Jiantai; Ma, Xiaobing; Yang, Li] Beihang Univ, Sch Reliabil &amp; Syst Engn, Beijing, Peoples R China; [Qiu, Qingan] Beijing Inst Technol, Sch Management &amp; Econ, Beijing, Peoples R China; [Shang, Lijun] Foshan Univ, Sch Qual Management &amp; Standardizat, Foshan, Peoples R China; [Wang, Jingjing] Qingdao Univ Technol, Sch Management Engn, Qingdao, Peoples R China</t>
  </si>
  <si>
    <t>Beihang University; Beijing Institute of Technology; Foshan University; Qingdao University of Technology</t>
  </si>
  <si>
    <t>Shang, Lijun/AAT-8172-2020; Yang, Li/ADU-8475-2022; , Qingan/AEV-3558-2022</t>
  </si>
  <si>
    <t>National Natural Science Foundation of China [72101010, 72001026, 72371030]; Double -First Class Special Budget [ZG216S21C3]; Central University Foundation Scientific Research Fund Special Fund [KG16166501]; Basic Technical Research Project of China [JSZL2018601B004]</t>
  </si>
  <si>
    <t>National Natural Science Foundation of China(National Natural Science Foundation of China (NSFC)); Double -First Class Special Budget; Central University Foundation Scientific Research Fund Special Fund; Basic Technical Research Project of China</t>
  </si>
  <si>
    <t>This work is supported partially by the National Natural Science Foundation of China (Grant No. 72101010, 72001026, 72371030) , the Double -First Class Special Budget (Grant No. ZG216S21C3) , the Central University Foundation Scientific Research Fund Special Fund (Grant No. KG16166501) and Basic Technical Research Project of China (Grant JSZL2018601B004).</t>
  </si>
  <si>
    <t>10.1016/j.ress.2023.109629</t>
  </si>
  <si>
    <t>U1MO3</t>
  </si>
  <si>
    <t>WOS:001082515500001</t>
  </si>
  <si>
    <t>Qarahasanlou, AN; Barabadi, A; Saleki, M; Rahimazar, A; Rezakhania, P; Gholamia, M</t>
  </si>
  <si>
    <t>Qarahasanlou, Ali Nouri; Barabadi, Abbas; Saleki, Meisam; Rahimazar, Ali; Rezakhania, Parisa; Gholamia, Masoume</t>
  </si>
  <si>
    <t>Enhancing fuel injection system reliability through Weibull family functions analysis</t>
  </si>
  <si>
    <t>JOURNAL OF SUSTAINABLE MINING</t>
  </si>
  <si>
    <t>Mining truck; reliability; weibull distribution family; proportional hazard model; fuel injection system</t>
  </si>
  <si>
    <t>MODEL; MAINTENANCE; ENVIRONMENT; REGRESSION</t>
  </si>
  <si>
    <t>The efficient fi cient operation of heavy machinery is crucial to the success of mining and civil construction operations. To guarantee this performance, equipment performance is assessed using the Reliability Index, which analyzes failures to study the ability of a system to carry out its intended functions under predetermined conditions. On the other hand, the failure rate and operational environmental condition (such as management decisions, maintenance performance, etc., that are defined fi ned as risk factors) over the life cycle of industrial systems pose a significant fi cant challenge to reliability analysis. This paper proposes an approach to address these challenges by extending Weibull family functions with regression models. Then, the effectiveness of this approach using 12-month failure data from the Komatsu 785-5 dump- truck engine refueling system is demonstrated. The most appropriate reliability function for two scenarios with different environmental conditions over the performance interval is fi tted. The results indicate that both scenarios exhibit lower reliability than the baseline, highlighting the influence fl uence of environmental conditions on equipment reliability.</t>
  </si>
  <si>
    <t>[Qarahasanlou, Ali Nouri] UiT Arctic Univ Norway, Fac Sci &amp; Technol, Dept Technol &amp; Safety, Tromso, Norway; [Barabadi, Abbas] UiT Arctic Univ Norway, Syst Technol &amp; Safety, Tromso, Norway; [Saleki, Meisam] Univ Sains Malaysia USM, Sch Mat &amp; Minerals Resources Engn, George Town, Penang, Malaysia; [Rahimazar, Ali] Univ Tehran, Tehran, Iran; [Rezakhania, Parisa; Gholamia, Masoume] Imam Khomeini Int Univ, Fac Tech &amp; Engn, Qazvin, Iran</t>
  </si>
  <si>
    <t>UiT The Arctic University of Tromso; UiT The Arctic University of Tromso; Universiti Sains Malaysia; University of Tehran; Imam Khomeini International University</t>
  </si>
  <si>
    <t>Saleki, M (corresponding author), Univ Sains Malaysia USM, Sch Mat &amp; Minerals Resources Engn, George Town, Penang, Malaysia.</t>
  </si>
  <si>
    <t>msaleki@usm.my</t>
  </si>
  <si>
    <t>Saleki, Meisam/KPY-6796-2024</t>
  </si>
  <si>
    <t>Glowny Instytut Gornictwa</t>
  </si>
  <si>
    <t>Katowice</t>
  </si>
  <si>
    <t>Plac Gwarkow 1, Katowice, POLAND</t>
  </si>
  <si>
    <t>2543-4950</t>
  </si>
  <si>
    <t>2300-3960</t>
  </si>
  <si>
    <t>J SUSTAIN MINING</t>
  </si>
  <si>
    <t>J. Sustainable Mining</t>
  </si>
  <si>
    <t>10.46873/2300-3960.1429</t>
  </si>
  <si>
    <t>Green &amp; Sustainable Science &amp; Technology; Mining &amp; Mineral Processing</t>
  </si>
  <si>
    <t>Science &amp; Technology - Other Topics; Mining &amp; Mineral Processing</t>
  </si>
  <si>
    <t>D5Y6J</t>
  </si>
  <si>
    <t>WOS:001296936400004</t>
  </si>
  <si>
    <t>Pourbahrami, S; Khanli, LM; Azimpour, S</t>
  </si>
  <si>
    <t>Pourbahrami, Shahin; Khanli, Leyli Mohammad; Azimpour, Sohrab</t>
  </si>
  <si>
    <t>A novel and efficient data point neighborhood construction algorithm based on Apollonius circle</t>
  </si>
  <si>
    <t>Apollonius circle; Geometric patterns; Neighborhood construction</t>
  </si>
  <si>
    <t>GRAPH CLASSIFIER; SOCIAL NETWORKS; DENSITY PEAKS; CONNECTIVITY; DESIGN</t>
  </si>
  <si>
    <t>Neighborhood construction models are important in finding connection among the data points, which helps demonstrate interrelations among the information. Hence, employing a new approach to find neighborhood among the data points is a challenging issue. The methods, suggested so far, are not useful for simultaneous analysis of distances and precise examination of the geometric position of the data as well as their geometric relationships. Moreover, most of the suggested algorithms depend on regulating parameters including number of neighborhoods and limitations in fixed regions. The purpose of the proposed algorithm is to detect and offer an applied geometric pattern among the data through data mining. Precise geometric patterns are examined according to the relationships among the data in neighborhood space. These patterns can reveal the behavioural discipline and similarity across the data. It is assumed that there is no prior information about the data sets at hand. The aim of the present research study is to locate the precise neighborhood using Apollonius circle, which can help us identify the neighborhood state of data points. High efficiency of Apollonius structure in assessing local similarities among the observations has opened a new field of the science of geometry in data mining. In order to assess the proposed algorithm, its precision is compared with the state-of-the-art and well-known (k-Nearest Neighbor and epsilon-neighborhood) algorithms. (C) 2018 Elsevier Ltd. All rights reserved.</t>
  </si>
  <si>
    <t>[Pourbahrami, Shahin; Khanli, Leyli Mohammad] Univ Tabriz, Fac Elect &amp; Comp Engn, Comp Engn Dept, Tabriz, Iran; [Azimpour, Sohrab] Univ Farhangian, Fac Math, Math Dept, Tehran, Iran</t>
  </si>
  <si>
    <t>University of Tabriz</t>
  </si>
  <si>
    <t>Khanli, LM (corresponding author), Univ Tabriz, Fac Elect &amp; Comp Engn, Comp Engn Dept, Tabriz, Iran.</t>
  </si>
  <si>
    <t>sh.pourbahrami@tabrizu.ac.ir; l-khanli@tabrizu.ac.ir; azimpour@cfu.ac.ir</t>
  </si>
  <si>
    <t>pourbahrami, shahin/ABI-2364-2020; Khanli, Leyli/D-7377-2017</t>
  </si>
  <si>
    <t>Mohammad Khanli, Leyli/0000-0001-7394-5054</t>
  </si>
  <si>
    <t>10.1016/j.eswa.2018.07.066</t>
  </si>
  <si>
    <t>GX9DC</t>
  </si>
  <si>
    <t>WOS:000448097700005</t>
  </si>
  <si>
    <t>Zhao, X; Li, R; Cao, S; Qiu, QA</t>
  </si>
  <si>
    <t>Zhao, Xian; Li, Rong; Cao, Shuai; Qiu, Qingan</t>
  </si>
  <si>
    <t>Joint modeling of loading and mission abort policies for systems operating in dynamic environments</t>
  </si>
  <si>
    <t>Safety-critical system; Load; Mission abort; Dynamic environments; Semi-regenerative process</t>
  </si>
  <si>
    <t>CONDITION-BASED MAINTENANCE; RELIABILITY; SUBJECT; OPTIMIZATION; ALGORITHM</t>
  </si>
  <si>
    <t>Failures of safety-critical systems may cause huge economic losses and irretrievable disasters. The dynamic operating environment of such systems makes it more difficult to evaluate and control the risk of system failure. To enhance system safety, the existing literature mainly focuses on maintenance modeling and optimization, which can interrupt continuous mission execution. As an alternative, a mission can be aborted for quick response to high failure risk during mission execution prior to maintenance. In addition to mission abort, adjusting load is another effective way to control risk due to the dependence between load and failure risk. Improving load accelerates mission progress but increases system failure risk. Thus, an optimal load can be found to balance the risk of failure and the progress of the mission. This paper investigates the joint modeling of loading and mission abort policies for systems operating in dynamic environments. Information about dynamic environments, system degradation, and mission progress is integrated to guide loading and mission abort policies. The long-term average revenue rate of the system is derived and maximized by determining the optimal loads, system degradation and mission progress thresholds. Furthermore, two heuristic policies are proposed and numerical examples are given to illustrate the obtained results.</t>
  </si>
  <si>
    <t>[Zhao, Xian; Li, Rong; Cao, Shuai; Qiu, Qingan] Beijing Inst Technol, Sch Management &amp; Econ, Beijing, Peoples R China</t>
  </si>
  <si>
    <t>National Natural Science Foundation of China [72131002, 71971026, 72001026]; Science and Technology Innovation Project of Beijing Institute of Technology [2021CX01022, LY2022-23]</t>
  </si>
  <si>
    <t>This research is supported by National Natural Science Foundation of China (72131002, 71971026 and 72001026), Science and Technology Innovation Project of Beijing Institute of Technology (2021CX01022 and LY2022-23).</t>
  </si>
  <si>
    <t>10.1016/j.ress.2022.108948</t>
  </si>
  <si>
    <t>7S8RF</t>
  </si>
  <si>
    <t>WOS:000911018600002</t>
  </si>
  <si>
    <t>Jalal, MR; Abd Kader, A; Hamid, MFA; Kang, HS</t>
  </si>
  <si>
    <t>Jalal, Mohd Rajali; Abd Kader, Ab Saman; Hamid, Mohd Foad Abdul; Kang, Hooi Siang</t>
  </si>
  <si>
    <t>A stochastic Petri Net-based approach for operational performance estimation of quay cranes</t>
  </si>
  <si>
    <t>availability; performance assessment; quay crane; stochastic Petri Net</t>
  </si>
  <si>
    <t>RELIABILITY-ANALYSIS; SAFETY ASSESSMENT; FAILURE MODE; SYSTEM; AVAILABILITY; MAINTENANCE</t>
  </si>
  <si>
    <t>Reliability, availability, and maintainability (RAM) of quay cranes (QCs) are essential for an effective port operation. This study estimates operational RAM of QCs using the Stochastic Petri Net (SPN) modelling. Asset Performance Assessment (APA) was performed to conduct the study by a SPN model. Based on the operation and maintenance data, probability distributions of Mean Time Between Failure (MTBF) and Mean Time to Repair (MTTR) is determined by Goodness of Fit Test of Anderson Darling. Subsequently, these distributions are applied in APA to determine the frequencies of failure/breakdowns, duration of downtimes, availability, and reliability with the assistance of the SPN model and Monte Carlo Simulation. The availability of the analysed QC is 0.97 or 97%. The results of this work are verified by the comparison with historical data. The outcomes of this paper contribute to reliability, availability, maintainability, and risk management of QCs.</t>
  </si>
  <si>
    <t>[Jalal, Mohd Rajali] Univ Teknol Malaysia, Inst Vehicle Syst &amp; Engn, Johor Baharu, Johor, Malaysia; [Abd Kader, Ab Saman; Kang, Hooi Siang] Univ Teknol Malaysia, Fac Mech Engn, Johor Baharu, Johor, Malaysia; [Abd Kader, Ab Saman; Hamid, Mohd Foad Abdul; Kang, Hooi Siang] Univ Teknol Malaysia, Inst Vehicle Syst &amp; Engn, Marine Technol Ctr, Johor Baharu, Johor, Malaysia; [Jalal, Mohd Rajali] Univ Teknol Malaysia, Inst Vehicle Syst &amp; Engn, Johor Baharu 81310, Johor, Malaysia</t>
  </si>
  <si>
    <t>Universiti Teknologi Malaysia; Universiti Teknologi Malaysia; Universiti Teknologi Malaysia; Universiti Teknologi Malaysia</t>
  </si>
  <si>
    <t>Jalal, MR (corresponding author), Univ Teknol Malaysia, Inst Vehicle Syst &amp; Engn, Johor Baharu 81310, Johor, Malaysia.</t>
  </si>
  <si>
    <t>rajali@utm.my</t>
  </si>
  <si>
    <t>Kang, Henry/AAV-5212-2020</t>
  </si>
  <si>
    <t>Kang, Hooi Siang/0000-0002-0292-4376</t>
  </si>
  <si>
    <t>European Union [730888]; Universiti Teknologi Malaysia [4B313]</t>
  </si>
  <si>
    <t>European Union(European Union (EU)); Universiti Teknologi Malaysia</t>
  </si>
  <si>
    <t>This study is funded by the European Union's Horizon 2020 Research And Innovation Staff Exchange (RISE) programme, under the Marie Sklodowska-Curie grant agreement No. 730888 (Universiti Teknologi Malaysia Vot No. 4B313). The first author received financial support through a scholarship from Universiti Teknologi Malaysia for his PhD research. Companies and individuals involved in data collection in this study are highly appreciated.</t>
  </si>
  <si>
    <t>10.1002/qre.3272</t>
  </si>
  <si>
    <t>WOS:000926753000001</t>
  </si>
  <si>
    <t>Oropallo, E; Piscopo, P; Centobelli, P; Cerchione, R; Nuevo, E; Rodríguez-Prieto, A</t>
  </si>
  <si>
    <t>Oropallo, Eugenio; Piscopo, Paolo; Centobelli, Piera; Cerchione, Roberto; Nuevo, Eduardo; Rodriguez-Prieto, Alvaro</t>
  </si>
  <si>
    <t>A decision support system to assess the operational safety and economic benefits of risk-based inspection implementation strategies</t>
  </si>
  <si>
    <t>MAINTENANCE; SELECTION; MANAGEMENT; MODELS; RBM</t>
  </si>
  <si>
    <t>The modern industrial landscape is defined by increased competition, shorter response times, lower costs, and more reliable processing to meet customer demands. As a result, it has gained traction worldwide, and the necessity to undergo radical digital transformations in how they deal with processes. Specifically, it is receiving great relevance to the construction of specific decision support systems (DSSs) to help monitor industrial systems with a data -driven analytic approach, aiming to maximise reliability and efficiency. Maintenance is one of the most investigated processes based on risk -driven inspection. The Risk-Based Inspection (RBI) procedure, widely consolidated in the scientific field thanks to the publication of the API RP 581 manual of the American Petroleum Institute, is one of the most used procedures in the oil and gas sector to carry out risk assessments of the integrity of industrial components. It forms the basis for developing inspection plans within which the components to be inspected are prioritised based on the associated risk of failure. The use of non-intrusive inspection methodologies, based on non-destructive testing techniques, is incorporated into the assessment as an alternative to other traditional inspection strategies based on direct inspection. These techniques may help to reduce the number of scheduled plant shutdowns and the associated cost due to production loss. This research aims to develop a decision support system (DSS) based on the guidelines of the RBI procedure that is easy to use and open to access to support decisions in a cost-benefit analysis of the maintenance process. The system was developed focusing on a real plant, assessing the operational and financial risk of the shell and tube heat exchanger. The data used to implement the procedure in the system were provided by the company SGS specialised in industrial components ' certification and inspection. The current assessment has been performed for the damage mechanisms that affect the considered equipment: thinning, external corrosion, and CUI. All of the referred damage mechanisms are corrosion-based. None of the other multiple damage mechanisms that could affect the industrial equipment has been considered in this work.</t>
  </si>
  <si>
    <t>[Oropallo, Eugenio] Sapienza Univ Rome, Dept Comp Control &amp; Management Engn, Via Ariosto 25, I-00185 Rome, Italy; [Piscopo, Paolo] MBDA ITALIA, Via Monte Flavio 45, I-00131 Rome, Italy; [Centobelli, Piera] Univ Naples Federico II, Dept Ind Engn, Ple Tecchio 80, I-80125 Naples, Italy; [Cerchione, Roberto] Univ Naples Parthenope, Ctr Direz Napoli, Dept Engn, Isola C4, I-80143 Naples, Italy; [Nuevo, Eduardo] SGS Tecnos, Dept Ind Inspect &amp; Tech Assistance, Madrid 28042, Spain; [Rodriguez-Prieto, Alvaro] Univ Nacl Educ Distancia UNED, Dept Mfg Engn, Madrid 28040, Spain</t>
  </si>
  <si>
    <t>Sapienza University Rome; University of Naples Federico II; Telecom Italia; Parthenope University Naples; Universidad Nacional de Educacion a Distancia (UNED)</t>
  </si>
  <si>
    <t>Oropallo, E (corresponding author), Sapienza Univ Rome, Dept Comp Control &amp; Management Engn, Via Ariosto 25, I-00185 Rome, Italy.</t>
  </si>
  <si>
    <t>eugenio.oropallo@uniroma1.it; piscopo.paolo.97@gmail.com; piera.centobelli@unina.it; roberto.cerchione@uniparthenope.it; eduardo.nuevocalle@sgs.com; alvaro.rodriguez@ind.uned.es</t>
  </si>
  <si>
    <t>Rodríguez-Prieto, Álvaro/ACM-2635-2022; Oropallo, Eugenio/GXA-0231-2022; Rodriguez-Prieto, Alvaro/N-8392-2016</t>
  </si>
  <si>
    <t>Rodriguez-Prieto, Alvaro/0000-0002-0712-7472; Oropallo, Eugenio/0000-0003-3427-2568</t>
  </si>
  <si>
    <t>Industrial Research Group Advanced Failure Prognosis for Engineering Applications from the UNED [2022-CTINV-0084, 2021V/-TAJOV/006]</t>
  </si>
  <si>
    <t>Industrial Research Group Advanced Failure Prognosis for Engineering Applications from the UNED</t>
  </si>
  <si>
    <t>This work was developed within the framework of the PhD Research Stay of Eugenio Oropallo and MSc Research Stay of Paolo Piscopo both at ETSI Industriales of UNED under the supervision of Prof. Rodriguez-Prieto, being also an industrial research performed jointly within SGS Tecnos and the Industrial Research Group Advanced Failure Prognosis for Engineering Applications from the UNED, framed under the spectrum of activities of the research-results transfer contract with reference 2022-CTINV-0084 and the research project with reference 2021V/-TAJOV/006.</t>
  </si>
  <si>
    <t>10.1016/j.ssci.2024.106570</t>
  </si>
  <si>
    <t>UY0B1</t>
  </si>
  <si>
    <t>WOS:001251495800001</t>
  </si>
  <si>
    <t>Majumdar, J; Mohril, RS; Lad, BK; Kulkarni, MS</t>
  </si>
  <si>
    <t>Majumdar, Joydeep; Mohril, Ram S.; Lad, Bhupesh Kumar; Kulkarni, Makarand S.</t>
  </si>
  <si>
    <t>Logistics, Reliability, Availability, Maintainability and Safety (L-RAMS) for Intelligent, Interconnected, Digital and Distributed (I2D2) Empowered Futuristic Military Systems</t>
  </si>
  <si>
    <t>Logistics; Random access memory; Decision making; Military systems; Maintenance engineering; Military communication; Reliability; intelligent; interconnected; digital; logistics; reliability; availability; maintainability and safety in the military (ML-RAMS)</t>
  </si>
  <si>
    <t>BIG DATA; STRATEGY</t>
  </si>
  <si>
    <t>In the context of the latest generation warfare, logistics, reliability, availability, maintainability and safety (L-RAMS) of military systems shape up optimal decision making for war preparedness and sustainment. The military systems, viz., the weapon systems, the combat support systems, command and control systems, communication systems, gain combat edge and effectiveness on the battlefield when supported with insight of well-aligned RAMS models. This further influences logistics (L), viz., transportation, fleet management, warehousing, materials handling, inventory management, demand planning, etc., in decision-making loops that are adapted to the battle dynamics and aligned to mission objectives. The anticipated rise of intelligent, interconnected, digital, and distributed (I2D2) technologies in military systems is expected to influence the joint practice of L-RAMS in the military (ML-RAMS). This article explores three pertinent issues, viz., impact of I2D2 on ML-RAMS, possible solution constructs, and I2D2 influenced ML-RAMS problems. It is hoped that the article piques interest of research community in this emerging area.</t>
  </si>
  <si>
    <t>[Majumdar, Joydeep; Mohril, Ram S.; Lad, Bhupesh Kumar] Indian Inst Technol Indore, Dept Mech Engn, Indore 453552, India; [Kulkarni, Makarand S.] Indian Inst Technol, Dept Mech Engn, Mumbai, India</t>
  </si>
  <si>
    <t>Majumdar, J (corresponding author), Indian Inst Technol Indore, Dept Mech Engn, Indore 453552, India.</t>
  </si>
  <si>
    <t>phd2101103006@iiti.ac.in; phd1801203004@iiti.ac.in; bklad@iiti.ac.in; mskulkarni@iitb.ac.in</t>
  </si>
  <si>
    <t>MAJUMDAR, JOYDEEP/0000-0001-7447-7096</t>
  </si>
  <si>
    <t>IITI DRISHTI CPS Foundation, IIT Indore, India</t>
  </si>
  <si>
    <t>10.1109/TEM.2024.3370818</t>
  </si>
  <si>
    <t>LF2W7</t>
  </si>
  <si>
    <t>WOS:001185312100001</t>
  </si>
  <si>
    <t>Fu, YQ; Wang, J; Peng, R; Yang, LC; Meng, XY</t>
  </si>
  <si>
    <t>Fu, Yuqiang; Wang, Jun; Peng, Rui; Yang, Lechang; Meng, Xiaoyang</t>
  </si>
  <si>
    <t>Random-time component reallocation and system replacement policy with minimal repair</t>
  </si>
  <si>
    <t>Random working time; System replacement; Component reallocation; Minimal repair; Interval for random-time component; reallocation</t>
  </si>
  <si>
    <t>MAINTENANCE POLICIES</t>
  </si>
  <si>
    <t>The maintenance policies based on random working time guarantee the continuity of system functionality. This paper studies a random-time component reallocation and system replacement (RCS) policy, in which the random-time system replacement is to replace the system at the planned preventive time or the random working time, whichever comes first, the random-time component reallocation is to balance the degradation of components by reallocating components at random working time before system replacement, and minimal repair is implemented for failed components. To improve the efficiency and flexibility of RCS policy, we first establish an optimization model to minimize the expected system maintenance cost per unit time based on a given interval for random-time component reallocation, and analytical results are derived by comparing the proposed policy with the preventive component reallocation and random-time system replacement policy, and the simple random-time system replacement policy. Next, we construct another optimization model to maximize the interval length for the random-time component reallocation constrained by the threshold of the efficiency level of RCS policy. Numerical experiments demonstrate the performance of the RCS policy and provide guidance for the interval for the random-time component reallocation.</t>
  </si>
  <si>
    <t>[Fu, Yuqiang] Univ Sci &amp; Technol Beijing, Sch Math &amp; Phys, Beijing, Peoples R China; [Wang, Jun; Meng, Xiaoyang] Beijing Foreign Studies Univ, Int Business Sch, Beijing, Peoples R China; [Peng, Rui] Beijing Univ Technol, Sch Econ &amp; Management, Beijing, Peoples R China; [Yang, Lechang] City Univ Hong Kong, Dept Syst Engn, Hong Kong, Peoples R China; [Yang, Lechang] Univ Sci &amp; Technol Beijing, Sch Mech Engn, Beijing, Peoples R China</t>
  </si>
  <si>
    <t>University of Science &amp; Technology Beijing; Beijing Foreign Studies University; Beijing University of Technology; City University of Hong Kong; University of Science &amp; Technology Beijing</t>
  </si>
  <si>
    <t>Wang, J (corresponding author), Beijing Foreign Studies Univ, Int Business Sch, Beijing, Peoples R China.</t>
  </si>
  <si>
    <t>junwang@bfsu.edu.cn</t>
  </si>
  <si>
    <t>Peng, Rui/AAL-7506-2020; Yang, Lechang/T-8012-2019</t>
  </si>
  <si>
    <t>Fu, Yuqiang/0000-0003-0864-1243; Yang, Lechang/0000-0003-3895-0717; Wang, Jun/0000-0001-8261-1371</t>
  </si>
  <si>
    <t>National Natural Science Foundation of China (NSFC) [72101025, 72301034, 72071005, 72271049, 52005032, 72271025]; Hebei Natural Science Foundation [F2023501011]; Guangdong Basic and Applied Basic Research Foundation [2023A1515011532]; Aeronautical Science Foundation of China [2018ZC74001]</t>
  </si>
  <si>
    <t>National Natural Science Foundation of China (NSFC)(National Natural Science Foundation of China (NSFC)); Hebei Natural Science Foundation(Natural Science Foundation of Hebei Province); Guangdong Basic and Applied Basic Research Foundation; Aeronautical Science Foundation of China</t>
  </si>
  <si>
    <t>This work was supported in part by the National Natural Science Foundation of China (NSFC) under Grant #72101025, #72301034, #72071005, #72271049, #52005032, and #72271025, the Hebei Natural Science Foundation under Grant F2023501011, the Guangdong Basic and Applied Basic Research Foundation under Grant 2023A1515011532, and the Aeronautical Science Foundation of China under Grant 2018ZC74001.</t>
  </si>
  <si>
    <t>10.1016/j.ress.2024.110131</t>
  </si>
  <si>
    <t>QX8H6</t>
  </si>
  <si>
    <t>WOS:001224253600001</t>
  </si>
  <si>
    <t>Danesh, M; Dorrigiv, M; Yaghmaee, F</t>
  </si>
  <si>
    <t>Danesh, Malihe; Dorrigiv, Morteza; Yaghmaee, Farzin</t>
  </si>
  <si>
    <t>A survey of clustering large probabilistic graphs: Techniques, evaluations, and applications</t>
  </si>
  <si>
    <t>clustering; possible worlds-based methods; probabilistic graph; threshold-based methods</t>
  </si>
  <si>
    <t>EFFICIENT; ALGORITHMS</t>
  </si>
  <si>
    <t>Given the growth of uncertainty in the real world, analysing probabilistic graphs is crucial. Clustering is one of the most fundamental methods of mining probabilistic graphs to discover the hidden patterns in them. This survey examines an extensive and organized analysis of the clustering techniques of large probabilistic graphs proposed in the literature. First, the definition of probabilistic graphs and modelling them are introduced. Second, the clustering of such graphs and their challenges, such as uncertainty of edges, high dimensions, and the impossibility of applying certain graph clustering techniques directly, are expressed. Then, a taxonomy of clustering approaches is discussed in two main categories: threshold-based and possible worlds-based methods. The techniques presented in each category are explained and examined. Here, these methods are evaluated on real datasets, and their performance is compared with each other. Finally, the survey is summarized by describing some of the applications of probabilistic graph clustering and future research directions.</t>
  </si>
  <si>
    <t>[Danesh, Malihe] Univ Sci &amp; Technol Mazandaran, Dept Comp Engn, Behshahr, Iran; [Danesh, Malihe; Dorrigiv, Morteza; Yaghmaee, Farzin] Semnan Univ, Fac Elect &amp; Comp Engn, Semnan, Iran</t>
  </si>
  <si>
    <t>University of Science &amp; Technology of Mazandaran; Semnan University</t>
  </si>
  <si>
    <t>Dorrigiv, M (corresponding author), Semnan Univ, Fac Elect &amp; Comp Engn, Semnan, Iran.</t>
  </si>
  <si>
    <t>dorrigiv@semnan.ac.ir</t>
  </si>
  <si>
    <t>Dorrigiv, Morteza/A-7964-2019; Yaghmaee, Farzin/AAZ-6590-2021; Danesh, Malihe/AAE-9304-2020</t>
  </si>
  <si>
    <t>Yaghmaee, Farzin/0000-0001-7430-542X</t>
  </si>
  <si>
    <t>10.1111/exsy.13248</t>
  </si>
  <si>
    <t>I1QT5</t>
  </si>
  <si>
    <t>WOS:000930485200001</t>
  </si>
  <si>
    <t>He, HL; He, YX; Wang, F; Zhu, WM</t>
  </si>
  <si>
    <t>He, Honglei; He, Yuxuan; Wang, Fang; Zhu, Wenming</t>
  </si>
  <si>
    <t>Improved K-means algorithm for clustering non-spherical data</t>
  </si>
  <si>
    <t>arbitrary shape; clustering; improved algorithm; K-means; non-spherical</t>
  </si>
  <si>
    <t>As one of the commonly used data mining algorithms, K-means has the advantage of fast clustering speed, but the disadvantage is that it is less effective for clustering non-spherical data. An improved K-means algorithm (IK-means) is proposed to enhance clustering efficiency for non-spherical data. The original dataset is clustered into a relatively larger number of high-density sub-clusters, and the final result is obtained by merging connected sub-clusters respectively. The connectivity among sub-clusters is evaluated by the sub-clusters density and the nearest distance class between sub-clusters. By testing on University of California, Irvine(UCI) datasets and several other artificial simulation datasets, the comparison of proposed IK-means algorithm against DBSCAN, KGFCM shows its clustering capability for data of arbitrary shape. The clustering Adjusted Rand Index (ARI) value for 72,000 sizes data is 24% higher than DBSCAN, and 95.2% higher than KGFCM. For larger datasets, the IK-means algorithm is faster than DBSCAN and KGFCM.</t>
  </si>
  <si>
    <t>[He, Honglei] Lianyungang Tech Coll, Sch Informat Engn, Lianyungang, Peoples R China; [He, Yuxuan] Xuzhou Univ Technol, Sch Math &amp; Stat, Xuzhou, Jiangsu, Peoples R China; [Wang, Fang] Jiangsu Union Tech Inst, Lianyungang TCM Branch, Lianyungang, Peoples R China; [Zhu, Wenming] Shenzhen Inst Informat Technol, Dept Publ Courses, Shenzhen 518172, Peoples R China</t>
  </si>
  <si>
    <t>Xuzhou University of Technology; Shenzhen Institute of Information Technology</t>
  </si>
  <si>
    <t>Zhu, WM (corresponding author), Shenzhen Inst Informat Technol, Dept Publ Courses, Shenzhen 518172, Peoples R China.</t>
  </si>
  <si>
    <t>rayman_zhu@163.com</t>
  </si>
  <si>
    <t>he, honglei/GYA-3333-2022</t>
  </si>
  <si>
    <t>he, yuxuan/0000-0003-3113-7184; ZHU, WENMING/0000-0002-8127-4251; he, honglei/0000-0001-7310-3586</t>
  </si>
  <si>
    <t>Guangdong Edu Science Project Plan [2021GXJK513]; Lianyungang High-tech Zone Science and Technology Project Plan [ZD201915]; Lianyungang Technical College Project Plan [XZD202001]; Shenzhen Edu Science Project Plan [DWZZ19002]</t>
  </si>
  <si>
    <t>Guangdong Edu Science Project Plan; Lianyungang High-tech Zone Science and Technology Project Plan; Lianyungang Technical College Project Plan; Shenzhen Edu Science Project Plan</t>
  </si>
  <si>
    <t>Guangdong Edu Science Project Plan (Project No: 2021GXJK513); Lianyungang High-tech Zone Science and Technology Project Plan (Project No: ZD201915); Lianyungang Technical College Project Plan(Project No: XZD202001); Shenzhen Edu Science Project Plan (Project No: DWZZ19002)</t>
  </si>
  <si>
    <t>10.1111/exsy.13062</t>
  </si>
  <si>
    <t>5F3HH</t>
  </si>
  <si>
    <t>WOS:000828649100001</t>
  </si>
  <si>
    <t>Javid, Y</t>
  </si>
  <si>
    <t>Javid, Y.</t>
  </si>
  <si>
    <t>Efficient risk-based inspection framework: Balancing safety and budgetary constraints</t>
  </si>
  <si>
    <t>Inspection program; Risk-based inspection; Multi-objective genetic algorithm; Risk reduction</t>
  </si>
  <si>
    <t>MAINTENANCE; OIL; AVAILABILITY; METHODOLOGY; POWER; MODEL</t>
  </si>
  <si>
    <t>Efficient equipment maintenance is paramount across various industries to mitigate energy wastage and avert potential disasters such as hazardous emissions, fires, and explosions. Within this context, the adoption of risk- based inspection strategies has emerged as a crucial method for assessing equipment integrity. This study integrates the principles of Risk-Based Inspection (RBI) with a novel two-objective mathematical model, resulting in a comprehensive framework for equipment inspection programs. The primary aim of this framework is to reduce overall risk exposure while optimizing inspection expenditures. Unlike conventional approaches, this methodology eliminates the necessity to define threshold risk levels. By integrating inspection costs into the model, the assessment of Failure Consequences, and thereby, the decision-making process has been streamlined. This innovative algorithm effectively balances the reduction of failure likelihood with the minimization of inspection costs, enhancing decision-making capabilities. Importantly, this approach offers significant protection against energy wastage and the occurrence of leaks through robust risk management strategies. The algorithm employs specialized operators to expedite the discovery of optimal solutions. Empirical validation through a case study conducted at a Petrochemical Plant highlights the practicality and effectiveness of the proposed framework.</t>
  </si>
  <si>
    <t>[Javid, Y.] Kharazmi Univ, Engn Fac, Ind Engn Dept, Tehran, Iran</t>
  </si>
  <si>
    <t>Javid, Y (corresponding author), Kharazmi Univ, Engn Fac, Ind Engn Dept, Tehran, Iran.</t>
  </si>
  <si>
    <t>Javid@khu.ac.ir</t>
  </si>
  <si>
    <t>Javid, Youness/0000-0002-2705-1786</t>
  </si>
  <si>
    <t>10.1016/j.ress.2024.110519</t>
  </si>
  <si>
    <t>J8E3F</t>
  </si>
  <si>
    <t>WOS:001339332300001</t>
  </si>
  <si>
    <t>Xu, B; Zhu, ZH; Qiu, XL; Wang, SD; Chen, ZY; Zhang, H; Lu, JY</t>
  </si>
  <si>
    <t>Xu, Bo; Zhu, Zhenhao; Qiu, Xiaolong; Wang, Shida; Chen, Zeyuan; Zhang, Hu; Lu, Junyi</t>
  </si>
  <si>
    <t>Real measurement data-driven correlated hysteresis monitoring model for concrete arch dam displacement</t>
  </si>
  <si>
    <t>Concrete arch dam; Displacement monitoring model; Data mining; Correlation hysteresis; Model rectification</t>
  </si>
  <si>
    <t>PREDICTION MODEL; DEFORMATION; REGRESSION</t>
  </si>
  <si>
    <t>Displacement is an important indicator reflecting the safety performance of concrete arch dams and displacement monitoring models are widely adopted to analyze the health and serviceability of concrete arch dams. The measured data shows that the displacement changes of concrete arch dams are integral and the displacement changes in adjacent areas have high similarity. However, existing displacement monitoring models mostly focus on prediction accuracy and often ignore the correlation of displacement changes, thus failing to reflect the integrity of arch dam displacement changes. In this article, considering the hysteresis of displacement changes a real measurement data-driven correlated hysteresis monitoring model is established with dual objectives of prediction accuracy and displacement similarity. Firstly, the clustering analysis method was adopted to partition the monitoring points of concrete arch dams according to the displacement change speed. Secondly, a dual-objective prediction model was established with the objectives of prediction accuracy and displacement similarity based on Tanimoto measure. Finally, considering the trend of monitoring point displacement changes and displacement correlation, the Holt-winters algorithm combined with the Pearson correlation coefficient was adopted to modify the results of the dual-objective prediction model, thereby establishing a real measurement data-driven correlated hysteresis monitoring model. Engineering examples show that compared with other prediction models, the real measurement data-driven correlated hysteresis monitoring model comprehensively considers the influences of typical factors and displacement hysteresis effects, and can significantly improve the prediction accuracy while reflecting the correlation of displacement changes well, which is a trustworthy displacement monitoring model for concrete arch dams.</t>
  </si>
  <si>
    <t>[Xu, Bo; Zhu, Zhenhao; Wang, Shida; Chen, Zeyuan; Zhang, Hu; Lu, Junyi] Yangzhou Univ, Coll Hydraul Sci &amp; Engn, Yangzhou 225009, Peoples R China; [Qiu, Xiaolong] NJUST, Taizhou Inst Sci &amp;Tech, Coll Comp Sci &amp; Engn, Taizhou 225306, Peoples R China</t>
  </si>
  <si>
    <t>Yangzhou University</t>
  </si>
  <si>
    <t>Xu, B (corresponding author), Yangzhou Univ, Coll Hydraul Sci &amp; Engn, Yangzhou 225009, Peoples R China.</t>
  </si>
  <si>
    <t>xubo@yzu.edu.cn</t>
  </si>
  <si>
    <t>zhu, zhenhao/ISU-4710-2023</t>
  </si>
  <si>
    <t>Chen, Zeyuan/0009-0000-1046-3744; wang, shida/0009-0006-1239-3851</t>
  </si>
  <si>
    <t>10.1016/j.eswa.2023.121752</t>
  </si>
  <si>
    <t>HO5G3</t>
  </si>
  <si>
    <t>WOS:001160452900001</t>
  </si>
  <si>
    <t>Wang, DF; He, Z; He, SG; Zhang, ZM; Zhang, YW</t>
  </si>
  <si>
    <t>Wang, Dongfan; He, Zhen; He, Shuguang; Zhang, Zhaomin; Zhang, Yiwen</t>
  </si>
  <si>
    <t>Dynamic pricing of two-dimensional extended warranty considering the impacts of product price fluctuations and repair learning</t>
  </si>
  <si>
    <t>Dynamic pricing; Extended warranty price; Product price; Repair learning; Cumulative sales; Preventive maintenance</t>
  </si>
  <si>
    <t>PREVENTIVE MAINTENANCE; SUPPLY CHAIN; OPTIMIZATION; RELIABILITY; STRATEGY; DESIGN; SOLD; DECISIONS; CONTRACTS; MODEL</t>
  </si>
  <si>
    <t>Product prices fluctuate dynamically with changes in market supply and demand. This poses a dilemma for dealers, that is, dealers need to establish a dynamic extended warranty (EW) pricing strategy based on the fluctuations in product prices to attract consumers. To address this challenging issue, we establish a dynamic integration model to derive optimal product prices and two-dimensional (2D) EW prices in a multistage dynamic market environment to maximize the dealer's expected discounted profit during the product life cycle. In order to explore the dynamic influence mechanism between reliability engineering factors and market elements, this model combines the warranty cost model influenced by reliability related repair learning characteristics and the 2D EW demand model influenced by product price fluctuations. The model allows dealers to identify the relationships among various factors, including repair learning characteristic, production scale effect, product cost, EW cost in product reliability level, and fluctuating product demand and EW demand in market demand level, and more important, their effects, on the dealers' profit. The necessary optimality conditions and case study are conducted for static and dynamic markets.</t>
  </si>
  <si>
    <t>[Wang, Dongfan; He, Zhen; He, Shuguang; Zhang, Yiwen] Tianjin Univ, Coll Management &amp; Econ, Tianjin 300072, Peoples R China; [Zhang, Zhaomin] Civil Aviat Univ China, Coll Aeronaut Engn, Tianjin 300300, Peoples R China</t>
  </si>
  <si>
    <t>Tianjin University; Civil Aviation University of China</t>
  </si>
  <si>
    <t>Zhang, ZM (corresponding author), Civil Aviat Univ China, Coll Aeronaut Engn, Tianjin 300300, Peoples R China.</t>
  </si>
  <si>
    <t>dfwang@tju.edu.cn; zhhe@tju.edu.cn; shuguanghe@tju.edu.cn; zhangzhaomin@tju.edu.cn; zhang_yiwen@tju.edu.cn</t>
  </si>
  <si>
    <t>National Science Foundation of China (NSFC) [72032005, 71902180, 71532008]; Civil Aviation Airport Group Smart Operation Key Laboratory Open Fund [KLAGIO20180302]</t>
  </si>
  <si>
    <t>National Science Foundation of China (NSFC)(National Natural Science Foundation of China (NSFC)); Civil Aviation Airport Group Smart Operation Key Laboratory Open Fund</t>
  </si>
  <si>
    <t>This work is supported by the National Science Foundation of China (NSFC) under grant nos 72032005, 71902180, 71532008, and Civil Aviation Airport Group Smart Operation Key Laboratory Open Fund under grant nos KLAGIO20180302.</t>
  </si>
  <si>
    <t>10.1016/j.ress.2021.107516</t>
  </si>
  <si>
    <t>WOS:000663909400023</t>
  </si>
  <si>
    <t>Ritala, P</t>
  </si>
  <si>
    <t>Ritala, Paavo</t>
  </si>
  <si>
    <t>Grand challenges and platform ecosystems: Scaling solutions for wicked ecological and societal problems</t>
  </si>
  <si>
    <t>JOURNAL OF PRODUCT INNOVATION MANAGEMENT</t>
  </si>
  <si>
    <t>ecosystems; grand challenges; platforms; robust action strategies; scaling</t>
  </si>
  <si>
    <t>COLLECTIVE ACTION; MANAGEMENT; COLLABORATION; INNOVATION; HEALTH; MODEL</t>
  </si>
  <si>
    <t>The persistence of grand societal and environmental challenges demands attention from innovation management scholars and practitioners to find effective resolutions. Grand challenges are complex, uncertain, and evaluative and cannot be resolved by individual actors or organizations. Therefore, conventional forms of organizing do not suffice in the face of wicked problems like climate change or global inequality, which require continuous and varied attention and inputs. In this catalyst article, I argue that platform ecosystems-communities and groups of actors in different markets orchestrated through a digital platform and driven by combinations of economic and prosocial incentives-are an organizing form that can help effectively scale solutions for grand societal and environmental problems. This potential is based on three organizational elements of platform ecosystems: (1) coordination structures for orchestrating complementary inputs, (2) instigation and maintenance of collective action, and (3) generativity potential. I illustrate these arguments with practical examples of two platforms with the potential to resolve specific grand challenges: Patient Innovation, which orchestrates a community of innovators seeking to help treatment of chronic and rare diseases, and Excess Materials Exchange, which provides matching solutions to address the challenges associated with industrial material waste. The article concludes with an agenda for future research and practice on platform ecosystems and grand challenges.</t>
  </si>
  <si>
    <t>[Ritala, Paavo] LUT Univ, Business Sch, Lappeenranta, Finland; [Ritala, Paavo] LUT Univ, Business Sch, POB 20, FI-53851 Lappeenranta, Finland</t>
  </si>
  <si>
    <t>Lappeenranta-Lahti University of Technology LUT; Lappeenranta-Lahti University of Technology LUT</t>
  </si>
  <si>
    <t>Ritala, P (corresponding author), LUT Univ, Business Sch, POB 20, FI-53851 Lappeenranta, Finland.</t>
  </si>
  <si>
    <t>ritala@lut.fi</t>
  </si>
  <si>
    <t>Ritala, Paavo/JOZ-8801-2023</t>
  </si>
  <si>
    <t>Ritala, Paavo/0000-0002-8525-4610</t>
  </si>
  <si>
    <t>0737-6782</t>
  </si>
  <si>
    <t>1540-5885</t>
  </si>
  <si>
    <t>J PROD INNOVAT MANAG</t>
  </si>
  <si>
    <t>J. Prod. Innov. Manage.</t>
  </si>
  <si>
    <t>10.1111/jpim.12682</t>
  </si>
  <si>
    <t>LL8B1</t>
  </si>
  <si>
    <t>WOS:000993049000001</t>
  </si>
  <si>
    <t>Aghabegloo, M; Rezaie, K; Torabi, SA; Yazdani, M</t>
  </si>
  <si>
    <t>Aghabegloo, Mohsen; Rezaie, Kamran; Torabi, Seyed Ali; Yazdani, Maziar</t>
  </si>
  <si>
    <t>Integrating business impact analysis and risk assessment for physical asset criticality analysis: A framework for sustainable operations in process industries</t>
  </si>
  <si>
    <t>Fuzzy sets theory; Criticality analysis; Physical asset management; Business impact analysis (BIA); TOPSIS; Business continuity management</t>
  </si>
  <si>
    <t>FUZZY; MAINTENANCE; MANAGEMENT; DISASTERS</t>
  </si>
  <si>
    <t>The paper tackles the issue of managing physical assets in asset-intensive industries, where continuity plans are crucial for business operations during disruptions. However, resource constraints often hinder companies from implementing these plans for all their assets. Moreover, efforts to maximize resource utilization efficiency and minimize environmental impacts are limited to isolated disciplines, necessitating an integrated approach across natural, social, and technological systems. To address these challenges, this study proposes a framework based on a hybrid fuzzy BWM-TOPSIS methodology for identifying critical physical assets. The framework incorporates Business Impact Analysis (BIA) to determine essential products, a physical asset risk assessment matrix (PARAM) to assess critical assets based on likelihood and impact, and a mathematical model to estimate asset continuity parameters. The framework is applied to a petrochemical company in a case study, offering a guide for estimating the probability and impact of physical asset failure while accounting for inherent uncertainties. By adopting this framework, companies can efficiently manage their physical assets, prioritize continuity plans, and address resource constraints and uncertainties. This research contributes to practical tools and approaches that assist industries in sustaining operations and ensuring business continuity during disruptions.</t>
  </si>
  <si>
    <t>[Aghabegloo, Mohsen; Rezaie, Kamran; Torabi, Seyed Ali] Univ Tehran, Coll Engn, Sch Ind Engn, Tehran, Iran; [Yazdani, Maziar] UNSW Sydney, Res Ctr Integrated Transport Innovat rCITI, Sch Civil &amp; Environm Engn, Sydney, Australia</t>
  </si>
  <si>
    <t>University of Tehran; University of New South Wales Sydney</t>
  </si>
  <si>
    <t>Rezaie, K (corresponding author), Univ Tehran, Coll Engn, Sch Ind Engn, Tehran, Iran.</t>
  </si>
  <si>
    <t>m.aghabegloo@ut.ac.ir; krezaie@ut.ac.ir; satorabi@ut.ac.ir; maziar.yazdani@unsw.edu.au</t>
  </si>
  <si>
    <t>Torabi, S./E-1078-2018; Yazdani, Maziar/L-7434-2019</t>
  </si>
  <si>
    <t>Aghabegloo, Mohsen/0000-0001-9099-7278</t>
  </si>
  <si>
    <t>10.1016/j.eswa.2023.122737</t>
  </si>
  <si>
    <t>DJ6Q0</t>
  </si>
  <si>
    <t>WOS:001131712000001</t>
  </si>
  <si>
    <t>Fang, ZG; Zhang, Q; Cai, JJ; Liu, SF</t>
  </si>
  <si>
    <t>Fang, Zhigeng; Zhang, Qin; Cai, Jiajia; Liu, Sifeng</t>
  </si>
  <si>
    <t>Optimal age replacement policies with multiple missions for multi-state systems</t>
  </si>
  <si>
    <t>Mission durations; Age replacement; Multi-state systems; Replacement first; Replacement last</t>
  </si>
  <si>
    <t>PREVENTIVE MAINTENANCE; SUBJECT; TIME</t>
  </si>
  <si>
    <t>The mission duration plays a very vital role in maintaining engineering systems in reality. This paper considers the mission duration into the age replacement policies with multiple missions for multi-state systems (MSSs). We first introduce the MSS whose degradation process follows a non-homogenous continuous time Markov process. Then, the basic replacement policy is given, and the optimum number of missions is derived analytically and numerically. To address the trade-off between the cost and maintainability, we consider the replacement time in maintenance and propose two policies, i.e., replacement first and replacement last. The optimal policies of each replacement are discussed analytically. Numerical examples are proposed to verify the applicability of the methodology derived by this paper. Finally, the suggested replacement policies are illustrated in maintaining the coal transportation system in a power station based on the assumed data.</t>
  </si>
  <si>
    <t>[Fang, Zhigeng; Zhang, Qin; Cai, Jiajia; Liu, Sifeng] Nanjing Univ Aeronaut &amp; Astronaut, Coll Econ &amp; Management, Nanjing 211106, Peoples R China</t>
  </si>
  <si>
    <t>蔡, 佳佳/GWZ-3611-2022; Zhang, Qin/MCY-4271-2025</t>
  </si>
  <si>
    <t>National Natural Science Foundation of China [7167109]</t>
  </si>
  <si>
    <t>This research is supported by the project of the National Natural Science Foundation of China (Grant No: 7167109) .</t>
  </si>
  <si>
    <t>10.1016/j.cie.2021.107777</t>
  </si>
  <si>
    <t>YD3OB</t>
  </si>
  <si>
    <t>WOS:000740307700002</t>
  </si>
  <si>
    <t>Tsai, HN; Chien, YH</t>
  </si>
  <si>
    <t>Tsai, Hsin-Nan; Chien, Yu-Hung</t>
  </si>
  <si>
    <t>Optimal replacement policy for repairable products with multi-attempt minimal repair under the free-repair warranty</t>
  </si>
  <si>
    <t>Multi-attempt minimal repair; maintenance; optimal replacement; free-repair warranty; increasing failure rate; long-run expected cost rate</t>
  </si>
  <si>
    <t>PREVENTIVE-MAINTENANCE; INSPECTION; TIME</t>
  </si>
  <si>
    <t>This paper investigates the effects of unsuccessful repairs on the optimal periodic replacement policy for a repairable product with multiple attempts of minimal repair under the free-repair warranty. The motivation for this study is based on the novel notion of 'multi-attempt minimal repair', first introduced by Cha and Finkelstein (2024a, 2024b), in which they highlighted various practical reasons and examples to illustrate that minimal repair attempts may sometimes fail and need to be repeated until success is achieved. Their repair model and useful properties served as the motivation for this study. For both the warranted and non-warranted products, cost models are developed from the user's perspective, and the corresponding optimal replacement policies are derived to minimize the long-run expected cost rates. By comparing these optimal policies, we show that the optimal planned time for preventive replacement should be adjusted toward the end of the warranty period, and the effects of unsuccessful minimal repair produce different degrees of impact, respectively, on the warranted and non-warranted product. Finally, detailed numerical examples and computation results illustrate our findings, and some insightful observations about practical and managerial implications are concluded.</t>
  </si>
  <si>
    <t>[Tsai, Hsin-Nan; Chien, Yu-Hung] Natl Taichung Univ Sci &amp; Technol, Dept Appl Stat, 129 Sect 3,San Min Rd, Taichung 404336, Taiwan</t>
  </si>
  <si>
    <t>National Taichung University of Science &amp; Technology</t>
  </si>
  <si>
    <t>Chien, YH (corresponding author), Natl Taichung Univ Sci &amp; Technol, Dept Appl Stat, 129 Sect 3,San Min Rd, Taichung 404336, Taiwan.</t>
  </si>
  <si>
    <t>National Science and Technology Council of Taiwan [NSTC 111-2221-E-025-001- MY3]</t>
  </si>
  <si>
    <t>National Science and Technology Council of Taiwan</t>
  </si>
  <si>
    <t>This work was supported by the National Science and Technology Council of Taiwan [NSTC 111-2221-E-025-001- MY3].</t>
  </si>
  <si>
    <t>2024 NOV 17</t>
  </si>
  <si>
    <t>10.1080/16843703.2024.2425894</t>
  </si>
  <si>
    <t>M1W9Q</t>
  </si>
  <si>
    <t>WOS:001355523700001</t>
  </si>
  <si>
    <t>Anglou, FZ; Ponis, S; Spanos, A</t>
  </si>
  <si>
    <t>Anglou, Fiorentia Zoi; Ponis, Stavros; Spanos, Athanasios</t>
  </si>
  <si>
    <t>A Machine Learning Approach to Enable Bulk Orders of Critical Spare-Parts in the Shipping Industry</t>
  </si>
  <si>
    <t>shipping industry; spare parts management; bulk ordering; machine learning; forecasting</t>
  </si>
  <si>
    <t>Purpose: The main purpose of this paper is to propose a methodological approach and a decision support tool, based on prescriptive analytics, to enable bulk ordering of spare parts for shipping companies operating fleets of vessels. The developed tool utilises Machine Learning (ML) and operations research algorithms, to forecast and optimize bulk spare parts orders needed to cover planned maintenance requirements on an annual basis and optimize the company's purchasing decisions. Design/methodology/approach: The proposed approach consists of three discrete methodological steps, each one supported by a decision support tool based on clustering and Machine Learning (ML) algorithms. In the first step, clustering is applied in order to identify high interest items. Next, a forecasting tool is developed for estimating the expected needs of the fleet and to test whether the needed quantity is influenced by the source of purchase. Finally, the selected items are cost-effectively allocated to a group of vendors. The performance of the tool is assessed by running a simulation of a bulk order process on a mixed fleet totaling 75 vessels. Findings: The overall findings and approach are quite promising Indicatively, shifting demand planning focus to critical spares, via clustering, can reduce administrative workload. Furthermore, the proposed forecasting approach results in a Mean Absolute Percentage Error of 10% for specific components, with a potential for further reduction, as data availability increases. Finally, the cost optimizer can prescribe spare part acquisition scenarios that yield a 9% overall cost reduction over the span of two years. Originality/value: By adopting the proposed approach, shipping companies have the potential to produce meaningful results ranging from soft benefits, such as the rationalization of the workload of the purchasing department and its third party collaborators to hard, quantitative benefits, such as reducing the cost of the bulk ordering process, directly affecting a company's bottom line.</t>
  </si>
  <si>
    <t>[Anglou, Fiorentia Zoi; Ponis, Stavros; Spanos, Athanasios] Natl Tech Univ Athens, Sch Mech Engn, Athens, Greece</t>
  </si>
  <si>
    <t>National Technical University of Athens</t>
  </si>
  <si>
    <t>Anglou, FZ (corresponding author), Natl Tech Univ Athens, Sch Mech Engn, Athens, Greece.</t>
  </si>
  <si>
    <t>fz.anglou@gmail.com; staponis@gmail.com; atspanos@gmail.com</t>
  </si>
  <si>
    <t>PONIS, STAVROS/AAC-9945-2019; PONIS, STAVROS/O-1177-2013</t>
  </si>
  <si>
    <t>PONIS, STAVROS/0000-0002-9544-9219</t>
  </si>
  <si>
    <t>European Union; Greek national funds through the Operational Program Competitiveness, Entrepreneurship, and Innovation, under the call RESEARCH-CREATE-INNOVATE [T1EDK-01168]</t>
  </si>
  <si>
    <t>European Union(European Union (EU)); Greek national funds through the Operational Program Competitiveness, Entrepreneurship, and Innovation, under the call RESEARCH-CREATE-INNOVATE</t>
  </si>
  <si>
    <t>This research has been co-financed by the European Union and Greek national funds through the Operational Program Competitiveness, Entrepreneurship, and Innovation, under the call RESEARCH-CREATE-INNOVATE (project code T1EDK-01168).</t>
  </si>
  <si>
    <t>10.3926/jiem.3446</t>
  </si>
  <si>
    <t>UF5IV</t>
  </si>
  <si>
    <t>WOS:000688608600011</t>
  </si>
  <si>
    <t>Calvacante, DG; Ferreira, L; Borenstein, D</t>
  </si>
  <si>
    <t>Goncalves Calvacante, D.; Ferreira, L.; Borenstein, D.</t>
  </si>
  <si>
    <t>PREVISION AND OPTIMISATION OF REPAIRABLE SPARE PARTS: A CASE STUDY IN THE PETROLEUM INDUSTRY</t>
  </si>
  <si>
    <t>RELIABILITY; MAINTENANCE; MODELS; PREDICTION; MANAGEMENT</t>
  </si>
  <si>
    <t>This study was motivated by the high costs incurred by an energy company for repairable spare parts for faulty mission-critical items, particularly with those that operate until failure. The objective of this paper is to develop and apply a method for repairable spare part inventory management of run-to-failure equipment. To achieve a robust method that incorporates the data collected from previous failures, such as environmental factors and operating conditions, we propose an optimisation approach based on an accelerated failure time model. Accelerated failure time is used as a reliability regression model with covariates to describe different operational conditions. An algorithm is also developed to consider the repairable nature of the equipment, predicting the number of spare parts based on the expected number of failures in the period and the equipment repair cycle. The proposed method is applied using data from three different power units of electrical submersible pumps, a mission-critical item in oil production. The results show an average reduction of 60.6 per cent in the required number of spare parts, considering an average fill rate of 95.33 per cent. This reduction implies an estimated annual savings of around US$664,720 in inventory costs, considering the analysed units.</t>
  </si>
  <si>
    <t>[Goncalves Calvacante, D.] Petrobras SA, Maintenance Div, Sao Paulo, Brazil; [Ferreira, L.; Borenstein, D.] Univ Fed Rio Grande do Sul, Business Sch, Operat Res Grp, Porto Alegre, RS, Brazil</t>
  </si>
  <si>
    <t>Petrobras; Universidade Federal do Rio Grande do Sul</t>
  </si>
  <si>
    <t>Ferreira, L (corresponding author), Univ Fed Rio Grande do Sul, Business Sch, Operat Res Grp, Porto Alegre, RS, Brazil.</t>
  </si>
  <si>
    <t>luciano.ferreira@ufrgs.br</t>
  </si>
  <si>
    <t>Borenstein, Denis/K-2010-2012</t>
  </si>
  <si>
    <t>Borenstein, Denis/0000-0002-6220-3159</t>
  </si>
  <si>
    <t>Conselho Nacional de Desenvolvimento e Pesquisa, CNPq [301453/2013-6, 304536/2016-4]</t>
  </si>
  <si>
    <t>Conselho Nacional de Desenvolvimento e Pesquisa, CNPq(Conselho Nacional de Desenvolvimento Cientifico e Tecnologico (CNPQ))</t>
  </si>
  <si>
    <t>This work was supported by the Conselho Nacional de Desenvolvimento e Pesquisa, CNPq under grants 301453/2013-6 and 304536/2016-4. The authors would like to thank the reviewers for useful comments and suggestions, and Petrobras for helping us to understand the problem and conduct the study.</t>
  </si>
  <si>
    <t>10.7166/31-2-2221</t>
  </si>
  <si>
    <t>NG4UJ</t>
  </si>
  <si>
    <t>WOS:000563978600013</t>
  </si>
  <si>
    <t>Ma, JF; Lu, YB; Gupta, S</t>
  </si>
  <si>
    <t>Ma, Jifeng; Lu, Yaobin; Gupta, Sumeet</t>
  </si>
  <si>
    <t>User innovation evaluation: Empirical evidence from an online game community</t>
  </si>
  <si>
    <t>Open innovation; User innovation community; User innovation evaluation; innovation rareness</t>
  </si>
  <si>
    <t>PRODUCT IDEAS; CUSTOMERS; DEVELOPERS; CONSUMERS; IMPACT; DELL</t>
  </si>
  <si>
    <t>User innovation community - as a ground for open innovation - has been widely deployed by firms to leverage external sources of innovation. Obtaining contributions from external users, however, poses screening challenges in front of a firm, particularly when such contributions are enormously large in number. Therefore, this study attempts to help firms reduce their workload by examining the differences between adopted and non-adopted user innovations. Based on the prior research, we build a holistic research model by identifying four characteristics of a user innovation: innovation-related, innovator-related, presentation-related and rareness that may influence the evaluation process. The results of logistic regression on a publicly available dataset of 21,557 user innovations spanning five years collected from an online game UIC show that the popularity, integrity and maintenance of the innovation, as well as the prior adoption experience of the innovator, positively influence the adoption of a user innovation by the firm. Moreover, both the complexity of a user innovation and descriptive images have an inverted U-shaped relationship with the adopted innovation. Finally, adopted user innovations have high levels of rareness than non-adopted user innovations. We discuss our findings and implications of this study to research and practice.</t>
  </si>
  <si>
    <t>[Ma, Jifeng; Lu, Yaobin] Huazhong Univ Sci &amp; Technol, Sch Management, Wuhan, Hubei, Peoples R China; [Gupta, Sumeet] Indian Inst Management, Res Div, Raipur 493661, Madhya Pradesh, India</t>
  </si>
  <si>
    <t>Huazhong University of Science &amp; Technology; Indian Institute of Management (IIM System); Indian Institute of Management Raipur</t>
  </si>
  <si>
    <t>Lu, YB (corresponding author), Huazhong Univ Sci &amp; Technol, Sch Management, Wuhan, Hubei, Peoples R China.</t>
  </si>
  <si>
    <t>majifeng@hust.edu.com; luyb@mail.hust.edu.cn; sumeetgupta@iimraipur.ac.in</t>
  </si>
  <si>
    <t>LU, YAOBIN/KHT-4514-2024</t>
  </si>
  <si>
    <t>Ma, Jifeng/0000-0003-4960-9039; Gupta, Sumeet/0000-0001-5943-5226</t>
  </si>
  <si>
    <t>National Natural Science Foundation of China [71810107003, 71602063]; National Social Science Fund of China [18ZDA109]; Modern Information Management Research Centre at HUST</t>
  </si>
  <si>
    <t>National Natural Science Foundation of China(National Natural Science Foundation of China (NSFC)); National Social Science Fund of China; Modern Information Management Research Centre at HUST</t>
  </si>
  <si>
    <t>This work was partially supported by a grant from the National Natural Science Foundation of China (71810107003, 71602063) and the National Social Science Fund of China (18ZDA109). This work was also partially supported by the Modern Information Management Research Centre at HUST.</t>
  </si>
  <si>
    <t>10.1016/j.dss.2018.11.003</t>
  </si>
  <si>
    <t>HJ9GL</t>
  </si>
  <si>
    <t>WOS:000457506800010</t>
  </si>
  <si>
    <t>Ros, F; Guillaume, S</t>
  </si>
  <si>
    <t>Ros, Frederic; Guillaume, Serge</t>
  </si>
  <si>
    <t>A hierarchical clustering algorithm and an improvement of the single linkage criterion to deal with noise</t>
  </si>
  <si>
    <t>Agglomerative; Dissimilarity; Density</t>
  </si>
  <si>
    <t>Hierarchical clustering is widely used in data mining. The single linkage criterion is powerful, as it allows for handling various shapes and densities, but it is sensitive to noise(1). Two improvements are proposed in this work to deal with noise. First, the single linkage criterion takes into account the local density to make sure the distance involves core points of each group. Second, the hierarchical algorithm forbids the merging of representative clusters, higher than a minimum size, once identified. The experiments include a sensitivity analysis to the parameters and a comparison of the available criteria using datasets known in the literature. The latter proved that local criteria yield better results than global ones. Then, the three single linkage criteria were compared in more challenging situations that highlighted the complementariness between the two levels of improvement: the criterion and the clustering algorithm. (C) 2019 Elsevier Ltd. All rights reserved.</t>
  </si>
  <si>
    <t>[Ros, Frederic] Orleans Univ, Lab PRISME, Orleans, France; [Guillaume, Serge] Univ Montpellier, Irstea, Montpellier SupAgro, ITAP, Montpellier, France</t>
  </si>
  <si>
    <t>Institut Agro; Montpellier SupAgro; Universite de Montpellier; INRAE</t>
  </si>
  <si>
    <t>Ros, F (corresponding author), Orleans Univ, Lab PRISME, Orleans, France.</t>
  </si>
  <si>
    <t>frederic.ros@univ-orleans.fr; serge.guillaume@irstea.fr</t>
  </si>
  <si>
    <t>ROS, Frédéric/V-2884-2019</t>
  </si>
  <si>
    <t>10.1016/j.eswa.2019.03.031</t>
  </si>
  <si>
    <t>IB1UM</t>
  </si>
  <si>
    <t>WOS:000470050400008</t>
  </si>
  <si>
    <t>Ahmed, R; Dalkiliç, G; Erten, Y</t>
  </si>
  <si>
    <t>Ahmed, Rowanda; Dalkilic, Gokhan; Erten, Yusuf</t>
  </si>
  <si>
    <t>DGStream: High quality and efficiency stream clustering algorithm</t>
  </si>
  <si>
    <t>Data streams architectures; Data stream mining; Grid-based clustering; Density-based clustering; Online clustering</t>
  </si>
  <si>
    <t>Recently as applications produce overwhelming data streams, the need for strategies to analyze and cluster streaming data becomes an urgent and a crucial research area for knowledge discovery. The main objective and the key aim of data stream clustering is to gain insights into incoming data. Recognizing all probable patterns in this boundless data which arrives at varying speeds and structure and evolves over time, is very important in this analysis process. The existing data stream clustering strategies so far, all suffer from different limitations, like the inability to find the arbitrary shaped clusters and handling outliers in addition to requiring some parameter information for data processing. For fast, accurate, efficient and effective handling for all these challenges, we proposed DGStream, a new online-offline grid and density-based stream clustering algorithm. We conducted many experiments and evaluated the performance of DGStream over different simulated databases and for different parameter settings where a wide variety of concept drifts, novelty, evolving data, number and size of clusters and outlier detection are considered. Our algorithm is suitable for applications where the interest lies in the most recent information like stock market, or if the analysis of existing information is required as well as cases where both the old and the recent information are all equally important. The experiments, over the synthetic and real datasets, show that our proposed algorithm outperforms the other algorithms in efficiency. (C) 2019 Elsevier Ltd. All rights reserved.</t>
  </si>
  <si>
    <t>[Ahmed, Rowanda; Erten, Yusuf] Izmir Inst Technol, Comp Engn Dept, TR-35433 Izmir, Turkey; [Dalkilic, Gokhan] Dokuz Eylul Univ, Comp Engn Dept, TR-35390 Izmir, Turkey; [Erten, Yusuf] Bakircay Univ, TR-35665 Izmir, Turkey</t>
  </si>
  <si>
    <t>Izmir Institute of Technology; Dokuz Eylul University; Izmir University of Bakircay</t>
  </si>
  <si>
    <t>Ahmed, R (corresponding author), Izmir Inst Technol, Comp Engn Dept, TR-35433 Izmir, Turkey.</t>
  </si>
  <si>
    <t>rowandaahmed@iyte.edu.tr; dalkilic@cs.deu.edu.tr; muraterten@iyte.edu.tr</t>
  </si>
  <si>
    <t>Erten, Yusuf/ABE-9688-2020; Ahmed, Rowanda/AAC-7799-2020; DALKILIC, GOKHAN/B-8292-2014</t>
  </si>
  <si>
    <t>Ahmed, Rowanda/0000-0002-5849-3587; DALKILIC, GOKHAN/0000-0002-0130-1716</t>
  </si>
  <si>
    <t>10.1016/j.eswa.2019.112947</t>
  </si>
  <si>
    <t>JM6PT</t>
  </si>
  <si>
    <t>WOS:000496334800028</t>
  </si>
  <si>
    <t>de Araujo, MS; da Silva, LD; Sobrinho, A; Cunha, P; Montecchi, L</t>
  </si>
  <si>
    <t>de Araujo, Matheus Soares; da Silva, Leandro Dias; Sobrinho, Alvaro; Cunha, Paulo; Montecchi, Leonardo</t>
  </si>
  <si>
    <t>Reliability analysis of multi-parameter monitoring systems for Intensive Care Units</t>
  </si>
  <si>
    <t>Modeling; Medical devices; Reliability</t>
  </si>
  <si>
    <t>PROPAGATION</t>
  </si>
  <si>
    <t>Multi-parameter monitoring systems in Intensive Care Units (ICUs) monitor the clinical condition of critical state patients. These Systems of Systems (SoS) comprise a set of Constituent Systems (CS) to measure parameters such as heart rate, respiratory frequency, and temperature. Due to the critical nature and relevance of ICUs, such SoS shall be as reliable as possible. That is especially true in emergencies, as the COVID-19 outbreak that resulted in the burden of health care systems. We developed a modular and parametric model to perform reliability analysis and to provide insights to assist the management of multi-parameter monitoring systems used in ICUs, also considering maintenance. First, we modeled a multi-parameter monitoring system for ICUs using the CHESS methodology and modeling language. Afterward, we performed a reliability analysis using the CHESS state-based analysis plugin for different scenarios. We identified that the main power supply and the battery are the CS that present the most negative impacts on reliability. In emergencies, reduced time ranges of planned maintenance, when applied during a short period, showed to be promising strategies.</t>
  </si>
  <si>
    <t>[de Araujo, Matheus Soares; da Silva, Leandro Dias] Univ Fed Alagoas, Comp Inst, Maceio, Alagoas, Brazil; [Sobrinho, Alvaro] Fed Univ Agreste Pernambuco, Garanhuns, Brazil; [Cunha, Paulo] Fed Inst Alagoas, Arapiraca, Brazil; [Montecchi, Leonardo] Norwegian Univ Sci &amp; Technol, Dept Comp Sci, Trondheim, Norway</t>
  </si>
  <si>
    <t>Universidade Federal de Alagoas; Instituto Federal de Alagoas (IFAL); Norwegian University of Science &amp; Technology (NTNU)</t>
  </si>
  <si>
    <t>da Silva, LD (corresponding author), Univ Fed Alagoas, Comp Inst, Maceio, Alagoas, Brazil.</t>
  </si>
  <si>
    <t>leandrodias@ic.ufal.br</t>
  </si>
  <si>
    <t>Silva, Leandro/AAC-1416-2020; Montecchi, Leonardo/L-4176-2017; Sobrinho, Alvaro/AAP-2644-2020</t>
  </si>
  <si>
    <t>Montecchi, Leonardo/0000-0002-7603-9695; Dias da Silva, Leandro/0000-0003-4352-1466; Sobrinho, Alvaro/0000-0002-1753-1890</t>
  </si>
  <si>
    <t>Coordenacao de Aperfeicoamento de Pessoal de Nivel Superior - Brasil (CAPES) [001]</t>
  </si>
  <si>
    <t>Coordenacao de Aperfeicoamento de Pessoal de Nivel Superior - Brasil (CAPES)(Coordenacao de Aperfeicoamento de Pessoal de Nivel Superior (CAPES))</t>
  </si>
  <si>
    <t>This study was financed in part by the Coordenacao de Aperfeicoamento de Pessoal de Nivel Superior - Brasil (CAPES) - Finance Code 001. The authors would like to thank the Hospital Universitario Professor Alberto Antunes (HUPAA-Ufal) for their contribution to this research.</t>
  </si>
  <si>
    <t>10.1016/j.ress.2022.108638</t>
  </si>
  <si>
    <t>WOS:000821966900001</t>
  </si>
  <si>
    <t>Kumar, A; Ram, M</t>
  </si>
  <si>
    <t>Kumar, Amit; Ram, Mangey</t>
  </si>
  <si>
    <t>Process modeling for decomposition unit of a UFP for reliability indices subject to fail-back mode and degradation</t>
  </si>
  <si>
    <t>Decomposition unit; Variable; constant failure; Markov birth-death process; Sensitivity analysis; Reliability indices</t>
  </si>
  <si>
    <t>BEHAVIOR ANALYSIS; SYSTEMS</t>
  </si>
  <si>
    <t>PurposeEnsuring safe operation of a urea fertilizer plant (UFP) is a vital aspect for its functioning and production. Clearly the safe operation of such systems can only be archived with proper and effective maintenance scheduling and through controlling its failures as well as repairs of the components. Also for this, the concern plant management must have the information regarding the failures that affects the system's performance most/least. The objective of this study is to analyze mathematically the factors that are responsible for the failure/degradation of the decomposition unit of UFP.Design/methodology/approachThe considered system has been modeled by the aid of Markov's birth-death process with two types of failures for its components: variable (which are very similar in practical situations) and constant. The mathematical model is solved by the help of Laplace transform and supplementary variable technique.FindingsIn the present paper, the availability, reliability and mean time to failure (MTTF) are computed for the decomposition unit of the UFP. The critical components that affect the reliability and MTTF of the decomposition unit are identified through sensitivity analysis.Originality/valueIn this paper, a mathematical model based on the working of the decomposition unit of a UFP has been developed by considering two types of failure, namely, variable failures rates and constant failure rates (which has not been done in the literature for the decomposition unit). Conclusions in this paper are good references for the improvement of the same.</t>
  </si>
  <si>
    <t>[Kumar, Amit] Symbiosis Int Deemed Univ SIU, Symbiosis Inst Technol, Dept Appl Sci, Pune, India; [Ram, Mangey] Graph Era Deemed Univ, Dept Math, Dehra Dun, India</t>
  </si>
  <si>
    <t>Symbiosis International University; Symbiosis Institute of Technology (SIT); Graphic Era University</t>
  </si>
  <si>
    <t>Kumar, A (corresponding author), Symbiosis Int Deemed Univ SIU, Symbiosis Inst Technol, Dept Appl Sci, Pune, India.</t>
  </si>
  <si>
    <t>amit303singh@gmail.com; mangeyram@gmail.com</t>
  </si>
  <si>
    <t>Kumar, Amit/AFV-7014-2022; Ram, Mangey/B-8214-2012</t>
  </si>
  <si>
    <t>Kumar, Dr. Amit/0000-0003-0712-2302; Ram, Mangey/0000-0002-8221-092X</t>
  </si>
  <si>
    <t>JUL 18</t>
  </si>
  <si>
    <t>10.1108/JQME-01-2022-0008</t>
  </si>
  <si>
    <t>M4DW0</t>
  </si>
  <si>
    <t>WOS:000918588800001</t>
  </si>
  <si>
    <t>Okina, SN; Taillandier, F; Ahouet, L; Hoang, QA; Breysse, D; Louzolo-Kimbembe, P</t>
  </si>
  <si>
    <t>Okina, Sylvain Ndinga; Taillandier, Franck; Ahouet, Louis; Hoang, Quynh Anh; Breysse, Denys; Louzolo-Kimbembe, Paul</t>
  </si>
  <si>
    <t>Using Conceptual Graph modeling and inference to support the assessment and monitoring of bridge structural health</t>
  </si>
  <si>
    <t>Ontology of bridge deterioration; Predictive modeling of bridge; SHM (Structural health monitoring); Graphic inference; CGs (Conceptual Graphs); Decision support</t>
  </si>
  <si>
    <t>RISK; MAINTENANCE; MANAGEMENT; KNOWLEDGE</t>
  </si>
  <si>
    <t>Effective bridge maintenance requires sufficient and accurate knowledge on structural health. However, despite the development of structural health monitoring (SHM) and inspection aids, bridge structural health monitoring remains challenging. This work proposes a comprehensive predictive description based on Conceptual Graphs (CG), of the bridge condition deterioration mechanism, with the formalization of the inspection history. The model combines formalized assumptions with several deterioration factors and expert knowledge to assess the evolution of the structural condition. The model is based on logical and graphical descriptions of the deterioration of the structural condition thanks to the use of the CG modeling. Through the graphical inference, the evolution of the apparent condition and the deterioration time can be assessed. The application to two bridge cases highlights the interest of this approach to help understanding the sequence of deterioration. The actual condition obtained and the formalized inspection history allow a better decision.</t>
  </si>
  <si>
    <t>[Okina, Sylvain Ndinga; Ahouet, Louis; Louzolo-Kimbembe, Paul] Marien Ngouabi Univ, Higher Natl Polytech Sch ENSP, Brazzaville, Rep Congo; [Okina, Sylvain Ndinga; Hoang, Quynh Anh; Breysse, Denys] Bordeaux Univ, I2M, UMR 5295, F-33405 Talence, France; [Taillandier, Franck] Aix Marseille Univ, INARE, RECOVER, Aix En Provence, France; [Ahouet, Louis] Denis Sassou Nguesso Univ, Higher Inst Architecture, Urbanism Bldg &amp; Publ Works, Brazzaville, Rep Congo; [Ahouet, Louis] Control Off Bldg &amp; Publ Works BCBTP, BP752, Brazzaville, Rep Congo; [Hoang, Quynh Anh] Ho Chi Minh City Univ Transport, Hcm City, Vietnam</t>
  </si>
  <si>
    <t>Universite de Bordeaux; Centre National de la Recherche Scientifique (CNRS); CNRS - Institute for Engineering &amp; Systems Sciences (INSIS); Aix-Marseille Universite; Ho Chi Minh City University of Transport</t>
  </si>
  <si>
    <t>Okina, SN (corresponding author), Marien Ngouabi Univ, Higher Natl Polytech Sch ENSP, Brazzaville, Rep Congo.</t>
  </si>
  <si>
    <t>sylvain.ndingaokina@umng.cg</t>
  </si>
  <si>
    <t>Hoang, Quynh Anh/GQQ-3517-2022</t>
  </si>
  <si>
    <t>Hoang, Quynh Anh/0000-0003-4570-5189; Ndinga Okina, Sylvain/0000-0002-5766-1278</t>
  </si>
  <si>
    <t>10.1016/j.engappai.2023.106665</t>
  </si>
  <si>
    <t>M7XC2</t>
  </si>
  <si>
    <t>WOS:001032298900001</t>
  </si>
  <si>
    <t>Reis, AA; Leite, RAS; Walter, CE; Reis, IB; Goncalves, R; Martins, J; Branco, F; Au-Yong-Oliveira, M</t>
  </si>
  <si>
    <t>Reis, Alexander Araujo; Leite, Rafael Angelo Santos; Walter, Cicero Eduardo; Reis, Igor Bezerra; Goncalves, Ramiro; Martins, Jose; Branco, Frederico; Au-Yong-Oliveira, Manuel</t>
  </si>
  <si>
    <t>The hierarchical importance of patent's characteristics to licensing: An analysis through Random Forest</t>
  </si>
  <si>
    <t>biopharmaceutical industry; external licensing; licensor; organizational learning; success</t>
  </si>
  <si>
    <t>PUBLIC RESEARCH; INDICATORS</t>
  </si>
  <si>
    <t>The purpose of this study is to ascertain the hierarchical importance of a patent's characteristics to licensing. This research has a causal-exploratory purpose, in that it sought to establish relationships between variables. This research aims to identify which characteristics are influential in the licensing of Brazilian academic patents in the biotechnology and pharmaceutical technology fields, based on the mining of data contained in licensed and unlicensed patent documents. Which characteristics of Brazilian academic patents are most influential in their licensing potential? An analysis through Random Forest was performed. To the best of our knowledge, there are no studies in Brazil using machine learning to identify which characteristics are influential in licensing a particular academic patent, especially given the difficulty of gathering this information. We found that regardless of the measure used, the three most critical licensing characteristics for the Biotechnology and Pharmaceutical patents analysed are Patent Scope, Life Cycle, and Claims. At the same time, the least important is the Patent Cooperation Treaty. The relevance of this research is based on the fact that after identifying which intrinsic characteristics influence the final value and licensing probabilities of a given patent, it will be possible to develop mathematical models that provide accurate information for establishing technology transfer agreements. In practical terms, the results suggest that greater patent versatility, combined with lifecycle management and a technical effort to build strong claims, increases the licensing potential of academic biopharmaceutical patents.</t>
  </si>
  <si>
    <t>[Reis, Alexander Araujo; Leite, Rafael Angelo Santos; Walter, Cicero Eduardo] Fed Inst Educ Sci &amp; Technol Piaui, Teresina, Brazil; [Walter, Cicero Eduardo] Univ Aveiro, GOVCOPP, DEGEIT, Aveiro, Portugal; [Reis, Igor Bezerra] Univ Fed Maranhao, Sao Luis, Brazil; [Goncalves, Ramiro; Branco, Frederico] INESC TEC, Vila Real, Portugal; [Goncalves, Ramiro; Branco, Frederico] UTAD, Vila Real, Portugal; [Martins, Jose] INESC TEC, Porto, Portugal; [Au-Yong-Oliveira, Manuel] Univ Aveiro, DEGEIT, INESC TEC, GOVCOPP, Aveiro, Portugal</t>
  </si>
  <si>
    <t>Universidade de Aveiro; Universidade Federal do Maranhao; INESC TEC; University of Tras-os-Montes &amp; Alto Douro; INESC TEC; Universidade de Aveiro; INESC TEC</t>
  </si>
  <si>
    <t>Branco, F (corresponding author), INESC TEC, Vila Real, Portugal.;Branco, F (corresponding author), UTAD, Vila Real, Portugal.</t>
  </si>
  <si>
    <t>fbranco@utad.pt</t>
  </si>
  <si>
    <t>Branco, Frederico/GPT-3972-2022; Martins, José/ABB-5272-2020; Au-Yong-Oliveira, Manuel/ADX-9656-2022; Martins, Jose/B-5280-2014; Walter, Cicero Eduardo/LIG-3560-2024</t>
  </si>
  <si>
    <t>Au-Yong-Oliveira, Manuel/0000-0002-2154-6171; Branco, Frederico/0000-0001-8434-4887; Leite, Rafael/0000-0002-0129-1407; Martins, Jose/0000-0002-7787-6305; Walter, Cicero Eduardo/0000-0002-5783-6613</t>
  </si>
  <si>
    <t>10.1111/exsy.13661</t>
  </si>
  <si>
    <t>Q2C3X</t>
  </si>
  <si>
    <t>WOS:001244384700001</t>
  </si>
  <si>
    <t>Jodlbauer, H; Tripathi, S; Bachmann, N; Brunner, M</t>
  </si>
  <si>
    <t>Jodlbauer, Herbert; Tripathi, Shailesh; Bachmann, Nadine; Brunner, Manuel</t>
  </si>
  <si>
    <t>Unlocking hidden market segments: A data-driven approach exemplified by the electric vehicle market</t>
  </si>
  <si>
    <t>Market segmentation; Product attributes; Market data exploitation; Battery Electric Vehicle (BEV); principal component analysis (PCA); Inverse clustering</t>
  </si>
  <si>
    <t>QUASI-NEWTON METHODS; COMPONENT ANALYSIS; CLUSTERS; NUMBER; MODEL; IMPLEMENTATION; SELECTION; STRATEGY</t>
  </si>
  <si>
    <t>Market segmentation is crucial for companies to recognise the distribution of products in the market and to identify 'unexploited' segments that hold the potential for new products not yet available in the market. However, recognising market segments that are not yet occupied by any product requires extensive research and data analysis. To address this challenge, we present a new systematic, data-driven approach to market segmentation based on product attributes data. This approach combines three data mining methods (singular value decomposition, principal component analysis, and clustering) with a newly developed inverse clustering algorithm. Inverse clustering introduces interpretable variables (i.e., principal components) and quantitatively identifies unexploited market segments distinct from existing ones. We apply this approach to a use case of battery electric vehicles to demonstrate its effectiveness in supporting product positioning and analysing market data. Leveraging the developed techniques and algorithms could bridge the gap between product development and market potential by identifying opportunities for new products. The approach offers better explainability and applicability of market segments, effectively identifying unexploited market segments that traditional market research methods may have overlooked.</t>
  </si>
  <si>
    <t>[Jodlbauer, Herbert; Tripathi, Shailesh; Bachmann, Nadine; Brunner, Manuel] Univ Appl Sci Upper Austria, Ctr Data Driven Business Model Innovat, Wehrgrabengasse 1-3, A-4400 Steyr, Austria</t>
  </si>
  <si>
    <t>Jodlbauer, H (corresponding author), Univ Appl Sci Upper Austria, Ctr Data Driven Business Model Innovat, Wehrgrabengasse 1-3, A-4400 Steyr, Austria.</t>
  </si>
  <si>
    <t>herbert.jodlbauer@fh-steyr.at; shailesh.tripathi@fh-steyr.at; nadine.bachmann@fh-steyr.at; manuel.brunner@fh-steyr.at</t>
  </si>
  <si>
    <t>Herbert, Jodlbauer/0000-0002-0373-6625</t>
  </si>
  <si>
    <t>Austrian Federal Ministry for Digital and Economic Affairs; National Foundation for Research, Technology and Development; Christian Doppler Research Association; Government of Upper Austria</t>
  </si>
  <si>
    <t>The financial support by the Austrian Federal Ministry for Digital and Economic Affairs, the National Foundation for Research, Technology and Development, and the Christian Doppler Research Association is gratefully acknowledged. This work was supported by the research project X-PRO. The project X-PRO is financed by research subsidies granted by the government of Upper Austria.</t>
  </si>
  <si>
    <t>NOV 15</t>
  </si>
  <si>
    <t>10.1016/j.eswa.2024.124331</t>
  </si>
  <si>
    <t>UZ3C4</t>
  </si>
  <si>
    <t>WOS:001251837700001</t>
  </si>
  <si>
    <t>Wang, JT; Tan, LY; Ma, XB; Gao, KY; Jia, HP; Yang, L</t>
  </si>
  <si>
    <t>Wang, Jiantai; Tan, Longyan; Ma, Xiaobing; Gao, Kaiye; Jia, Heping; Yang, Li</t>
  </si>
  <si>
    <t>Prognosis-driven reliability analysis and replacement policy optimization for two-phase continuous degradation</t>
  </si>
  <si>
    <t>Cost management; Policy optimization; Two-stage degradation; Replacement; Prediction</t>
  </si>
  <si>
    <t>CONDITION-BASED MAINTENANCE; PREVENTIVE MAINTENANCE; COMPETING FAILURES; SYSTEMS; DELAY; INSPECTION; SUBJECT</t>
  </si>
  <si>
    <t>Numerous industrial assets inevitably encounter defect emergence during actual operation, which significantly aggravates the degradation process. This study investigates a prognosis-driven, multi-threshold inspection and replacement model for two-phase continuous degradation. Inspections are equally space to reveal the health state as well as real-time degradation level. Three degrees of control limits, namely corrective limit, defective limit and normal limit are scheduled to manipulate replacement frequencies under separate system states. At an inspection, if the system is diagnosed as normal while the degradation exceeds the normal limit, preventive replacement is postponed according to: (a) residual lifetime expectation adjusted by a control coefficient, and (b) defect identification time, whichever occurs first. Otherwise if the system is found defective with degradation exceeding the defective limit, replacement is also postponed according to a stricter coefficient. The cost model is formulated, which seeks to minimize the long-run cost rate through the joint optimization of inspection interval, control limits and safety coefficients. The applicability of the proposed model is justified via a case study on highspeed rail bearings.</t>
  </si>
  <si>
    <t>[Wang, Jiantai; Tan, Longyan; Ma, Xiaobing; Yang, Li] Beihang Univ, Sch Reliabil &amp; Syst Engn, Beijing 100191, Peoples R China; [Gao, Kaiye] Beijing Informat Sci &amp; Technol Univ, Sch Econ &amp; Management, Beijing 100096, Peoples R China; [Jia, Heping] North China Elect Power Univ, Sch Econ &amp; Management, Beijing 102208, Peoples R China</t>
  </si>
  <si>
    <t>Beihang University; Beijing Information Science &amp; Technology University; North China Electric Power University</t>
  </si>
  <si>
    <t>National Natural Science Foundation of China [72101010, 72001078]; National Key Laboratory Foundation [KZ42004001]; Double First Class Special Budget [ZG216S21C3]; Central University Foundation Scientific Research Fund Special Fund [KG16166501]</t>
  </si>
  <si>
    <t>National Natural Science Foundation of China(National Natural Science Foundation of China (NSFC)); National Key Laboratory Foundation; Double First Class Special Budget; Central University Foundation Scientific Research Fund Special Fund</t>
  </si>
  <si>
    <t>This work is supported partially by the National Natural Science Foundation of China (Grant Nos. 72101010 and 72001078), National Key Laboratory Foundation (Grant No. KZ42004001), and the DoubleFirst Class Special Budget (Grant No. ZG216S21C3), and the Central University Foundation Scientific Research Fund Special Fund (Grant No. KG16166501).</t>
  </si>
  <si>
    <t>10.1016/j.ress.2022.108909</t>
  </si>
  <si>
    <t>WOS:000900397900006</t>
  </si>
  <si>
    <t>Wu, B; Zhang, YM; Zhao, SZ</t>
  </si>
  <si>
    <t>Wu, Bei; Zhang, Yamei; Zhao, Songzheng</t>
  </si>
  <si>
    <t>Modeling coupled effects of dynamic environments and zoned shocks on systems under dependent failure processes</t>
  </si>
  <si>
    <t>Degradation modeling; Random shocks; Dynamic environments; Zoned shock effects; Reliability indexes</t>
  </si>
  <si>
    <t>RELIABILITY-ANALYSIS; MAINTENANCE; SUBJECT; DEGRADATION; AVAILABILITY; POLICIES</t>
  </si>
  <si>
    <t>In this paper, we focus on systems suffering from multiple dependent competing failure processes under coupled effects of zoned shocks and dynamic environments. A reliability and maintenance model is developed for a real-time inspected system subject to linear degradation and random shocks, in which the internal degradation rate and shock arrival rate are affected by a dynamic environment. Shocks are classified into four zones based on their magnitude, including the safety zone, probability damage zone, damage zone, and fatal zone. Explicit formulas for calculating reliability indexes of systems are derived, including the reliability function, availability function, and steady-state availability. Meanwhile, simulation algorithms for calculating these reliability indexes are provided based on the Monte Carlo method, which is beneficial to the verification of the analytical method. Finally, a case study of micro-engine systems is given to illustrate the proposed models and obtained results, exhibiting that zoned shocks and dynamic environments have a significant effect on system performance.</t>
  </si>
  <si>
    <t>[Wu, Bei; Zhang, Yamei; Zhao, Songzheng] Northwestern Polytech Univ, Sch Management, Xian 710072, Peoples R China</t>
  </si>
  <si>
    <t>Zhang, YM (corresponding author), Northwestern Polytech Univ, Sch Management, Xian 710072, Peoples R China.</t>
  </si>
  <si>
    <t>zhangyamei@mail.nwpu.edu.cn</t>
  </si>
  <si>
    <t>10.1016/j.ress.2022.108911</t>
  </si>
  <si>
    <t>CR0Q5</t>
  </si>
  <si>
    <t>WOS:001126856900001</t>
  </si>
  <si>
    <t>Bhasin, A; Tripathi, M</t>
  </si>
  <si>
    <t>Bhasin, Ashish; Tripathi, Manas</t>
  </si>
  <si>
    <t>A Software Life-Extending Outsourcing Model: An Ethnographic Action Research of a Product Transformation for a European Telecom Equipment Manufacturer</t>
  </si>
  <si>
    <t>Software; Outsourcing; Organizations; Costs; Hardware; Product development; Standards organizations; End of life (EOL) products; maintenance; outsourcing; outsourcing strategy; software life-extending outsourcing model (SLEOM); sunset phase; sustenance</t>
  </si>
  <si>
    <t>INFORMATION-SYSTEMS; CYCLE MANAGEMENT; PARTNERSHIP; ONTOLOGY; TEAMS</t>
  </si>
  <si>
    <t>Maximizing returns on software development costs have been a prime objective of product organizations. As the products mature, the organization explores alternatives to extend an existing product's life or retire it from its product portfolio. This article examines the changing trends of the outsourcing model for software product organizations based on a product's lifecycle and technology maturity. Adopting an ethnographic action research methodology, we study the journey of a software product's (re)aligning outsourcing strategy while evolving a parallel strategy for retiring products by either shifting focus from fixed to variable costs or monetizing them as software assets. As part of the conclusion, a software life-extending outsourcing model has been proposed based on the specific phase of product development and technology maturity. The article includes research implications for practice and academia in strategizing outsourcing based on a product's development phase.</t>
  </si>
  <si>
    <t>[Bhasin, Ashish] IIM Rohtak, Rohtak 124010, Haryana, India; [Tripathi, Manas] Indian Inst Management Rohtak, Management Informat Syst, Rohtak 124010, Haryana, India</t>
  </si>
  <si>
    <t>Indian Institute of Management (IIM System); Indian Institute of Management Rohtak; Indian Institute of Management (IIM System); Indian Institute of Management Rohtak</t>
  </si>
  <si>
    <t>Bhasin, A (corresponding author), IIM Rohtak, Rohtak 124010, Haryana, India.</t>
  </si>
  <si>
    <t>efpm01.015@iimrohtak.ac.in; manas.tripathi@iimrohtak.ac.in</t>
  </si>
  <si>
    <t>Bhasin, Ashish/ACA-3111-2022; Tripathi, Manas/MEP-4066-2025</t>
  </si>
  <si>
    <t>Tripathi, Manas/0000-0003-4720-3908; Bhasin, Ashish/0000-0002-0279-9771</t>
  </si>
  <si>
    <t>10.1109/TEM.2021.3125245</t>
  </si>
  <si>
    <t>WOS:000732627100001</t>
  </si>
  <si>
    <t>George-Williams, H; Feng, G; Coolen, FPA; Beer, M; Patelli, E</t>
  </si>
  <si>
    <t>George-Williams, Hindolo; Feng, Geng; Coolen, Frank P. A.; Beer, Michael; Patelli, Edoardo</t>
  </si>
  <si>
    <t>Extending the survival signature paradigm to complex systems with non-repairable dependent failures</t>
  </si>
  <si>
    <t>Dependencies; survival signature; Monte Carlo simulation; system reliability; multiple failure mode</t>
  </si>
  <si>
    <t>COMMON-CAUSE FAILURES; RELIABILITY; SIMULATION; OPTIMIZATION; MAINTENANCE; METHODOLOGY; INFERENCE; FLOW</t>
  </si>
  <si>
    <t>Dependent failures impose severe consequences on a complex system's reliability and overall performance, and a realistic assessment, therefore, requires an adequate consideration of these failures. System survival signature opens up a new and efficient way to compute a system's reliability, given its ability to segregate the structural from the probabilistic attributes of the system. Consequently, it outperforms the well-known system reliability evaluation techniques, when solicited for problems like maintenance optimisation, requiring repetitive system evaluations. The survival signature, however, is premised on the statistical independence between component failure times and, more generally, on the theory of weak exchangeability, for dependent component failures. The assumption of independence is flawed for most realistic engineering systems while the latter entails the painstaking and sometimes impossible task of deriving the joint survival function of the system components. This article, therefore, proposes a novel, generally applicable, and efficient Monte Carlo Simulation approach that allows the survival signature to be intuitively used for the reliability evaluation of systems susceptible to induced failures. Multiple component failure modes, as well, are considered, and sensitivities are analysed to identify the most critical common-cause group to the survivability of the system. Examples demonstrate the superiority of the approach.</t>
  </si>
  <si>
    <t>[George-Williams, Hindolo; Beer, Michael; Patelli, Edoardo] Univ Liverpool, Inst Risk &amp; Uncertainty, Chadwick Bldg,Peach St, Liverpool L69 7ZF, Merseyside, England; [George-Williams, Hindolo] Natl Tsing Hua Univ, Inst Nucl Engn &amp; Sci, Hsinchu, Taiwan; [Feng, Geng] Univ Cent Lancashire, Sch Engn, Preston, Lancs, England; [Coolen, Frank P. A.] Univ Durham, Dept Math Sci, Durham, England; [Beer, Michael] Leibniz Univ Hannover, Inst Risk &amp; Reliabil, Hannover, Germany; [Beer, Michael] Tongji Univ, Sch Civil Engn, Shanghai, Peoples R China; [Beer, Michael] Tongji Univ, Shanghai Inst Disaster Prevent &amp; Relief, Shanghai, Peoples R China</t>
  </si>
  <si>
    <t>University of Liverpool; National Tsing Hua University; University of Central Lancashire; Durham University; Leibniz University Hannover; Tongji University; Tongji University</t>
  </si>
  <si>
    <t>Patelli, E (corresponding author), Univ Liverpool, Inst Risk &amp; Uncertainty, Chadwick Bldg,Peach St, Liverpool L69 7ZF, Merseyside, England.</t>
  </si>
  <si>
    <t>edoardo.patelli@liverpool.ac.uk</t>
  </si>
  <si>
    <t>Beer, Michael/G-2050-2015; Patelli, Edoardo/B-1364-2010</t>
  </si>
  <si>
    <t>Patelli, Edoardo/0000-0002-5007-7247; Beer, Michael/0000-0002-0611-0345</t>
  </si>
  <si>
    <t>EPSRC grant Smart on-line monitoring for nuclear power plants (SMART) [EP/M018415/1]; EPSRC [EP/L015927/1]; ESRC Centre for Doctoral Training on Quantification and Management of Risk &amp; Uncertainty in Complex Systems Environments [EP/L015927/1]; EPSRC [EP/M018415/1] Funding Source: UKRI</t>
  </si>
  <si>
    <t>EPSRC grant Smart on-line monitoring for nuclear power plants (SMART)(UK Research &amp; Innovation (UKRI)Engineering &amp; Physical Sciences Research Council (EPSRC)); EPSRC(UK Research &amp; Innovation (UKRI)Engineering &amp; Physical Sciences Research Council (EPSRC)); ESRC Centre for Doctoral Training on Quantification and Management of Risk &amp; Uncertainty in Complex Systems Environments; EPSRC(UK Research &amp; Innovation (UKRI)Engineering &amp; Physical Sciences Research Council (EPSRC))</t>
  </si>
  <si>
    <t>The author(s) disclosed receipt of the following financial support for the research, authorship, and/or publication of this article: This work was partially supported by the EPSRC grant Smart on-line monitoring for nuclear power plants (SMART) (EP/M018415/1) and the EPSRC and ESRC Centre for Doctoral Training on Quantification and Management of Risk &amp; Uncertainty in Complex Systems &amp; Environments (EP/L015927/1).</t>
  </si>
  <si>
    <t>10.1177/1748006X18808085</t>
  </si>
  <si>
    <t>WOS:000478598600001</t>
  </si>
  <si>
    <t>Hu, LH; Liu, HK; Zhang, JF; Liu, AQ</t>
  </si>
  <si>
    <t>Hu, Lihua; Liu, Hongkai; Zhang, Jifu; Liu, Aiqin</t>
  </si>
  <si>
    <t>KR-DBSCAN: A density-based clustering algorithm based on reverse nearest neighbor and influence space</t>
  </si>
  <si>
    <t>Density-based clustering; Cluster expansion; Reverse nearest neighborhood; Influence space; Core object</t>
  </si>
  <si>
    <t>Density-based clustering is one of the most commonly used analysis methods in data mining and machine learning, with the advantage of locating non-ball-shaped clusters without specifying the number of clusters in advance. However, it has notable shortcomings, such as an inability to distinguish adjacent clusters of different densities. We propose a density-based clustering algorithm, KR-DBSCAN, which is based on the reverse nearest neighbor and influence space. The core objects are identified according to the reverse nearest neighborhood, and their influence spaces are determined by calculating the k-nearest neighborhood and reverse nearest neighborhood for each data object under the Euclidean distance metric. In particular, a new cluster expansion condition is defined using the reverse nearest neighborhood and its influence space, and when the core objects are within their influence spaces, they are added to the cluster by breadth-first traversal. As a result, adjacent clusters with different densities are effectively distinguished, and the computational load is substantially reduced. Boundary objects and noise objects are identified, also using k-nearest neighbors. KR-DBSCAN is experimentally validated on the UCI dataset and some synthetic datasets.</t>
  </si>
  <si>
    <t>[Hu, Lihua; Liu, Hongkai; Zhang, Jifu; Liu, Aiqin] Taiyuan Univ Sci &amp; Technol, Sch Comp Sci &amp; Technol, Taiyuan 030024, Peoples R China</t>
  </si>
  <si>
    <t>Taiyuan University of Science &amp; Technology</t>
  </si>
  <si>
    <t>Zhang, JF (corresponding author), Taiyuan Univ Sci &amp; Technol, Sch Comp Sci &amp; Technol, Taiyuan 030024, Peoples R China.</t>
  </si>
  <si>
    <t>sxtyhlh@126.com; liuhongkai0422@qq.com; jifuzh@sina.com; 103125260@qq.com</t>
  </si>
  <si>
    <t>liu, Aiqin/AGK-2956-2022; Hu, Lihua/AAD-6118-2019</t>
  </si>
  <si>
    <t>zhang, jifu/0000-0002-0396-8901</t>
  </si>
  <si>
    <t>National Natural Science Foundation of China (NSFC) [61876122]; Scientific and Technological Innovation Team of Shanxi Province, P.R. China [201805D131007]</t>
  </si>
  <si>
    <t>National Natural Science Foundation of China (NSFC)(National Natural Science Foundation of China (NSFC)); Scientific and Technological Innovation Team of Shanxi Province, P.R. China</t>
  </si>
  <si>
    <t>This work is supported by the National Natural Science Foundation of China (NSFC) under Grant No. 61876122, and Scientific and Technological Innovation Team of Shanxi Province, P.R. China (201805D131007). We thank the two anonymous reviewers for their inspiring comments and suggestions, as well as LetPub (www.letpub.com) for its linguistic assistance during the preparation of this manuscript.</t>
  </si>
  <si>
    <t>DEC 30</t>
  </si>
  <si>
    <t>10.1016/j.eswa.2021.115763</t>
  </si>
  <si>
    <t>WE3LM</t>
  </si>
  <si>
    <t>WOS:000705531600008</t>
  </si>
  <si>
    <t>Sharma, KK; Seal, A</t>
  </si>
  <si>
    <t>Sharma, Krishna Kumar; Seal, Ayan</t>
  </si>
  <si>
    <t>Modeling uncertain data using Monte Carlo integration method for clustering</t>
  </si>
  <si>
    <t>Uncertain data modeling; Monte Carlo integration; Kullback-Leibler divergence; Jeffreys divergence; Clustering analysis</t>
  </si>
  <si>
    <t>DIVERGENCE ESTIMATION; SELECTION</t>
  </si>
  <si>
    <t>Nowadays, data clustering is an important task to the mining research community since the availability of uncertain data is increasing rapidly in many applications such as weather forecasting, business information management systems. In this work, proposed Monte Carlo integration based uncertain objects modeling technique is compared with three state-of-the-art methods namely, kernel density estimation, Dempster-Shafer, and Monte Carlo simulation. Then Kullback-Leibler and Jeffrey divergences are used to measure the similarity between uncertain objects and merge them with modified DBSCAN and k-medoids clustering algorithms. A heuristic algorithm is proposed to find the optimum radius, which is one of the inputs of DBSCAN. All the experiments are performed on one synthesized dataset and three real datasets namely, weather data, Japanese vowels and activity of daily living data. Five performance measures namely, accuracy, precision, recall, F-score, and Jaccard index are considered for comparing proposed method with state-of-the-art methods. Two non-parametric tests namely, Wilcoxon rank sum and sign test are also conducted. These results denote the effectiveness and efficiency of the proposed method over state-of-the-art methods. (C) 2019 Elsevier Ltd. All rights reserved.</t>
  </si>
  <si>
    <t>[Sharma, Krishna Kumar; Seal, Ayan] PDPM Indian Inst Informat Technol Design &amp; Mfg, Jabalpur 482005, Madhya Pradesh, India</t>
  </si>
  <si>
    <t>Indian Institute of Information Technology Design &amp; Manufacturing, Jabalpur</t>
  </si>
  <si>
    <t>Seal, A (corresponding author), PDPM Indian Inst Informat Technol Design &amp; Mfg, Jabalpur 482005, Madhya Pradesh, India.</t>
  </si>
  <si>
    <t>ayan@iiitdmj.ac.in</t>
  </si>
  <si>
    <t>Seal, Ayan/AAI-1929-2020; Sharma, Krishna/AAI-2710-2020</t>
  </si>
  <si>
    <t>Seal, Ayan/0000-0002-9939-2926</t>
  </si>
  <si>
    <t>Media Lab Asia, Ministry of Electronics and Information Technology, Government of India</t>
  </si>
  <si>
    <t>The authors are very grateful to the Editor-in-Chief and anonymous reviewers for their constructive and crucial comments on the paper. Ayan Seal is also grateful to Media Lab Asia, Ministry of Electronics and Information Technology, Government of India for providing him young faculty research fellowship.</t>
  </si>
  <si>
    <t>10.1016/j.eswa.2019.06.050</t>
  </si>
  <si>
    <t>WOS:000487167500008</t>
  </si>
  <si>
    <t>Tong, P; Liu, CL</t>
  </si>
  <si>
    <t>Tong Peng; Liu Chunling</t>
  </si>
  <si>
    <t>Designing differential service strategy for two-dimensional warranty based on warranty claim data under consumer-side modularisation</t>
  </si>
  <si>
    <t>Two-dimensional warranty; warranty claim data; modelling; consumer-side modularisation; strategy</t>
  </si>
  <si>
    <t>PREVENTIVE MAINTENANCE STRATEGY; EXTENDED WARRANTY; POLICIES; MODEL; REPLACEMENT; INSPECTION; PRODUCTS; RETURN; SOLD</t>
  </si>
  <si>
    <t>With the development of modular manufacturing technology and diversified demand for products, the demand for differential warranty service has become increasingly prominent. This article proposes a differential service strategy for two-dimensional warranty using warranty claim data under consumer-side modularisation. In contrast to previous research that optimised maintenance strategies under a given failure density function, this article obtains actual usage rate and failure density functions of main failure types by determining the function type and parameter fitting. A detailed case study of a product under a two-dimensional warranty is discussed to interpret the proposed model. Using the mathematical model proposed in this research, warranty service providers can offer consumers a differential warranty service under consumer-side modularisation.</t>
  </si>
  <si>
    <t>[Tong Peng] China Univ Min &amp; Technol, Sch Management, Xuzhou 221116, Jiangsu, Peoples R China; [Liu Chunling] Xuzhou Construct Machinery Grp Co Ltd, Xuzhou, Jiangsu, Peoples R China</t>
  </si>
  <si>
    <t>China University of Mining &amp; Technology; XCMG Group</t>
  </si>
  <si>
    <t>Tong, P (corresponding author), China Univ Min &amp; Technol, Sch Management, Xuzhou 221116, Jiangsu, Peoples R China.</t>
  </si>
  <si>
    <t>flyingmantong@163.com</t>
  </si>
  <si>
    <t>National Natural Science Foundation of China [71701200, 71532008, 71971210]; Postdoctoral Fund of China [2016M590525]; Postdoctoral Fund of Jiangsu [1601246C]</t>
  </si>
  <si>
    <t>National Natural Science Foundation of China(National Natural Science Foundation of China (NSFC)); Postdoctoral Fund of China(China Postdoctoral Science Foundation); Postdoctoral Fund of Jiangsu</t>
  </si>
  <si>
    <t>The author(s) disclosed receipt of the following financial support for the research, authorship and/or publication of this article: This article was supported by the National Natural Science Foundation of China (nos 71701200, 71532008, 71971210), the Postdoctoral Fund of China (no. 2016M590525) and the Postdoctoral Fund of Jiangsu (no. 1601246C).</t>
  </si>
  <si>
    <t>1748006X19886162</t>
  </si>
  <si>
    <t>10.1177/1748006X19886162</t>
  </si>
  <si>
    <t>LM6FR</t>
  </si>
  <si>
    <t>WOS:000499756900001</t>
  </si>
  <si>
    <t>Wu, B; Ding, D</t>
  </si>
  <si>
    <t>Wu, Bei; Ding, Dong</t>
  </si>
  <si>
    <t>A gamma process based model for systems subject to multiple dependent competing failure processes under Markovian environments</t>
  </si>
  <si>
    <t>Gamma process; Random shock; Degradation; Multiple dependent competing failure processes; Markov process; Reliability function; System availability</t>
  </si>
  <si>
    <t>CONDITION-BASED MAINTENANCE; RELIABILITY-ANALYSIS; NUMERICAL INVERSION; DEGRADATION; POLICY</t>
  </si>
  <si>
    <t>The performance rules of many products that suffer from both natural degradation and random shocks may have discrepancies in different environments during their service life. This article proposes a reliability model for systems subject to multiple dependent competing failure processes affected by Markovian environments. The effect of dynamic environment is embodied in that the natural wear behavior of the system in different environments is controlled by distinct gamma processes. A maintenance model is developed in the case where switches of environment states take place only when systems are operating. Explicit formulas for system reliability indexes including the reliability function, first failure time distribution, mean time to first failure, and system availability are analytically derived in the form of Laplace transforms. In order to verify the correctness of the analytical formula, a simulation algorithm for evaluating the reliability function is proposed. Finally, they are applied to a study case of the micro-engine system, which illustrates the applicability of proposed models and the validity of obtained results.</t>
  </si>
  <si>
    <t>[Wu, Bei] Northwestern Polytech Univ, Sch Management, Xian 710072, Peoples R China; [Ding, Dong] Changan Univ, Sch Highway, Xian 710064, Peoples R China</t>
  </si>
  <si>
    <t>Northwestern Polytechnical University; Chang'an University</t>
  </si>
  <si>
    <t>ding, dong/AGC-9614-2022</t>
  </si>
  <si>
    <t>ding, dong/0000-0003-2623-5046</t>
  </si>
  <si>
    <t>Fundamental Research Funds for the Central Universities [3102021XJS05]</t>
  </si>
  <si>
    <t>Fundamental Research Funds for the Central Universities(Fundamental Research Funds for the Central Universities)</t>
  </si>
  <si>
    <t>The study is supported by the Fundamental Research Funds for the Central Universities (Grant No. 3102021XJS05).</t>
  </si>
  <si>
    <t>10.1016/j.ress.2021.108112</t>
  </si>
  <si>
    <t>WOS:000708365800027</t>
  </si>
  <si>
    <t>Wu, B; Cui, LR</t>
  </si>
  <si>
    <t>Wu, Bei; Cui, Lirong</t>
  </si>
  <si>
    <t>Reliability analysis of periodically inspected systems with competing risks under Markovian environments</t>
  </si>
  <si>
    <t>Random shocks; Degradation; Multiple failure modes; Markov processes; Reliability functions; Optimal inspection</t>
  </si>
  <si>
    <t>STATISTICAL-INFERENCE; DEGRADATION; SHOCK; WEAR; SUBJECT; AVAILABILITY; MODELS; TIME</t>
  </si>
  <si>
    <t>We develop a reliability and maintenance model for a periodically inspected system with competing risks subject to a randomly evolving operating environment, which is modeled as a continuous-time homogeneous absorbing Markov process. The natural wear rate and shock arrival rate are both modulated by Markovian environments. Specifically, three competing failure processes are considered. System failures may occur when an extremely harsh environment arrives, when the magnitude of a shock load exceeds a fixed value, or when the overall cumulative degradation caused jointly by the natural wear and abrupt additions due to shocks hits a preset threshold. Explicit formulas for reliability functions and first failure time moments of systems are derived. A Monte-Carlo simulation algorithm to obtain the first failure time of the system when shock arrivals are governed by non-homogenous Poisson processes is proposed. An optimal maintenance policy using periodic inspection is developed by minimizing the average long-run cost rate where the decision variable is the inspection interval. A case study of micro-engine systems is given to illustrate the developed reliability and maintenance model, which exhibits that an increased failure threshold value improves the system reliability and reduces the minimum average long-run cost rate.</t>
  </si>
  <si>
    <t>[Wu, Bei] Northwestern Polytech Univ, Sch Management, Xian, Peoples R China; [Cui, Lirong] Qingdao Univ, Coll Qual &amp; Standardizat, Qingdao, Peoples R China</t>
  </si>
  <si>
    <t>Northwestern Polytechnical University; Qingdao University</t>
  </si>
  <si>
    <t>Wu, B (corresponding author), Northwestern Polytech Univ, Sch Management, Xian, Peoples R China.</t>
  </si>
  <si>
    <t>315562327@qq.com</t>
  </si>
  <si>
    <t>Cui, Lirong/JHU-9897-2023</t>
  </si>
  <si>
    <t>Cui, Lirong/0000-0002-8987-4307</t>
  </si>
  <si>
    <t>10.1016/j.cie.2021.107415</t>
  </si>
  <si>
    <t>WOS:000667165200058</t>
  </si>
  <si>
    <t>Janani, R; Vijayarani, S</t>
  </si>
  <si>
    <t>Janani, R.; Vijayarani, S.</t>
  </si>
  <si>
    <t>Text document clustering using Spectral Clustering algorithm with Particle Swarm Optimization</t>
  </si>
  <si>
    <t>Text mining; Information retrieval; Text clustering; Spectral clustering; Optimization techniques; SK-means; Expectation-Maximization; Particle Swarm Optimization; SCPSO</t>
  </si>
  <si>
    <t>Document clustering is a gathering of textual content documents into groups or clusters. The main aim is to cluster the documents, which are internally logical but considerably different from each other. It is a crucial process used in information retrieval, information extraction and document organization. In recent years, the spectral clustering is widely applied in the field of machine learning as an innovative clustering technique. This research work proposes a novel Spectral Clustering algorithm with Particle Swarm Optimization (SCPSO) to improve the text document clustering. By considering global and local optimization function, the randomization is carried out with the initial population. This research work aims at combining the spectral clustering with swarm optimization to deal with the huge volume of text documents. The proposed algorithm SCPSO is examined with the benchmark database against the other existing approaches. The proposed algorithm SCPSO is compared with the Spherical K-means, Expectation Maximization Method (EM) and standard PSO Algorithm. The concluding results show that the proposed SCPSO algorithm yields better clustering accuracy than other clustering techniques. (C) 2019 Elsevier Ltd. All rights reserved.</t>
  </si>
  <si>
    <t>[Janani, R.; Vijayarani, S.] Bhamthiar Univ, Dept Comp Sci, Coimbatore, Tamil Nadu, India</t>
  </si>
  <si>
    <t>Janani, R (corresponding author), Bhamthiar Univ, Dept Comp Sci, Coimbatore, Tamil Nadu, India.</t>
  </si>
  <si>
    <t>janani.sengodi@gmail.com</t>
  </si>
  <si>
    <t>, S.Vijayarani/AAG-2905-2020; R, JANANI/ISA-0406-2023</t>
  </si>
  <si>
    <t>, Dr S Vijayarani/0000-0002-0431-0490</t>
  </si>
  <si>
    <t>10.1016/j.eswa.2019.05.030</t>
  </si>
  <si>
    <t>IJ6FH</t>
  </si>
  <si>
    <t>WOS:000475997000016</t>
  </si>
  <si>
    <t>Wang, LY; Song, YS; Pei, ZN</t>
  </si>
  <si>
    <t>Wang, Liying; Song, Yu Shuang; Pei, Zhaona</t>
  </si>
  <si>
    <t>Optimal condition-based warranty policy for multi-state products with three guarantees service</t>
  </si>
  <si>
    <t>Three guaranteed service; condition-based warranty policy; Markov process; renewal process</t>
  </si>
  <si>
    <t>2-DIMENSIONAL WARRANTY; EXTENDED WARRANTY; COST-ANALYSIS; REPAIR TIME; MODELS; OPTIMIZATION; STRATEGIES; LENGTH; SYSTEM</t>
  </si>
  <si>
    <t>Within a certain period of time after products are sold, many manufacturers offer free repairing, replacing and refunding for the defective products, referred to as three guarantees service. Under the assumption that the working states of the product can be partitioned into three non-overlapping sets and its degradation can be modeled by homogeneous Markov chain, a three-stage and conditioned-based warranty model is proposed. Under the model, the whole warranty period is divided into a compulsory replacement period, a condition-based maintenance period, and a minimal repair period. Over the condition-based maintenance period, depending on the state set that the working state before the failure belongs to, failed products are rectified minimally, imperfectly, replaced by an identical one and the warranty terms are renewed, respectively. Markov process and renewal process theories are used to analyze the failure process and the warranty servicing cost over the whole warranty period. Based on double Riemann sum, a recursive algorithm for finding the optimal partition method of working states and the warranty period is proposed. A numerical example is given to illustrate the validity of the warranty strategy.</t>
  </si>
  <si>
    <t>[Wang, Liying; Song, Yu Shuang] Shijiazhuang Tiedao Inst, Dept Math &amp; Phys, Shijiazhuang 050043, Hebei, Peoples R China; [Pei, Zhaona] Tianjin Univ, Coll Management &amp; Econ, Tianjin, Peoples R China</t>
  </si>
  <si>
    <t>Wang, LY (corresponding author), Shijiazhuang Tiedao Inst, Dept Math &amp; Phys, Shijiazhuang 050043, Hebei, Peoples R China.</t>
  </si>
  <si>
    <t>wly_sjz@126.com</t>
  </si>
  <si>
    <t>NSF of China [72071071]; Universities in Hebei province science and technology research project [ZD2018073]</t>
  </si>
  <si>
    <t>NSF of China(National Natural Science Foundation of China (NSFC)); Universities in Hebei province science and technology research project</t>
  </si>
  <si>
    <t>This work is supported partly by the NSF of China Grants (72071071) and Universities in Hebei province science and technology research project (ZD2018073).</t>
  </si>
  <si>
    <t>10.1080/16843703.2022.2034260</t>
  </si>
  <si>
    <t>0L6TM</t>
  </si>
  <si>
    <t>WOS:000767662000001</t>
  </si>
  <si>
    <t>Panwong, P; Boongoen, T; Iam-On, N</t>
  </si>
  <si>
    <t>Panwong, Patcharaporn; Boongoen, Tossapon; Iam-On, Natthakan</t>
  </si>
  <si>
    <t>Improving consensus clustering with noise-induced ensemble generation</t>
  </si>
  <si>
    <t>Consensus clustering; Attribute noise; Ensemble generation</t>
  </si>
  <si>
    <t>ATTRIBUTE NOISE</t>
  </si>
  <si>
    <t>Because of the negative perception towards noise, it is commonly eliminated in the process of data cleansing prior to the analysis process. Some studies attempt to employ tolerant or robust algorithms to achieve a reliable outcome. One way or another, the impact of noise might be minimized, thus preserving the integrity of discovered knowledge. On the other hand, making good use of noise has recently been investigated and exploited in different contexts, such as in privacy-preserving data mining, single clustering and consensus clustering. Given our initial study of employing uniform random noise in the process of ensemble generation as a way to increase diversity within an ensemble, improved clustering goodness can be obtained at specific levels of noise. To consolidate the aforementioned finding, this paper investigates a rich collection of random noise functions, which can be used to form perturbed data variation within the framework of noise-induced ensemble generation. The effectiveness of this approach which uses different cases for random noise is demonstrated over benchmark datasets from the UCI repository. The results suggest that the noise-induced strategy is generally better than the baseline counterpart, whilst showing uneven improvement with different data patterns. As such, a guideline is provided to make the best use of the proposed method with any new set of data. (C) 2019 Elsevier Ltd. All rights reserved.</t>
  </si>
  <si>
    <t>[Panwong, Patcharaporn; Boongoen, Tossapon; Iam-On, Natthakan] Mae Fah Luang Univ, Ctr Excellence AI &amp; Emerging Technol, Sch Informat Technol, Muang Dist 57100, Chiang Rai, Thailand</t>
  </si>
  <si>
    <t>Boongoen, T (corresponding author), Mae Fah Luang Univ, Ctr Excellence AI &amp; Emerging Technol, Sch Informat Technol, Muang Dist 57100, Chiang Rai, Thailand.</t>
  </si>
  <si>
    <t>patcharaporn.pan@mfu.ac.th; tossapon.boo@mfu.ac.th; natthakan@mfu.ac.th</t>
  </si>
  <si>
    <t>Boongoen, Tossapon/AAO-7089-2020; Iam-on, Natthakan/AAO-7084-2020</t>
  </si>
  <si>
    <t>Boongoen, Tossapon/0000-0002-2874-1922; Iam-On, Natthakan/0000-0002-9060-5331; Boongoen, Tossapon/0009-0009-4849-8948</t>
  </si>
  <si>
    <t>Mae Fah Luang University; Newton Fund (RAE TRF): Industry Academia Partnership Programme - 17/18 [IAPP1/100077]</t>
  </si>
  <si>
    <t>Mae Fah Luang University; Newton Fund (RAE TRF): Industry Academia Partnership Programme - 17/18</t>
  </si>
  <si>
    <t>This research is part of a PhD dissertation and also partly funded by Mae Fah Luang University. Note also that the work is also a part of the project IAPP1/100077 - Newton Fund (RAE TRF): Industry Academia Partnership Programme - 17/18, with Dr Tossapon Boongoen being the PI.</t>
  </si>
  <si>
    <t>MAY 15</t>
  </si>
  <si>
    <t>10.1016/j.eswa.2019.113138</t>
  </si>
  <si>
    <t>KU4AX</t>
  </si>
  <si>
    <t>WOS:000519653400004</t>
  </si>
  <si>
    <t>Almazroi, AA; Khedr, AE; Idrees, AM</t>
  </si>
  <si>
    <t>Almazroi, Abdulwahab Ali; Khedr, Ayman E.; Idrees, Amira M.</t>
  </si>
  <si>
    <t>A proposed customer relationship framework based on information retrieval for effective Firms' competitiveness</t>
  </si>
  <si>
    <t>Information retrieval; Knowledge discovery; Decision making; Decision support systems; Customers? retention</t>
  </si>
  <si>
    <t>SATISFACTION; CAPABILITIES; ADVANTAGE; STRENGTH; MODEL; TEXT</t>
  </si>
  <si>
    <t>Nowadays, firms are strongly racing to raise their competitive level in the international market. As this market has a natural connection, therefore, one of the vital roads for competing is exploring the users? behaviour which continuously changes over time. This research proposes an intelligent information retrieval-based framework which applies a set of techniques to monitor the customers? behaviour and determine the behaviour similarity. These techniques followed a determined opinion mining, knowledge discovery, weight measurement, and text analysis approaches. The aim of the proposed framework is to explore the suitable recommendations for the current customers and acquire new customers who could be selected from the customers? social friends, which leads to the increase of the market share, a raise in the loyal customers? segment, and finally in the firm?s competitiveness level. The framework has been successfully verified in two successful companies, the evaluation included different measures such as responding to change rate, and the customers? segment share percentage. The evaluation presented an increase in the customers? satisfaction level to be 97.91% and 97.31% for the two companies respectively while the willingness of new customers to join the customers? segment has been raised by 83.15%. while However, the study could be further expanded in many directions such as the discovery of the customers? opinion based on different sentiment levels.</t>
  </si>
  <si>
    <t>[Almazroi, Abdulwahab Ali] Univ Jeddah, Coll Comp &amp; Informat Technol Khulais, Dept Informat Technol, Jeddah, Saudi Arabia; [Khedr, Ayman E.; Idrees, Amira M.] Future Univ Egypt, Fac Comp &amp; Informat Technol, Dept Informat Syst, Cairo 11835, Egypt</t>
  </si>
  <si>
    <t>University of Jeddah; Egyptian Knowledge Bank (EKB); Future University in Egypt</t>
  </si>
  <si>
    <t>Almazroi, AA (corresponding author), Future Univ Egypt, Fac Comp &amp; Informat Technol, Dept Informat Syst, Cairo 11835, Egypt.</t>
  </si>
  <si>
    <t>aalmazroi@uj.edu.sa; ayman.khedr@fue.edu.eg; amira.mohamed@fue.edu.eg</t>
  </si>
  <si>
    <t>Khedr, Ayman/JFA-2072-2023; Idrees, Amira/ABG-8426-2021; Almazroi, Abdulwahab/R-9240-2019</t>
  </si>
  <si>
    <t>10.1016/j.eswa.2021.114882</t>
  </si>
  <si>
    <t>SB1DY</t>
  </si>
  <si>
    <t>WOS:000649743900003</t>
  </si>
  <si>
    <t>Ke, YW; Wang, X; Ye, ZG; Zhang, S; Cai, ZQ</t>
  </si>
  <si>
    <t>Ke, Yongwei; Wang, Xin; Ye, Zhenggeng; Zhang, Shuai; Cai, Zhiqiang</t>
  </si>
  <si>
    <t>Binary decision diagram-based reliability modeling of phased-mission manufacturing system processing multi-type products</t>
  </si>
  <si>
    <t>System reliability; phased-mission system; binary decision diagram; machine degradation; multi-type product</t>
  </si>
  <si>
    <t>MAINTENANCE; QUALITY; OPTIMIZATION; SUBJECT</t>
  </si>
  <si>
    <t>The development of science and technology drives phased-mission manufacturing systems to be increasingly complex, which poses significant challenges to system reliability analysis. Although it has been considered that machine degradation is the key factor affecting system reliability, very little has been done to explore the effect of multi-type products on machine degradation, where the dependency of phases processing multi-type products further increases the difficulty in reliability modeling. Focusing on the phased-mission manufacturing system processing multi-type products, this paper presents a novel machine reliability model to investigate the mixed degradation process caused by multi-type products, which characterizes the dynamics of machine reliability. Further, given the proposed dynamic machine reliability model dealing with phase dependency, a binary-decision-diagram-model-based algorithm is proposed to analyze the reliability of phased-mission manufacturing systems when processing multi-type products. Finally, the experimental result verifies the effectiveness of the proposed method, and the accuracy is validated by the traditional Monte Carlo method. Also, the proposed method shows great potential to provide decision support for the operation management of phased-mission manufacturing systems.</t>
  </si>
  <si>
    <t>[Ke, Yongwei; Wang, Xin; Zhang, Shuai; Cai, Zhiqiang] Northwestern Polytech Univ, Sch Mech Engn, Xian, Peoples R China; [Ke, Yongwei; Wang, Xin; Zhang, Shuai; Cai, Zhiqiang] Northwestern Polytech Univ, Key Lab Ind Engn &amp; Intelligent Mfg, Minist Ind &amp; Informat Technol, Xian, Peoples R China; [Ye, Zhenggeng] Zhengzhou Univ, Sch Management, Dept Ind Engn, Zhengzhou, Peoples R China; [Ye, Zhenggeng] Zhengzhou Univ, Sch Management, Dept Ind Engn, Zhengzhou 450001, Peoples R China</t>
  </si>
  <si>
    <t>Northwestern Polytechnical University; Northwestern Polytechnical University; Zhengzhou University; Zhengzhou University</t>
  </si>
  <si>
    <t>Ye, ZG (corresponding author), Zhengzhou Univ, Sch Management, Dept Ind Engn, Zhengzhou 450001, Peoples R China.</t>
  </si>
  <si>
    <t>yezhenggeng@zzu.edu.cn</t>
  </si>
  <si>
    <t>ZHENGGENG, YE/AAO-7424-2020</t>
  </si>
  <si>
    <t>Ye, Zhenggeng/0000-0002-0636-9701</t>
  </si>
  <si>
    <t>National Natural Science Foundation of China [72201250, 72271200]; National Natural Science Foundation of China [2022JM-421]; Natural Science Foundation of Shaanxi Province, China</t>
  </si>
  <si>
    <t>National Natural Science Foundation of China(National Natural Science Foundation of China (NSFC)); National Natural Science Foundation of China(National Natural Science Foundation of China (NSFC)); Natural Science Foundation of Shaanxi Province, China(Natural Science Foundation of Shaanxi Province)</t>
  </si>
  <si>
    <t>This work was supported by the National Natural Science Foundation of China [72201250, 72271200], and the Natural Science Foundation of Shaanxi Province, China [2022JM-421].</t>
  </si>
  <si>
    <t>10.1080/16843703.2023.2286410</t>
  </si>
  <si>
    <t>WOS:001107530800001</t>
  </si>
  <si>
    <t>Shangguan, AQ; Xie, G; Mu, LX; Fei, R; Hei, XH</t>
  </si>
  <si>
    <t>Shangguan, Anqi; Xie, Guo; Mu, Lingxia; Fei, Rong; Hei, Xinhong</t>
  </si>
  <si>
    <t>Reliability modeling: combining self-healing characteristics and dynamic failure thresholds</t>
  </si>
  <si>
    <t>Competing failure processes; reliability modeling; failure threshold; self-healing</t>
  </si>
  <si>
    <t>SYSTEMS SUBJECT; MAINTENANCE</t>
  </si>
  <si>
    <t>The failure threshold of a product is not always constant when affected by random shocks. Thus, this paper establishes a reliability model that combines dynamic failure threshold and self-healing characteristics, which are subjected to the competing failure process. Soft failure is caused by degradation exceeding the soft failure threshold, and hard failure occurs because of random shocks. Degradation consists of natural degradation and a degradation increment caused by shocks. The failure thresholds and degradation rate will also be affected by random shocks. Moreover, the self-healing characteristics in the degradation process, together with the degradation increment, will affect the whole degradation process. When the random shock arrives, the soft and hard failure thresholds will change simultaneously. Based on the above factors, the corresponding analytical expressions of reliability models under different shock models are derived. To confirm the effectiveness of the proposed model, an example of micro-engine is used to verify the constructed reliability model. The influences of self-healing and dynamic thresholds in micro-engines on reliability are studied. The effects of self-healing and thresholds on the models are analyzed, which can provide study basis for the maintenance and replacement of product.</t>
  </si>
  <si>
    <t>[Shangguan, Anqi; Xie, Guo; Mu, Lingxia] Xian Univ Technol, Shaanxi Key Lab Complex Syst Control &amp; Intelligent, Xian, Peoples R China; [Fei, Rong; Hei, Xinhong] Xian Univ Technol, Sch Comp Sci &amp; Engn, Xian, Peoples R China; [Xie, Guo] Xian Univ Technol, Shaanxi Key Lab Complex Syst Control &amp; Intelligent, 5 Jinhua South Rd, Xian, Peoples R China</t>
  </si>
  <si>
    <t>Xi'an University of Technology; Xi'an University of Technology; Xi'an University of Technology</t>
  </si>
  <si>
    <t>Xie, G (corresponding author), Xian Univ Technol, Shaanxi Key Lab Complex Syst Control &amp; Intelligent, 5 Jinhua South Rd, Xian, Peoples R China.</t>
  </si>
  <si>
    <t>guoxie@xaut.edu.cn</t>
  </si>
  <si>
    <t>Mu, Lingxia/MSX-2735-2025</t>
  </si>
  <si>
    <t>Mu, Lingxia/0000-0002-6466-5277</t>
  </si>
  <si>
    <t>National Science Foundation of China [U2034209, 62120106011, U1934222]; Natural Science Foundation of Shaanxi Province of China [2021JC-42]; Doctoral Dissertation Innovation Fund of Xi'an University of Technology [252072218]</t>
  </si>
  <si>
    <t>National Science Foundation of China(National Natural Science Foundation of China (NSFC)); Natural Science Foundation of Shaanxi Province of China(Natural Science Foundation of Shaanxi Province); Doctoral Dissertation Innovation Fund of Xi'an University of Technology</t>
  </si>
  <si>
    <t>The work was supported by the~National Natural Science Foundation of China [No. U2034209, No. 62120106011, and No. U1934222]; the Natural Science Foundation of Shaanxi Province of China [2021JC-42]; the Doctoral Dissertation Innovation Fund of Xi'an University of Technology [252072218].</t>
  </si>
  <si>
    <t>MAY 3</t>
  </si>
  <si>
    <t>10.1080/16843703.2023.2202955</t>
  </si>
  <si>
    <t>KF9J5</t>
  </si>
  <si>
    <t>WOS:000976217300001</t>
  </si>
  <si>
    <t>Dui, HY; Zheng, XQ; Wu, SM</t>
  </si>
  <si>
    <t>Dui, Hongyan; Zheng, Xiaoqian; Wu, Shaomin</t>
  </si>
  <si>
    <t>Resilience analysis of maritime transportation systems based on importance measures</t>
  </si>
  <si>
    <t>Reliability; resilience; importance measure; maritime transportation system</t>
  </si>
  <si>
    <t>COMPONENT IMPORTANCE; OPTIMIZATION; MAINTENANCE; SERVICE; FUTURE</t>
  </si>
  <si>
    <t>In maritime transportation system (MTS), ports and ocean routes are essential for establishing and maintaining effective international trade routes. However, the ability of the ports to send and receive goods can be easily destroyed by political and natural interferences. This will cause a significant negative socio-economic impact such as port operation suspension and route disruption. Effectively implementing resilience management in MTS can therefore improve its ability to handle interruptions and minimizing losses. Based on the post-disaster analysis, this paper proposes a new method to optimize the residual resilience management of ports and routes in MTS and proposes an optimal resilience model. The residual resilience is then applied to some importance measures. The Copeland method is used to comprehensively rank the importance of ports and routes. The restoration priority of interrupted ports and routes of different importance measures for the purpose of minimizing residual resilience is also studied. Sea routes consisting of 23 cities are used to demonstrate the applicability of the proposed method.</t>
  </si>
  <si>
    <t>[Dui, Hongyan; Zheng, Xiaoqian] Zhengzhou Univ, Sch Management Engn, Zhengzhou 450001, Peoples R China; [Wu, Shaomin] Univ Kent, Kent Business Sch, Canterbury CT2 7FS, Kent, England</t>
  </si>
  <si>
    <t>Dui, HY (corresponding author), Zhengzhou Univ, Sch Management Engn, Zhengzhou 450001, Peoples R China.</t>
  </si>
  <si>
    <t>Dui, Hongyan/0000-0002-2277-6454; Wu, Shaomin/0000-0001-9786-3213</t>
  </si>
  <si>
    <t>National Natural Science Foundation of China [72071182, U1904211]; ministry of education's humanities and social sciences planning fund [20YJA630012]</t>
  </si>
  <si>
    <t>National Natural Science Foundation of China(National Natural Science Foundation of China (NSFC)); ministry of education's humanities and social sciences planning fund</t>
  </si>
  <si>
    <t>The authors gratefully acknowledge the financial support for this research from the National Natural Science Foundation of China (72071182, U1904211) and the ministry of education's humanities and social sciences planning fund (No. 20YJA630012).</t>
  </si>
  <si>
    <t>10.1016/j.ress.2021.107461</t>
  </si>
  <si>
    <t>Y</t>
  </si>
  <si>
    <t>N</t>
  </si>
  <si>
    <t>WOS:000663909200024</t>
  </si>
  <si>
    <t>Tang, H; Wang, LZ; Sun, YN; Wang, XH; Ma, TL</t>
  </si>
  <si>
    <t>Tang, Hui; Wang, Lizhi; Sun, Yaning; Wang, Xiaohong; Ma, Tielin</t>
  </si>
  <si>
    <t>Storage Availability Prediction in Unmanned Aerial Vehicle Swarms Using Agent-Based Simulation</t>
  </si>
  <si>
    <t>agent-based simulation; modeling and prediction; storage availability; system management; UAV swarm</t>
  </si>
  <si>
    <t>In practice, when an unmanned aerial vehicle (UAV) swarm is not executing a mission, its UAVs will be stored as inventory. To ensure that the UAV swarm can be quickly deployed when needed, it is necessary to assess and predict its storage state. Due to the flexible configuration of UAV swarms and the complex factors that affect them during storage, existing storage state indicators and prediction methods cannot meet the requirements of UAV swarm storage. In order to address these issues, a UAV swarm storage availability prediction method based on agent-based simulation (ABS) is proposed. Considering the degradation of health status, maintenance, support, and other factors during the storage period of UAVs, a UAV swarm storage state measurement metric that covers the storage cycle is proposed. Based on this metric, a UAV swarm storage availability model is established. Then, considering the dynamic adaptability and internal complex interactions of UAV swarms, the ABS is used to realize the modeling and prediction of UAV swarm storage availability. Finally, a UAV swarm rescue case is used to illustrate its scientific validity and accuracy. Therefore, this study offers a scientific and efficient method for measuring the availability of UAV swarms, providing valuable insights for rapid response and decision-making during the transition from storage to deployment. It also presents a viable approach for availability modeling and prediction in complex, emergent swarm systems.</t>
  </si>
  <si>
    <t>[Tang, Hui] Beihang Univ, Sch Aeronaut Sci &amp; Engn, Beijing, Peoples R China; [Wang, Lizhi; Wang, Xiaohong] Beihang Univ, Sch Reliabil &amp; Syst Engn, Beijing, Peoples R China; [Sun, Yaning] Beijing Syst Design Inst Electromech Engn, Beijing, Peoples R China; [Ma, Tielin] Beihang Univ, Unmanned Syst Inst, Beijing, Peoples R China</t>
  </si>
  <si>
    <t>Beihang University; Beihang University; Chinese Academy of Sciences; Institute of Electrical Engineering, CAS; Beihang University</t>
  </si>
  <si>
    <t>Wang, XH (corresponding author), Beihang Univ, Sch Reliabil &amp; Syst Engn, Beijing, Peoples R China.</t>
  </si>
  <si>
    <t>wxhong@buaa.edu.cn</t>
  </si>
  <si>
    <t>Tang, Hui/0009-0006-2282-0335</t>
  </si>
  <si>
    <t>Science and Technology Innovation 2030-Key Project of New Generation Artificial Intelligence; National Natural Science Foundation of China [62176015]; [2020AAA0108201]</t>
  </si>
  <si>
    <t>Science and Technology Innovation 2030-Key Project of New Generation Artificial Intelligence; National Natural Science Foundation of China(National Natural Science Foundation of China (NSFC));</t>
  </si>
  <si>
    <t>The authors thank the Science and Technology Innovation 2030-Key Project of New Generation Artificial Intelligence under Grant 2020AAA0108201 and the National Natural Science Foundation of China (62176015) for funding.</t>
  </si>
  <si>
    <t>2024 DEC 15</t>
  </si>
  <si>
    <t>10.1002/sys.21798</t>
  </si>
  <si>
    <t>P5S4A</t>
  </si>
  <si>
    <t>WOS:001378502400001</t>
  </si>
  <si>
    <t>Mukhopadhyay, K; Liu, B; Bedford, T; Finkelstein, M</t>
  </si>
  <si>
    <t>Mukhopadhyay, Koushiki; Liu, Bin; Bedford, Tim; Finkelstein, Maxim</t>
  </si>
  <si>
    <t>Remaining lifetime of degrading systems continuously monitored by degrading sensors</t>
  </si>
  <si>
    <t>Sensor degradation; Remaining useful life estimation; Wiener process; System reliability evaluation; Kalman filter</t>
  </si>
  <si>
    <t>MAINTENANCE POLICY; RESIDUAL LIFE; PROGNOSTICS; PREDICTION; MODEL</t>
  </si>
  <si>
    <t>We consider degrading engineering systems monitored by degrading sensors. Since accurate information is crucial for predicting system health condition and the subsequent decision-making, considering the effect of sensor degradation is highly important to determine the justified reliability characteristics of systems such as the remaining useful life (RUL). Although the concept of sensor degradation has been introduced previously in the literature, the remaining useful life estimation in this case or parameter estimation in the presence of sensor degradation has not been studied in detail. To fill the gap, this study aims to estimate the RUL of a system that is continuously monitored by a degrading sensor. In this work, to distinguish sensor degradation from that of the main system, an additional calibration sensor is used to accurately inspect the system health condition at certain points of time. Subsequently, maximum-a-posteriori estimation technique is employed to estimate the parameters for the system degradation process and maximum likelihood estimation is used to estimate the parameters of sensor degradation. A Kalman filter is then used to estimate the system and sensor states, followed by system RUL evaluation. A numerical example with simulated data is employed to illustrate the effectiveness of the proposed method. It is shown through the numerical study that neglecting sensor degradation can result in significant errors in RUL estimation, which can further impact the subsequent maintenance decisions.</t>
  </si>
  <si>
    <t>[Mukhopadhyay, Koushiki; Liu, Bin; Bedford, Tim; Finkelstein, Maxim] Univ Strathclyde, Dept Management Sci, Glasgow G1 1XQ, Scotland; [Finkelstein, Maxim] Univ Free State, Dept Math Stat, Bloemfontein, South Africa</t>
  </si>
  <si>
    <t>University of Strathclyde; University of the Free State</t>
  </si>
  <si>
    <t>Liu, B (corresponding author), Univ Strathclyde, Dept Management Sci, Glasgow G1 1XQ, Scotland.</t>
  </si>
  <si>
    <t>Finkelstein, Maxim/AAH-1021-2019; Liu, Bin/GZM-0167-2022</t>
  </si>
  <si>
    <t>Advanced Nuclear Research Centre of Strathclyde University; [S191465]</t>
  </si>
  <si>
    <t>Advanced Nuclear Research Centre of Strathclyde University;</t>
  </si>
  <si>
    <t>Acknowledgements This research is partly supported by the Advanced Nuclear Research Centre of Strathclyde University under the grant No. S191465.</t>
  </si>
  <si>
    <t>10.1016/j.ress.2022.109022</t>
  </si>
  <si>
    <t>7S7CJ</t>
  </si>
  <si>
    <t>WOS:000910909700001</t>
  </si>
  <si>
    <t>Yang, JT; Yang, LJ; Wang, WT; Liu, T; Tang, DM</t>
  </si>
  <si>
    <t>Yang, Juntao; Yang, Lijun; Wang, Wentong; Liu, Tao; Tang, Dongming</t>
  </si>
  <si>
    <t>Adaptive gravitational clustering algorithm integrated with noise detection</t>
  </si>
  <si>
    <t>Clustering; Gravitation; Natural neighbor; Parameter-free algorithm</t>
  </si>
  <si>
    <t>Clustering analysis is frequently used in data mining, image processing, artificial intelligence, and so on. Traditional approaches heavily rely on manually configured parameters, of which the initial selection exerts a profound influence on the clustering outcomes. In addition, they usually only consider the relationship between two individual samples when calculating distances, neglecting the overall structure of the dataset, which can negatively affect clustering performance. At the same time, many contemporary algorithms are tailored to specific datasets, posing challenges in achieving optimal clustering performance for intricate, noisy datasets. To address these limitations, we propose an Adaptive G ravitational C lustering Algorithm I ntegrated with N oise D etection called GCIND. Inspired by the law of gravitation, GCIND takes into account the natural neighborhood structure of the entire dataset, adaptively computing the gravitation between data points by leveraging shared neighbors and Euclidean distance relationships. Our algorithm initially identifies and eliminates outliers or edge points in the dataset. It subsequently uses gravitation to autonomously cluster the remaining core data. Finally, the removed data are reallocated to their respective clusters. GCIND has four notable advantages: (1) it uses gravitation to build the neighborhood graph, reflecting the overall dataset structure; (2) it demonstrates stronger robustness in handling noisy datasets; (3) it uses adaptive gravitational neighborhood graph clustering, removing manual parameter tuning; (4) it adapts to complex manifold-structured datasets, offering broad applicability. Experiments have shown that GCIND, without requiring any parameter settings, demonstrates slightly better performance than the algorithms compared in the study, especially when dealing with complex manifold datasets.</t>
  </si>
  <si>
    <t>[Yang, Juntao; Yang, Lijun; Wang, Wentong; Liu, Tao; Tang, Dongming] Southwest Minzu Univ, Coll Comp Sci &amp; Artificial Intelligence, Chengdu, Peoples R China; [Yang, Juntao] Hefei Univ Technol, Sch Comp &amp; Informat, Hefei, Peoples R China</t>
  </si>
  <si>
    <t>Southwest Minzu University; Hefei University of Technology</t>
  </si>
  <si>
    <t>Tang, DM (corresponding author), Southwest Minzu Univ, Coll Comp Sci &amp; Artificial Intelligence, Chengdu, Peoples R China.</t>
  </si>
  <si>
    <t>2024030059@mail.hfut.edu.cn; ylijun@swun.edu.cn; 210854002023@stu.swun.edu.cn; tao_liu@swun.edu.cn; tdm_2010@swun.edu.cn</t>
  </si>
  <si>
    <t>Wang, Wentong/ISA-0190-2023; Yang, Juntao/AAJ-9886-2020; Yang, Juntao/MEP-4121-2025</t>
  </si>
  <si>
    <t>Yang, Juntao/0009-0003-0148-5708; Liu, Tao/0000-0002-0348-5977</t>
  </si>
  <si>
    <t>Sichuan Science and Technology Program [2024YFHZ0013]; National Natural Science Foundation of China [62171390]; Scientific and Technological Innovation Team for Qinghai-Tibetan Plateau Research in Southwest Minzu University [2024CXTD09]; Fundamental ResearchFunds for the Central Universities, Southwest Minzu University [ZYN2023087]</t>
  </si>
  <si>
    <t>Sichuan Science and Technology Program; National Natural Science Foundation of China(National Natural Science Foundation of China (NSFC)); Scientific and Technological Innovation Team for Qinghai-Tibetan Plateau Research in Southwest Minzu University; Fundamental ResearchFunds for the Central Universities, Southwest Minzu University</t>
  </si>
  <si>
    <t>This work was supported by the Sichuan Science and Technology Program (No. 2024YFHZ0013), the National Natural Science Foundation of China (No. 62171390), the Scientific and Technological Innovation Team for Qinghai-Tibetan Plateau Research in Southwest Minzu University (Grant No. 2024CXTD09), the Fundamental Research Funds for the Central Universities, Southwest Minzu University (No.ZYN2023087).</t>
  </si>
  <si>
    <t>10.1016/j.eswa.2024.125733</t>
  </si>
  <si>
    <t>N4A0L</t>
  </si>
  <si>
    <t>WOS:001363773200001</t>
  </si>
  <si>
    <t>Zheng, R; Zhao, XF; Hu, CM; Ren, XY</t>
  </si>
  <si>
    <t>Zheng, Rui; Zhao, Xufeng; Hu, Chaoming; Ren, Xiangyun</t>
  </si>
  <si>
    <t>A repair-replacement policy for a system subject to missions of random types and random durations</t>
  </si>
  <si>
    <t>Repair-replacement policy; Mission-oriented system; Random mission; Policy iteration; Semi-Markov decision process</t>
  </si>
  <si>
    <t>CONDITION-BASED MAINTENANCE; PROPORTIONAL-HAZARDS; RELIABILITY; MODEL; OPTIMIZATION; DEGRADATION; PREDICTION; FRAMEWORK; QUALITY</t>
  </si>
  <si>
    <t>Increasing research efforts have been devoted to mission-oriented preventive maintenance (PM) policies that are restricted mainly to certain missions. This paper investigates the optimization problem of a repair -replacement policy for systems subject to intermittent missions of random types and random durations, which is more realistic in practice. When a mission is completed, the system is assigned a new mission with the type dependent on the previous type and the duration following a general distribution. The randomness of missions affects the failure rate of the system, the penalty for failed missions, and the schedules of PM actions. Taking advantage of the shutdown opportunity of switching missions, the decision maker determine among three possible actions: do-nothing, preventive repair, and preventive replacement to minimize the long-run average cost rate. The optimization problem is formulated as a semi-Markov decision process and is solved by the policy iteration algorithm. An extended policy involving two monotonic control limits is proposed and optimized by a modified policy iteration algorithm. Two numerical examples illustrate the effectiveness of the proposed approach.</t>
  </si>
  <si>
    <t>[Zheng, Rui; Hu, Chaoming] Hefei Univ Technol, Sch Management, Hefei 230009, Peoples R China; [Zhao, Xufeng] Nanjing Univ Aeronaut &amp; Astronaut, Coll Econ &amp; Management, Nanjing 211106, Peoples R China; [Ren, Xiangyun] Chongqing Changan Automobile Co Ltd, Chongqing 400000, Peoples R China; [Ren, Xiangyun] Chongqing Univ, Coll Mech &amp; Vehicle Engn, Chongqing 400000, Peoples R China</t>
  </si>
  <si>
    <t>Hefei University of Technology; Nanjing University of Aeronautics &amp; Astronautics; Chongqing University</t>
  </si>
  <si>
    <t>Zheng, Rui/0000-0002-8913-9265; Zhao, Xufeng/0000-0002-9423-5366</t>
  </si>
  <si>
    <t>Fundamental Research Funds for the Central Universities, China [JZ2022HGQA0138]; National Natural Science Foundation of China [71801126, 72271077, 72101071, 72101077]</t>
  </si>
  <si>
    <t>Fundamental Research Funds for the Central Universities, China(Fundamental Research Funds for the Central Universities); National Natural Science Foundation of China(National Natural Science Foundation of China (NSFC))</t>
  </si>
  <si>
    <t>This work is supported by the Fundamental Research Funds for the Central Universities, China (JZ2022HGQA0138) , and by the National Natural Science Foundation of China (71801126, 72271077, 72101071, 72101077) .</t>
  </si>
  <si>
    <t>10.1016/j.ress.2022.109063</t>
  </si>
  <si>
    <t>7X1JE</t>
  </si>
  <si>
    <t>WOS:000913958500001</t>
  </si>
  <si>
    <t>Lu, PZ; Li, DG; Chen, YR</t>
  </si>
  <si>
    <t>Lu, Pengzhen; Li, Dengguo; Chen, Yangrui</t>
  </si>
  <si>
    <t>Prediction of the static load test results of bridges based on the dynamic load test and the Kriging model</t>
  </si>
  <si>
    <t>ARTIFICIAL INTELLIGENCE REVIEW</t>
  </si>
  <si>
    <t>Bridge engineering; Dynamic load test; Kriging model; Finite element model update; Static behavior prediction</t>
  </si>
  <si>
    <t>FINITE-ELEMENT MODEL; CABLE-STAYED BRIDGE; OPTIMIZATION</t>
  </si>
  <si>
    <t>Faced with the structural performance evaluation of a large number of bridges, bridge management and maintenance departments have urgently sought a quick method for evaluating bridge performance. The load test is currently a direct and effective method for assessing the conditions of bridge structures. However, this method is costly, time-consuming, inefficient, requires closed traffic, and can cause damage to the structure itself. In response to this problem, this paper proposes a new low-cost method combined with the Kriging proxy model for fast and accurate prediction of bridge static behavior based on fast bridge dynamic load test data. To verify the correctness and feasibility of the method in this study, a three-span continuous reinforced concrete oblique-leg rigid frame bridge is considered as the engineering application test object. The research results reveal that the finite element model of the bridge can be updated based on the dynamic load test data of the bridge combined with the Kriging proxy model, and the static load test results can be accurately predicted. And the predicted results are consistent with the measured results in the field. The method proposed in this study is not associated with the negative impacts of the bridge static load test and uses more efficient, fast, and accurate means to comprehensively analyze and predict the static behavior of a large number of existing bridges. It could inform approaches for rapid evaluation of the structural performance of existing bridges and the decision-making of reinforcement and maintenance.</t>
  </si>
  <si>
    <t>[Lu, Pengzhen; Li, Dengguo; Chen, Yangrui] Zhejiang Univ Technol, Coll Civil Engn, Hangzhou 310014, Zhejiang, Peoples R China</t>
  </si>
  <si>
    <t>Zhejiang University of Technology</t>
  </si>
  <si>
    <t>Li, DG (corresponding author), Zhejiang Univ Technol, Coll Civil Engn, Hangzhou 310014, Zhejiang, Peoples R China.</t>
  </si>
  <si>
    <t>lidengguozjut@163.com</t>
  </si>
  <si>
    <t>Li, Dengguo/0009-0001-1315-9542</t>
  </si>
  <si>
    <t>Science Foundation of China Postdoctor; Science and Technology Agency of Zhejiang Province [2016M600352]; Science and Technology Project of Zhejiang Provincial Department of Transportation [2015C33222, LGF19E080012]; Jiaxing Science and Technology Bureau of China [2019H14, 2018010]; [2021AY10043]</t>
  </si>
  <si>
    <t>Science Foundation of China Postdoctor; Science and Technology Agency of Zhejiang Province; Science and Technology Project of Zhejiang Provincial Department of Transportation; Jiaxing Science and Technology Bureau of China;</t>
  </si>
  <si>
    <t>This study was supported by the Science Foundation of China Postdoctor (Grant No. 2016M600352), the Science and Technology Agency of Zhejiang Province (Grant No. 2015C33222, LGF19E080012), the Science and Technology Project of Zhejiang Provincial Department of Transportation (Grant No. 2019H14 and 2018010), Jiaxing Science and Technology Bureau of China under Grant (2021AY10043).</t>
  </si>
  <si>
    <t>0269-2821</t>
  </si>
  <si>
    <t>1573-7462</t>
  </si>
  <si>
    <t>ARTIF INTELL REV</t>
  </si>
  <si>
    <t>Artif. Intell. Rev.</t>
  </si>
  <si>
    <t>10.1007/s10462-022-10369-0</t>
  </si>
  <si>
    <t>K5UK9</t>
  </si>
  <si>
    <t>WOS:000899708800001</t>
  </si>
  <si>
    <t>Liang, B; Cai, JH; Yang, HF</t>
  </si>
  <si>
    <t>Liang, Bo; Cai, Jianghui; Yang, Haifeng</t>
  </si>
  <si>
    <t>A new cell group clustering algorithm based on validation &amp; correction mechanism</t>
  </si>
  <si>
    <t>Clustering internal validation index; Cell nucleus; Split index; Validation &amp; correction mechanism</t>
  </si>
  <si>
    <t>INTERNAL INDEX; DENSITY; DBSCAN</t>
  </si>
  <si>
    <t>Clustering used to discover hidden patterns in unlabeled data sets is an important task in data mining. Therefore, clustering validation applied to evaluating the clustering results has been recognized as one of the vital issues for clustering applications. The existing validation index is often used to evaluate the results rather than guide the clustering process dynamically. However, using the index can automatically adjust the algorithm's operation according to the actual data distribution, thereby improving the algorithm's adaptability. Simulating the division and aggregation process of cells in biology, in this paper, we propose a new two-phase (grouping and merging) cell group clustering algorithm by using a continuous validation and correction mechanism. In the grouping phase, a new clustering internal validation index called Split Index (SI) is utilized to evaluate the cohesion of a cell group continuously, and then a validation and correction mechanism is adopted to validate and split the cell groups so that the SI of each cell group can meet the split threshold e, finally the cell nucleus of each cell group is determined by finding the sum of the minimum distances from the nucleus to other samples. In the merging phase, the cell group merge method is adopted to merge all the reachable cell groups in a density-reachable manner. Ultimately the clustering problem of arbitrarily distributed samples is completed. Experiments on the synthetic and the UCI Machine Learning Repository' data set show that the validation index can effectively guide the clustering process, and the algorithm can deal with various data sets, including imbalanced data sets and spherical non-spherical clusters.</t>
  </si>
  <si>
    <t>[Liang, Bo; Cai, Jianghui; Yang, Haifeng] Taiyuan Univ Sci &amp; Technol, Sch Comp Sci &amp; Technol, Taiyuan 030024, Peoples R China; [Liang, Bo] Taiyuan Normal Univ, Sch Comp Sci &amp; Technol, Yuci 030619, Peoples R China; [Cai, Jianghui; Yang, Haifeng] Shanxi Key Lab Adv Control &amp; Equipment Intelligen, Taiyuan 030024, Peoples R China</t>
  </si>
  <si>
    <t>Taiyuan University of Science &amp; Technology; Taiyuan Normal University</t>
  </si>
  <si>
    <t>Cai, JH (corresponding author), Taiyuan Univ Sci &amp; Technol, Sch Comp Sci &amp; Technol, Taiyuan 030024, Peoples R China.</t>
  </si>
  <si>
    <t>liangbo@tynu.edu.cn; Jianghui@tyust.edu.cn; hfyang@tyust.edu.cn</t>
  </si>
  <si>
    <t>Yang, Haifeng/GWC-4885-2022; Cai, Jianghui/AEU-7939-2022</t>
  </si>
  <si>
    <t>National Natural Science Foundation of China [U1931209]; Key Research and Development Projects of Shanxi Province [201903D121116]; Central Government Guides Local Science and Technology Development Funds [20201070]; Fundamental Research Program of Shanxi Province [20210302123223, 201901D111257]; Graduate Education Innovation Project of Shanxi Province [2019BY117]</t>
  </si>
  <si>
    <t>National Natural Science Foundation of China(National Natural Science Foundation of China (NSFC)); Key Research and Development Projects of Shanxi Province; Central Government Guides Local Science and Technology Development Funds; Fundamental Research Program of Shanxi Province; Graduate Education Innovation Project of Shanxi Province</t>
  </si>
  <si>
    <t>The work is supported by the National Natural Science Foundation of China (Grant No. U1931209), Key Research and Development Projects of Shanxi Province (Grant No. 201903D121116), Central Government Guides Local Science and Technology Development Funds (Grant No. 20201070), Fundamental Research Program of Shanxi Province (Grant Nos. 20210302123223, 201901D111257), and the Graduate Education Innovation Project of Shanxi Province (Grant No. 2019BY117).</t>
  </si>
  <si>
    <t>10.1016/j.eswa.2021.116410</t>
  </si>
  <si>
    <t>1M9GW</t>
  </si>
  <si>
    <t>WOS:000800274500006</t>
  </si>
  <si>
    <t>Dui, HY; Zhang, HQ; Dong, XH; Zhang, SR</t>
  </si>
  <si>
    <t>Dui, Hongyan; Zhang, Huanqi; Dong, Xinghui; Zhang, Songru</t>
  </si>
  <si>
    <t>Cascading failure and resilience optimization of unmanned vehicle distribution networks in IoT</t>
  </si>
  <si>
    <t>Reliability; Cascading failure; Resilience; Unmanned vehicle</t>
  </si>
  <si>
    <t>With the development of science and technology, unmanned vehicles have become one of the main ways of distribution, and the appearance of unmanned vehicles undoubtedly brings great convenience to people. However, few researchers consider the cascading failure times for different situations in unmanned vehicle distribution networks. Especially, few researchers have integrated them into maintenance strategies to real-time path changes to increase the reliability of accomplishing distribution tasks and improve resilience after congestion. One of the key issues is how to improve the resilience of distribution network and what maintenance strategies should be developed. In this paper, cascading failures are analyzed and resilience is optimized in unmanned vehicle distribution network. First, cascading failures for different situations are analyzed, and two importancebased diversion methods are proposed to describe the three processes of congestion formation, persistence, and evacuation. Second, failure and performance degradation processes are investigated. Third, the Floyd timevarying resilience optimization algorithm is proposed, and the calculation method of resilience under different strategies is given. At last, simulation results show that the proposed strategy 3 improves the original resilience by 101 % compared with the traditional waiting path strategy.</t>
  </si>
  <si>
    <t>[Dui, Hongyan; Zhang, Huanqi; Dong, Xinghui; Zhang, Songru] Zhengzhou Univ, Sch Management, Zhengzhou 450001, Peoples R China</t>
  </si>
  <si>
    <t>Dui, Hongyan/0000-0002-2277-6454; Dong, Xinghui/0009-0007-8105-4850</t>
  </si>
  <si>
    <t>10.1016/j.ress.2024.110071</t>
  </si>
  <si>
    <t>QD1Y2</t>
  </si>
  <si>
    <t>WOS:001218861000001</t>
  </si>
  <si>
    <t>Farhadi, M; Shahrokhi, M; Rahmati, SHA</t>
  </si>
  <si>
    <t>Farhadi, Mohammad; Shahrokhi, Mahmoud; Rahmati, Seyed Habib A.</t>
  </si>
  <si>
    <t>Developing a supplier selection model based on Markov chain and probability tree for a k-out-of-N system with different quality of spare parts</t>
  </si>
  <si>
    <t>Quality of spare parts; Supplier selection; Markov chain; Probability tree; Spare parts inventory management; k-out-of-N redundancy</t>
  </si>
  <si>
    <t>MULTISTATE SYSTEMS; REPAIR CAPACITY; LIMITED SPARES; MAINTENANCE; AVAILABILITY; OPTIMIZATION; REDUNDANCY; INVENTORY; DESIGN</t>
  </si>
  <si>
    <t>Spare parts management is one of the most important aspects in industrial systems where a large number of spare parts are stocked to replace with failed parts and reduce the system's downtime. In this study, it is supposed that the quality of spare parts can differ from the quality of the original parts since they might be supplied from different suppliers. This problem is modeled by using the probability tree and Markov chains approach to determine the optimal number of spare parts, their supplier, and appropriate quality, leading to minimization of the system's total cost and or system's total availability. Meanwhile, highly expensive parts cause large investment. In this study, a k-out-of-N redundant system is modeled in which by failing each part it is replaced by a stocked spare part if exists. Otherwise, in case of spare parts lacking the system continues to its operation with failed part(s) which reduces system performance. If the number of failed parts reaches a predetermined threshold level (N-k+1) it leads to system shutdown. All suggesting models are applied on numerical samples for to show the representation of the state and determine optimal spare parts supply strategies and inventory policies in large-scale industrial systems.</t>
  </si>
  <si>
    <t>[Farhadi, Mohammad; Shahrokhi, Mahmoud] Kurdistan Univ, Fac Engn, Dept Ind Engn, Sanandaj, Iran; [Rahmati, Seyed Habib A.] Islamic Azad Univ, Fac Ind &amp; Mech Engn, Dept Ind Engn, Qazvin Branch, Qazvin, Iran</t>
  </si>
  <si>
    <t>Rahmati, SHA (corresponding author), Islamic Azad Univ, Fac Ind &amp; Mech Engn, Dept Ind Engn, Qazvin Branch, Qazvin, Iran.</t>
  </si>
  <si>
    <t>sdh.rahmati@gmail.com</t>
  </si>
  <si>
    <t>Shahrokhi, mahmoud/AAZ-2121-2020; Pasandideh, Seyed Hamid Reza/ACY-8108-2022</t>
  </si>
  <si>
    <t>Farhadi, Mohammad/0000-0002-8217-0024</t>
  </si>
  <si>
    <t>10.1016/j.ress.2022.108387</t>
  </si>
  <si>
    <t>WOS:000771562000011</t>
  </si>
  <si>
    <t>Yamano, H; Sakata, I</t>
  </si>
  <si>
    <t>Yamano, Hiroko; Sakata, Ichiro</t>
  </si>
  <si>
    <t>Supply chain dynamics beyond optimization: Metabolism of regional inter-firm networks</t>
  </si>
  <si>
    <t>Supply chain management; Inter-firm network; Industrial metabolism; Flexibility and stability; Network resources; Adaptive capacity; Regional ecosystem</t>
  </si>
  <si>
    <t>STRATEGIC FLEXIBILITY; FIRMS; PERFORMANCE; RESILIENCE; ORGANIZATIONS; EMBEDDEDNESS; CAPABILITIES; INNOVATION; RESOURCES; EXTENSION</t>
  </si>
  <si>
    <t>Sustainable supply chain networks are critical to the survival of companies in interconnected business ecosystems. Today's rapidly changing market conditions require firms to restructure their network resources flexibly. In this study, we quantitatively investigated how firms' ability to adapt to the turbulent market depends on the stable maintenance and flexible recombination of inter-firm relationships. Using the proposed quantitative index metabolism, we measured the micro-level dynamics of the supply chain, which represents each firm's average replacement rate of business partners. We applied this index to longitudinal data on the annual transactions of about 10,000 firms from 2007 to 2016 in the Tohoku region, which was affected by the 2011 earthquake and tsunami. The distribution of metabolism values differed across regions and industries, indicating differences in the adaptive capacity of the corresponding firms. We also found the typical balance between supply chain flexibility and stability for successful companies that have survived in the market for a long time. In other words, the relationship between metabolism and duration was not linear but U-shaped, indicating an appropriate metabolism value for survival. These findings provide a deeper understanding of supply chain strategies for adapting to regional market dynamics.</t>
  </si>
  <si>
    <t>[Yamano, Hiroko; Sakata, Ichiro] Univ Tokyo, Inst Future Initiat, 7-3-1,Hongo,Bunkyo Ku, Tokyo 1130033, Japan; [Sakata, Ichiro] Univ Tokyo, Grad Sch Engn, 7-3-1,Hongo,Bunkyo Ku, Tokyo 1138656, Japan</t>
  </si>
  <si>
    <t>University of Tokyo; University of Tokyo</t>
  </si>
  <si>
    <t>Yamano, H (corresponding author), Univ Tokyo, Inst Future Initiat, 7-3-1,Hongo,Bunkyo Ku, Tokyo 1130033, Japan.</t>
  </si>
  <si>
    <t>yamano@ifi.u-tokyo.ac.jp</t>
  </si>
  <si>
    <t>Ichiro, Sakata/GWM-7823-2022</t>
  </si>
  <si>
    <t>SAKATA, ICHIRO/0000-0001-5881-3790</t>
  </si>
  <si>
    <t>JSPS KAKENHI [19K01884]; Tokyo Shoko Research, Ltd. (TSR)</t>
  </si>
  <si>
    <t>JSPS KAKENHI(Ministry of Education, Culture, Sports, Science and Technology, Japan (MEXT)Japan Society for the Promotion of ScienceGrants-in-Aid for Scientific Research (KAKENHI)); Tokyo Shoko Research, Ltd. (TSR)</t>
  </si>
  <si>
    <t>This work was supported by JSPS KAKENHI Grant Number 19K01884 and Tokyo Shoko Research, Ltd. (TSR) .</t>
  </si>
  <si>
    <t>e16104</t>
  </si>
  <si>
    <t>10.1016/j.heliyon.2023.e16104</t>
  </si>
  <si>
    <t>O2QN4</t>
  </si>
  <si>
    <t>WOS:001042318200001</t>
  </si>
  <si>
    <t>Hashemi, SE; Gholian-Jouybari, F; Hajiaghaei-Keshteli, M</t>
  </si>
  <si>
    <t>Hashemi, Seyed Emadedin; Gholian-Jouybari, Fatemeh; Hajiaghaei-Keshteli, Mostafa</t>
  </si>
  <si>
    <t>A fuzzy C-means algorithm for optimizing data clustering</t>
  </si>
  <si>
    <t>Whale optimization; FCM; Data clustering; Big Data; Fuzzy C-means clustering</t>
  </si>
  <si>
    <t>INDEXES; SWARM; RAND</t>
  </si>
  <si>
    <t>Big data has increasingly become predominant in many research fields affecting human knowledge, including medicine and engineering. Cluster analysis, or clustering, is widely recognized as one of the most effective processes to deal with various types of data, especially big data. There has been considerable interest in Fuzzy CMeans (FCM) as a method for clustering data using a short-distance approach in data mining. However, despite its simplicity, this method is not suitable for clustering large data sets due to their complex structure. In particular, FCM is sensitive to cluster center initialization, and an improper initialization can result in slow or non-optimal convergence. In order to solve the FCM convergence problem and find more appropriate cluster centers, optimization methods are generally used. In this study, a whale optimization algorithm is applied to solve the problem. As a solution to the problem of big data clustering, random sampling, clustering on samples, and extending the clustering results to all data are proposed. The proposed algorithm is implemented on several large data sets, both artificial and real, with many features after normalization and standardization. To verify the validity and correctness of the performance of the proposed algorithm, the same data sets have been clustered with other known algorithms, and the results compared using several valid fuzzy indices. Based on the comparison results, it can be concluded that the proposed algorithm is more powerful and efficient than other algorithms and, hence, can be used to effectively cluster large data sets. Our study can benefit organizations and managers who have a large amount of data and are unable to classify or make use of them properly. Using big data takes a lot of time. The features of the proposed algorithm would be of great help to managers allowing them to make better decisions and improve the quality of their work.</t>
  </si>
  <si>
    <t>[Hashemi, Seyed Emadedin; Gholian-Jouybari, Fatemeh; Hajiaghaei-Keshteli, Mostafa] Tecnol Monterrey, Escuela Ingn &amp; Ciencias, Puebla, Mexico</t>
  </si>
  <si>
    <t>Tecnologico de Monterrey</t>
  </si>
  <si>
    <t>Hajiaghaei-Keshteli, M (corresponding author), Tecnol Monterrey, Escuela Ingn &amp; Ciencias, Puebla, Mexico.</t>
  </si>
  <si>
    <t>Emad.Hashemi88@gmail.com; fatemehgholian@tec.mx; mostafahaji@tec.mx</t>
  </si>
  <si>
    <t>Hashemi, Seyed Emadedin/ABC-9082-2021; Hajiaghaei-Keshteli, Mostafa/Y-4046-2019</t>
  </si>
  <si>
    <t>Hashemi, Seyed Emadedin/0000-0001-5195-6350; Hajiaghaei-Keshteli, Mostafa/0000-0002-9988-2626</t>
  </si>
  <si>
    <t>10.1016/j.eswa.2023.120377</t>
  </si>
  <si>
    <t>J0NZ0</t>
  </si>
  <si>
    <t>WOS:001006672200001</t>
  </si>
  <si>
    <t>Seyedi, SA; Lotfi, A; Moradi, P; Qader, NN</t>
  </si>
  <si>
    <t>Seyedi, Seyed Amjad; Lotfi, Abdulrahman; Moradi, Parham; Qader, Nooruldeen Nasih</t>
  </si>
  <si>
    <t>Dynamic graph-based label propagation for density peaks clustering</t>
  </si>
  <si>
    <t>Density peaks clustering; Soft clustering; Label propagation; Graph-based clustering</t>
  </si>
  <si>
    <t>FAST SEARCH; ALGORITHM; FIND; STRATEGY; POINTS</t>
  </si>
  <si>
    <t>Clustering is a major approach in data mining and machine learning and has been successful in many real-world applications. Density peaks clustering (DPC) is a recently published method that uses an intuitive to cluster data objects efficiently and effectively. However, DPC and most of its improvements suffer from some shortcomings to be addressed. For instance, this method only considers the global structure of data which leading to missing many clusters. The cut-off distance affects the local density values and is calculated in different ways depending on the size of the datasets, which can influence the quality of clustering. Then, the original label assignment can cause a chain reaction, whereby if a wrong label is assigned to a data point, and then there may be many more wrong labels subsequently assigned to the other points. In this paper, a density peaks clustering method called DPC-DLP is proposed. The proposed method employs the idea of k-nearest neighbors to compute the global cut-off parameter and the local density of each point. Moreover, the proposed method uses a graph-based label propagation to assign labels to remaining points and form final clusters. The proposed label propagation can effectively assign true labels to those of data instances which located in border and overlapped regions. The proposed method can be applied to some applications. To make the method practical for image clustering, the local structure is used to achieve low-dimensional space. In addition, proposed method considers label space correlation, to be effective in the gene expression problems. Several experiments are performed to evaluate the performance of the proposed method on both synthetic and real-world datasets. The results demonstrate that in most cases, the proposed method outperformed some state-of-the-art methods. (C) 2018 Elsevier Ltd. All rights reserved</t>
  </si>
  <si>
    <t>[Seyedi, Seyed Amjad; Lotfi, Abdulrahman; Moradi, Parham] Univ Kurdistan, Dept Comp Engn, Sanandaj, Iran; [Qader, Nooruldeen Nasih] Univ Human Dev, Dept Comp Sci, Sulaymanyah, Iraq</t>
  </si>
  <si>
    <t>University of Kurdistan</t>
  </si>
  <si>
    <t>Moradi, P (corresponding author), Univ Kurdistan, Dept Comp Engn, Sanandaj, Iran.</t>
  </si>
  <si>
    <t>amjadseyedi@eng.uok.ac.ir; a.lotfi@eng.uok.ac.ir; p.moradi@uok.ac.ir; nooruldeen.qader@uhd.edu.iq</t>
  </si>
  <si>
    <t>Moradi, Parham/ABH-5151-2020; Seyedi, Amjad/KCY-2408-2024</t>
  </si>
  <si>
    <t>Seyedi, Amjad/0000-0003-2718-7146; Moradi, Parham/0000-0002-5604-565X; Lotfi, Abdulrahman/0000-0003-0344-8671</t>
  </si>
  <si>
    <t>10.1016/j.eswa.2018.07.075</t>
  </si>
  <si>
    <t>WOS:000448097700022</t>
  </si>
  <si>
    <t>A Bayesian networks approach to fleet availability analysis considering managerial and complex causal factors</t>
  </si>
  <si>
    <t>fleet; availability; failure rate; repair rate; causal factors; Bayesian networks</t>
  </si>
  <si>
    <t>FAILURE RATES; RELIABILITY; SYSTEM; SAFETY; MAINTAINABILITY; MANAGEMENT</t>
  </si>
  <si>
    <t>Availability analysis of a fleet of assets requires modelling uncertainty sources that affect equipment reliability and maintainability. These uncertainties include complex, managerial causalities and risks which have been seldom examined in the asset management literature. The objective of this study is to measure the reliability, maintainability and availability of a fleet, considering the effect of common causal factors and extremely rare or previously unobserved events. We develop a fully probabilistic availability analysis model using hybrid Bayesian networks (BNs), to capture managerial, organisational and environmental causal factors that influence failure or repair rate, as well as those that affect both failure and repair rates simultaneously. The proposed methodology has been found more accurate in forecasting failure rate, repair rate, and average availability level of a fleet of assets, providing asset managers with an inference mechanism to not only measure the performance of the assets based on common causal factors, but also learn the actual level of such factors and thereby identify improvement areas. We have demonstrated the application of the model using a fleet of excavators located in Toronto, Ontario. The prediction accuracy of the proposed model is evaluated by use of a measure of prediction error. [Received: 19 March 2019; Accepted: 3 September 2019]</t>
  </si>
  <si>
    <t>[Abdi, Abdollah; Taghipour, Sharareh] Ryerson Univ, Reliabil Risk &amp; Maintenance Res Lab RRMR, Dept Mech &amp; Ind Engn, Toronto, ON M5B 2K3, Canada</t>
  </si>
  <si>
    <t>Taghipour, S (corresponding author), Ryerson Univ, Reliabil Risk &amp; Maintenance Res Lab RRMR, Dept Mech &amp; Ind Engn, Toronto, ON M5B 2K3, Canada.</t>
  </si>
  <si>
    <t>Ontario Centres of Excellence (OCE)'s Voucher for Innovation and Productivity (VIP) [26114]</t>
  </si>
  <si>
    <t>Ontario Centres of Excellence (OCE)'s Voucher for Innovation and Productivity (VIP)</t>
  </si>
  <si>
    <t>This work was partially supported by the Fiix Software and Ontario Centres of Excellence (OCE)'s Voucher for Innovation and Productivity (VIP) (No. 26114).</t>
  </si>
  <si>
    <t>10.1504/EJIE.2020.107696</t>
  </si>
  <si>
    <t>MP0SL</t>
  </si>
  <si>
    <t>WOS:000551923400005</t>
  </si>
  <si>
    <t>Lin, CC; Song, J; Pozzi, M</t>
  </si>
  <si>
    <t>Lin, Chaochao; Song, Junho; Pozzi, Matteo</t>
  </si>
  <si>
    <t>Optimal inspection of binary systems via Value of Information analysis</t>
  </si>
  <si>
    <t>Binary networks; Importance Measure; Inspections; Value of Information</t>
  </si>
  <si>
    <t>VALUE-OF-INFORMATION; RELIABILITY-ANALYSIS; SENSITIVITY</t>
  </si>
  <si>
    <t>We develop computable metrics to assign priorities for information collection on binary systems composed of binary components. Components are worth inspecting because their condition states are uncertain, and system functioning depends on them. The Value of Information (VoI) enables assessment of the impact of information in decision making under uncertainty, including the component's reliability and role in the system, the precision of the observation, the available maintenance actions and the expected economic loss. We introduce the VoI-based metrics for system-level (global'') and component-level (local'') maintenance actions, analyze the properties of these metrics, and apply them to series and parallel systems. We discuss their computational complexity in applications to general network systems and, to tame the complexity for the local metric assessment, we present a heuristic and assess its performance on some case studies.</t>
  </si>
  <si>
    <t>[Lin, Chaochao; Pozzi, Matteo] Carnegie Mellon Univ, Dept Civ &amp; Env Engn, Pittsburgh, PA 15213 USA; [Song, Junho] Seoul Natl Univ, Dept Civ &amp; Env Engn, Seoul, South Korea</t>
  </si>
  <si>
    <t>Carnegie Mellon University; Seoul National University (SNU)</t>
  </si>
  <si>
    <t>Pozzi, M (corresponding author), Carnegie Mellon Univ, Dept Civ &amp; Env Engn, Pittsburgh, PA 15213 USA.</t>
  </si>
  <si>
    <t>chaochal@andrew.cmu.edu; junhosong@snu.ac.kr; mpozzi@cmu.edu</t>
  </si>
  <si>
    <t>Song, Junho/A-3225-2008; Pozzi, Matteo/O-8657-2016</t>
  </si>
  <si>
    <t>Song, Junho/0000-0003-4205-1829; Pozzi, Matteo/0000-0002-9727-2824</t>
  </si>
  <si>
    <t>NSF [CMMI 1653716]</t>
  </si>
  <si>
    <t>NSF(National Science Foundation (NSF))</t>
  </si>
  <si>
    <t>The first and third authors acknowledge the support of NSF project CMMI 1653716, titled CAREER: Infrastructure Management under Model Uncertainty: Adaptive Sequential Learning and Decision Making''. The second author acknowledges the support of Visiting Faculty Fellows Program of the Wilton E. Scott Institute for Energy Innovation at Carnegie Mellon University. All authors have participated in approval of the final version.</t>
  </si>
  <si>
    <t>10.1016/j.ress.2021.107944</t>
  </si>
  <si>
    <t>WOS:000702360100001</t>
  </si>
  <si>
    <t>Shen, JY; Xu, JH; Duan, Y; Zhang, FX; Ma, YZ</t>
  </si>
  <si>
    <t>Shen, Jingyuan; Xu, Jiahui; Duan, Yao; Zhang, Fengxia; Ma, Yizhong</t>
  </si>
  <si>
    <t>Reliability modelling for systems degrading in Markovian environments with protective auxiliary components</t>
  </si>
  <si>
    <t>Dynamic environments; auxiliary component; component dependence; reliability model; opportunistic inspection</t>
  </si>
  <si>
    <t>PERIODICALLY INSPECTED SYSTEMS; CONTINUOUS-TIME; OPPORTUNISTIC INSPECTIONS; NONPERIODIC INSPECTION; OPTIMIZATION; MULTICOMPONENT; MAINTENANCE; SUBJECT</t>
  </si>
  <si>
    <t>Systems with dependent main and auxiliary components have been extensively investigated in the reliability field recently, but the influence of the changing environment has been less taken into consideration. Motivated by some real applications, when the protective auxiliary component fails, the degradation/failure rate of the main component varies as it is exposed to different environments. To bridge the gap between research and practice, in this paper the influences of the dynamic environments and the component dependencies are both incorporated to develop a new reliability model for systems with main and auxiliary components. A continuous-time homogeneous Markov process is used to model the evolution of the environments. When the auxiliary component works, it could protect the main component from the negative impact of the environment. Once the auxiliary component fails, the main component would degrade at different rates according to different environment states. Based on the proposed model, first the reliability of the system is derived in a recursive way. Besides, an opportunistic inspection and maintenance policy is designed for the system, and some important indexes such as the limiting average availability and the long-run average cost are derived. Finally, through numerical examples, the applicability of the proposed model and sensitivity analysis of the model parameters are discussed.</t>
  </si>
  <si>
    <t>[Shen, Jingyuan; Xu, Jiahui; Duan, Yao; Zhang, Fengxia; Ma, Yizhong] Nanjing Univ Sci &amp; Technol, Sch Econ &amp; Management, 200 Xiaolingwei St, Nanjing 210094, Peoples R China</t>
  </si>
  <si>
    <t>Shen, JY (corresponding author), Nanjing Univ Sci &amp; Technol, Sch Econ &amp; Management, 200 Xiaolingwei St, Nanjing 210094, Peoples R China.</t>
  </si>
  <si>
    <t>Jingyuanshen@njust.edu.cn</t>
  </si>
  <si>
    <t>Xu, Jiahui/IRY-9313-2023</t>
  </si>
  <si>
    <t>National Natural Science Foundation of China [72171117, 71931006]; China Postdoctoral Science Foundation [2023M741705]; Jiangsu Funding Program for Excellent Postdoctoral Talent [2022ZB260]</t>
  </si>
  <si>
    <t>The author(s) disclosed receipt of the following financial support for the research, authorship, and/or publication of this article: This work was supported by the National Natural Science Foundation of China with Grant Nos.72171117 and 71931006, the China Postdoctoral Science Foundation with Grant No. 2023M741705, and the Jiangsu Funding Program for Excellent Postdoctoral Talent with Grant No. 2022ZB260.</t>
  </si>
  <si>
    <t>2024 AUG 3</t>
  </si>
  <si>
    <t>10.1177/1748006X241263922</t>
  </si>
  <si>
    <t>A5T0K</t>
  </si>
  <si>
    <t>WOS:001283141800001</t>
  </si>
  <si>
    <t>Shen, JY; Hu, JW; Ma, YZ</t>
  </si>
  <si>
    <t>Shen, Jingyuan; Hu, Jiawen; Ma, Yizhong</t>
  </si>
  <si>
    <t>Two preventive replacement strategies for systems with protective auxiliary parts subject to degradation and economic dependence</t>
  </si>
  <si>
    <t>Degradation dependence; Preventive replacement; Protective auxiliary subsystem; Semi-regenerative process; Long-run average cost</t>
  </si>
  <si>
    <t>CONDITION-BASED MAINTENANCE; MULTICOMPONENT SYSTEMS; OPPORTUNISTIC INSPECTIONS; NONPERIODIC INSPECTION; SELECTIVE MAINTENANCE; 2-COMPONENT SYSTEM; OPTIMIZATION; RELIABILITY; INVENTORY; POLICY</t>
  </si>
  <si>
    <t>In many engineering systems, except for the critical parts fulfilling the main functions, there exist some parts equipped to protect the critical parts and enhance their reliabilities. Failures of these protective parts (named as auxiliary parts) do not halt the system directly like the critical parts. Dependence between the critical and auxiliary parts is commonly observed but has seen limited research. In this paper, we study systems with a critical subsystem and a protective auxiliary subsystem subject to degradation and economic dependence. For such systems, two preventive replacement models are presented. Model I allows the two subsystems to be replaced separately while Model II provides a joint replacement strategy. The long-run average cost of the system is derived by the technique of semi-regenerative process. Thereafter, the optimization problem is formulated with the objective of determining the optimal inspection period and preventive replacement thresholds that minimize the long-run average cost of each model. A numerical study of a boring tool equipped with a damper as the auxiliary subsystem is provided to demonstrate the proposed method. Finally, sensitivity analysis on the cost parameters is conducted, based on which the two proposed maintenance models are compared and their application conditions are discussed.</t>
  </si>
  <si>
    <t>[Shen, Jingyuan; Ma, Yizhong] Nanjing Univ Sci &amp; Technol, Sch Econ &amp; Management, Nanjing, Peoples R China; [Hu, Jiawen] Univ Elect Sci &amp; Technol China, Sch Astronaut &amp; Aeronaut, Chengdu, Sichuan, Peoples R China</t>
  </si>
  <si>
    <t>Nanjing University of Science &amp; Technology; University of Electronic Science &amp; Technology of China</t>
  </si>
  <si>
    <t>Hu, JW (corresponding author), Univ Elect Sci &amp; Technol China, Sch Astronaut &amp; Aeronaut, Chengdu, Sichuan, Peoples R China.</t>
  </si>
  <si>
    <t>hdl@sjtu.edu.cn</t>
  </si>
  <si>
    <t>National Natural Science Foundation of China [71801128, 71801168, 71931006, 71801198]; Fundamental Research Funds for the Central Universities [30919011283]</t>
  </si>
  <si>
    <t>The authors would like to thank the Editor and the anonymous reviewers for their constructive comments which have led to a substantial improvement to an earlier version of the paper. This work was supported by the National Natural Science Foundation of China under grant Nos. 71801128, 71801168, 71931006, and 71801198. Shen was also supported by the Fundamental Research Funds for the Central Universities with grant No. 30919011283.</t>
  </si>
  <si>
    <t>10.1016/j.ress.2020.107144</t>
  </si>
  <si>
    <t>WOS:000583913400032</t>
  </si>
  <si>
    <t>Luo, X; Ge, ZX; Zhang, SG; Yang, YM</t>
  </si>
  <si>
    <t>Luo, Xu; Ge, Zhexue; Zhang, Shigang; Yang, Yongmin</t>
  </si>
  <si>
    <t>A method for the maintainability evaluation at design stage using maintainability design attributes</t>
  </si>
  <si>
    <t>Maintainability; Maintainability design attribute; Maintainability evaluation; Maintainability indicator</t>
  </si>
  <si>
    <t>MECHANICAL SYSTEMS; VERIFICATION; RELIABILITY; SIMULATION; TIME</t>
  </si>
  <si>
    <t>Maintainability is one of the design characteristics of a system, which has a great influence on maintenance cost and difficulty in the application stage. It is better that the maintainability evaluation work is carried out simultaneously with the system design process. Consequently, the maintainability assessment method has become a research focus recently. The objective of this paper is to describe a procedure to evaluate maintainability of a system at the design stage, the results of which can support concurrent decision-making with specified maintenance requirements and the guidance of maintainability design improvement. With this purpose, some maintainability comprehensive indicators are defined based on the maintainability design attributes to evaluate the system maintainability. A brief literature review is first presented, including the exposition of main concepts and maintainability evaluation ideas. Then, nine maintainability design attributes that should be taken into account during maintainability indicator evaluation are analyzed, including classification and quantitative measurement of these maintainability design attributes. Based on evaluation values of maintainability design attributes, several maintainability indicators are obtained through the maintainability evaluation process. Finally, a case is studied to demonstrate how the proposed evaluation method can be applied to a practical scenario.</t>
  </si>
  <si>
    <t>[Luo, Xu; Ge, Zhexue; Zhang, Shigang; Yang, Yongmin] Natl Univ Def Technol, Sci &amp; Technol Integrated Logist Support Lab, Changsha 410073, Hunan, Peoples R China</t>
  </si>
  <si>
    <t>National University of Defense Technology - China</t>
  </si>
  <si>
    <t>Luo, X (corresponding author), Natl Univ Def Technol, Sci &amp; Technol Integrated Logist Support Lab, Changsha 410073, Hunan, Peoples R China.</t>
  </si>
  <si>
    <t>Xu, Luo/0000-0002-7592-6962</t>
  </si>
  <si>
    <t>National Science Foundation of China [61903370]</t>
  </si>
  <si>
    <t>A part of this work was presented in the 2017 IEEE International Conference on Prognostics and Health Management (PHM 2017). Sponsored by National Science Foundation of China (Granted No. 61903370).</t>
  </si>
  <si>
    <t>10.1016/j.ress.2021.107535</t>
  </si>
  <si>
    <t>WOS:000663909400035</t>
  </si>
  <si>
    <t>Dai, AS; Wang, X; Li, Y; Li, T; He, SG</t>
  </si>
  <si>
    <t>Dai, Anshu; Wang, Xin; Li, Yu; Li, Ting; He, Shuguang</t>
  </si>
  <si>
    <t>Design of a performance-based warranty policy with replacement-repair strategy and cumulative cost threshold</t>
  </si>
  <si>
    <t>Product warranty; Performance deterioration; Warranty cost; Warranty design</t>
  </si>
  <si>
    <t>CONDITION-BASED MAINTENANCE; 2-DIMENSIONAL WARRANTY; DEGRADATION; OPTIMIZATION; SUBJECT; SYSTEMS; PRODUCTS; SERVICE; MODELS</t>
  </si>
  <si>
    <t>Performance-based warranty policies have become increasingly popular because they can not only help customers hedge against uncertainty about product performance but also help manufacturers build credibility and drive sales. However, adopting a performance-based warranty policy imposes a greater financial burden on the manufacturer because performance guarantee level is typically higher than the physical failure threshold. Finding a balance between the increased willingness to purchase and the associated cost is a major challenge for manufacturers. In this study, we focus on restorable products and propose a performance-based warranty policy that includes a replacement-repair strategy and cumulative cost limit. The warranty terminates either when the product reaches an age limit or when the cumulative maintenance cost exceeds a predetermined limit. We have divided the warranty period into two compensation regions (i.e, replacement and repair region) to increase customer satisfaction and reduce the risk of breakdown. We also consider both positive and negative effects of imperfect repairs on performance deterioration. We compute the warranty servicing cost based on a product performance degradation model. The optimal pricing and warranty decisions can then be obtained by maximizing the overall profit. Moreover, we conduct comprehensive simulation studies to demonstrate the effectiveness of the proposed policy. The results prove that our proposed policy is win-win for both manufacturers and customers. Managerial suggestions are also given to provide guidance for implementing the proposed performance-based warranty policy.</t>
  </si>
  <si>
    <t>[Dai, Anshu; Li, Yu] Tianjin Univ Finance &amp; Econ, Sch Management Sci &amp; Engn, Tianjin 300222, Peoples R China; [Wang, Xin] Shanghai Jiao Tong Univ, Sino US Global Logist Inst, Antai Coll Econ &amp; Management, Shanghai 200030, Peoples R China; [Wang, Xin] Shanghai Jiao Tong Univ, Data Driven Management Decis Making Lab, Shanghai 200030, Peoples R China; [Li, Ting; He, Shuguang] Tianjin Univ, Coll Management &amp; Econ, Tianjin 300072, Peoples R China</t>
  </si>
  <si>
    <t>Tianjin University of Finance &amp; Economics; Shanghai Jiao Tong University; Shanghai Jiao Tong University; Tianjin University</t>
  </si>
  <si>
    <t>Wang, X (corresponding author), Shanghai Jiao Tong Univ, Sino US Global Logist Inst, Antai Coll Econ &amp; Management, Shanghai 200030, Peoples R China.</t>
  </si>
  <si>
    <t>anshudai@tjufe.edu.cn; wang.xin@sjtu.edu.cn; liyu@tjufe.edu.cn; liyu@tjufe.edu.cn; shuguanghe@tju.edu.cn</t>
  </si>
  <si>
    <t>National Natural Science Foundation of China; Shanghai Pujiang Program, China; [71802145]; [72101145]; [72032005]; [72271161]; [21PJC071]</t>
  </si>
  <si>
    <t>National Natural Science Foundation of China(National Natural Science Foundation of China (NSFC)); Shanghai Pujiang Program, China(Shanghai Pujiang Program); ; ; ; ;</t>
  </si>
  <si>
    <t>Acknowledgments This work is supported by the National Natural Science Foundation of China [grant numbers 71802145, 72101145, 72032005, 72271161] . Xin Wang is also sponsored by Shanghai Pujiang Program, China [grant number 21PJC071] .</t>
  </si>
  <si>
    <t>10.1016/j.ijpe.2022.108700</t>
  </si>
  <si>
    <t>7M9RF</t>
  </si>
  <si>
    <t>WOS:000906985900010</t>
  </si>
  <si>
    <t>Zhu, XY; Hao, YQ</t>
  </si>
  <si>
    <t>Zhu, Xiaoyan; Hao, Yaqian</t>
  </si>
  <si>
    <t>Component rearrangement and system replacement for a system with stochastic degradation processes</t>
  </si>
  <si>
    <t>Component rearrangement; Stochastic degradation process; Functionally-interchangeable components; Discrete particle swarm optimization; k-out-of-n; F system</t>
  </si>
  <si>
    <t>INVERSE GAUSSIAN PROCESS; RELIABILITY-ANALYSIS; RESONANT CONVERTER; MODEL; OPTIMIZATION; ALGORITHM; HEURISTICS</t>
  </si>
  <si>
    <t>Consider a system of multiple functionally-interchangeable components. These components degrade following non-homogeneous stochastic processes that are related to different workloads, usage rates, or operating environment. The unbalanced degradation levels of components affect the overall performance of the system. This paper studies a preventive maintenance policy based on component rearrangement, and the goal is to prolong the useful time of a system before its replacement or overhaul. In this model, the optimal component rearrangement is planned to execute at optimal time. The stochastic degradation models and reliability functions that incorporate the component rearrangement are built. Then a mixed binary nonlinear programming model is established to optimize the component rearrangement plan, rearrangement time, and system replacement time. The models are derived for each of the Wiener process, gamma process, and inverse Gaussian process, which are three most widely used stochastic degradation processes. The specified models are derived for kappa-out-of-n:F, series-parallel, and parallel-series systems. Furthermore, a hybrid approach is proposed that integrates permutation-based heuristic global search for solving a combinatorial subproblem and nonlinear optimization method for solving constrained continuous subproblems. The analytical results and numerical experiments demonstrate the efficiency of the models and solution approach and provide the insights of the component-rearrangement based maintenance policy.</t>
  </si>
  <si>
    <t>[Zhu, Xiaoyan; Hao, Yaqian] Univ Chinese Acad Sci, Sch Econ &amp; Management, 80 Zhongguancun East Rd, Beijing 100190, Peoples R China</t>
  </si>
  <si>
    <t>Chinese Academy of Sciences; University of Chinese Academy of Sciences, CAS</t>
  </si>
  <si>
    <t>Hao, YQ (corresponding author), Univ Chinese Acad Sci, Sch Econ &amp; Management, 80 Zhongguancun East Rd, Beijing 100190, Peoples R China.</t>
  </si>
  <si>
    <t>xzhu5@ucas.ac.cn; haoyaqian18@mails.ucas.ac.cn</t>
  </si>
  <si>
    <t>National Natural Science Foundation of China [71971206, 71571178, 71731008]</t>
  </si>
  <si>
    <t>This work was supported in part by the National Natural Science Foundation of China under grants number 71971206 and number 71571178 and a key project grand number 71731008.</t>
  </si>
  <si>
    <t>10.1016/j.ress.2021.107786</t>
  </si>
  <si>
    <t>WOS:000663910500058</t>
  </si>
  <si>
    <t>Shang, LJ; Chen, JH; Liu, BL; Lin, C; Yang, L</t>
  </si>
  <si>
    <t>Shang, Lijun; Chen, Jianhui; Liu, Baoliang; Lin, Cong; Yang, Li</t>
  </si>
  <si>
    <t>Modeling Renewable Warranties and Post-Warranty Replacements for Self-Announcing Failure Products Subject to Mission Cycles</t>
  </si>
  <si>
    <t>failure number; mission cycles; post-warranty replacement; renewable free-repair-replacement warranty</t>
  </si>
  <si>
    <t>AVAILABILITY ANALYSIS; SYSTEMS SUBJECT; MAINTENANCE; POLICY; COST; DESIGN; SOLD</t>
  </si>
  <si>
    <t>The number of failures serves as a critical indicator that dynamically impacts the reliability of self-announcing failure products, making it highly practical to incorporate the failure count into reliability management throughout the entire product life cycle. This paper investigates comprehensive methodologies for effectively managing the reliability of self-announcing failure products throughout both the warranty and post-warranty stages, taking into account factors such as the failure count, mission cycles, and limited time duration. Three renewable warranty strategies are introduced alongside proposed models for post-warranty replacements. By analyzing variables like the failure number, mission cycles, and time constraints, these proposed warranties provide practical frameworks for efficient reliability management during the warranty stage. Additionally, the introduced warranties utilize cost and time metrics to extract valuable insights that inform decision making and enable effective reliability management during the warranty stage. Moreover, this study establishes cost and time metrics for key post-warranty replacements, facilitating the development of individual cost rates and model applications in other post-warranty scenarios. Analyses of the renewable free-repair-replacement warranties demonstrate that establishing an appropriate number of failures as the replacement threshold can effectively reduce warranty-servicing costs and extend the coverage duration.</t>
  </si>
  <si>
    <t>[Shang, Lijun] Foshan Univ, Sch Qual Management &amp; Standardizat, Foshan 528225, Peoples R China; [Chen, Jianhui] China North Standardizat Ctr, Beijing 100089, Peoples R China; [Liu, Baoliang] Shanxi Datong Univ, Coll Math &amp; Stat, Datong 037054, Peoples R China; [Lin, Cong] AVIC China Areo Polytechnol Estab, Beijing 100028, Peoples R China; [Yang, Li] Beihang Univ, Sch Reliabil &amp; Syst Engn, Beijing 100191, Peoples R China</t>
  </si>
  <si>
    <t>Foshan University; Shanxi Datong University; Beihang University</t>
  </si>
  <si>
    <t>cjhcc121@126.com; baoliang521@163.com; linc002@avic.com; yanglirass@buaa.edu.cn</t>
  </si>
  <si>
    <t>The authors sincerely thank all unknown reviewers for their valuable suggestions and helpful comments that have led to the present form of the original manuscript.</t>
  </si>
  <si>
    <t>10.3390/sym16050603</t>
  </si>
  <si>
    <t>RY6Y7</t>
  </si>
  <si>
    <t>WOS:001231270200001</t>
  </si>
  <si>
    <t>Zarean, M; Sayadi, AR; Mousavi, AA</t>
  </si>
  <si>
    <t>Zarean, Mohamad; Sayadi, Ahmad Reza; Mousavi, Amin Alah</t>
  </si>
  <si>
    <t>Case study of an equivalent annual cost model for economic lifetime for construction vehicles under cost uncertainty</t>
  </si>
  <si>
    <t>ENGINEERING ECONOMIST</t>
  </si>
  <si>
    <t>EQUIPMENT REPLACEMENT ANALYSIS; ASSET REPLACEMENT; MACHINE-REPLACEMENT; MAINTENANCE; MANAGEMENT; IMPACTS; TIME</t>
  </si>
  <si>
    <t>Whereas the practical importance of the Economic Lifetime (EL) is well-known, selecting the proper process has always been a dilemma. In this respect, classical methods dating back to one century ago are generally favored, but using them in a data-driven approach still has particular shortcomings. This paper aims to present a Life Cycle Cost (LCC) model determining the EL of a truck while fluctuation in historical data deepens through its lifespan. The equivalent annual cost of LCC is developed based on Operating and Maintenance (O&amp;M) costs along with the resale value. The O&amp;M cost was estimated deterministically and stochastically using regression analysis and Brownian-Motion-based simulation. The resale value was modeled by employing a genetic algorithm. The model capability was evaluated using real data of a seven cubic-meters truck hauling rock-fill materials in a dam construction project. The optimal EL was estimated on average 105 months in deterministic condition, while it was 88-145 months at the 70% confidence level using non-deterministic approach.</t>
  </si>
  <si>
    <t>[Zarean, Mohamad; Sayadi, Ahmad Reza; Mousavi, Amin Alah] Tarbiat Modares Univ, Fac Engn, Tehran, Iran</t>
  </si>
  <si>
    <t>Tarbiat Modares University</t>
  </si>
  <si>
    <t>Sayadi, AR (corresponding author), Tarbiat Modares Univ, Fac Engn, Tehran, Iran.</t>
  </si>
  <si>
    <t>sayadi@modares.ac.ir</t>
  </si>
  <si>
    <t>Sayadi, Ahmadreza/U-7298-2017; Mousavi, Amin/AAJ-9292-2021</t>
  </si>
  <si>
    <t>Sayadi, Ahmad Reza/0000-0001-8224-5295</t>
  </si>
  <si>
    <t>0013-791X</t>
  </si>
  <si>
    <t>1547-2701</t>
  </si>
  <si>
    <t>ENG ECON</t>
  </si>
  <si>
    <t>Eng. Econ.</t>
  </si>
  <si>
    <t>10.1080/0013791X.2022.2028048</t>
  </si>
  <si>
    <t>Business; Engineering, Industrial; Management; Operations Research &amp; Management Science</t>
  </si>
  <si>
    <t>Business &amp; Economics; Engineering; Operations Research &amp; Management Science</t>
  </si>
  <si>
    <t>0C8PV</t>
  </si>
  <si>
    <t>WOS:000744720500001</t>
  </si>
  <si>
    <t>Dui, HY; Zheng, XQ; Guo, JJ; Xiao, H</t>
  </si>
  <si>
    <t>Dui, Hongyan; Zheng, Xiaoqian; Guo, Jianjun; Xiao, Hui</t>
  </si>
  <si>
    <t>Importance measure-based resilience analysis of a wind power generation system</t>
  </si>
  <si>
    <t>Reliability engineering; resilience; importance measure; wind energy conversion system; multi-state system</t>
  </si>
  <si>
    <t>ENERGY; RELIABILITY; INFRASTRUCTURE; MAINTENANCE; STRATEGY</t>
  </si>
  <si>
    <t>Different from other forms of power generation, wind power generation has the characteristics of randomness, intermittentness, and volatility. Therefore, the wind power generation system (WPGS) is more prone to failures caused by external impacts during the operation. The reliability of the WPGS has a significant influence on the safety of large-scale power grid systems. Thus, how to accurately evaluate the reliability of the WPGS that is integrated into large-scale power grid systems has become a new challenge. Implementing effective resilience management in WPGSs can improve their ability to handle interruptions and increase the safety of the grid-connected system. This research proposes a new method of resilience management based on importance measure for the WPGS after multi-node failures due to natural disasters or man-made accidents. Firstly, both the performance of the WPGS before multi-node failures and the performance of the WPGS after multiple nodes failures are analyzed. Then, the performance loss and the performance recovery of the WPGS are evaluated. Finally, a new method for judging the loss importance measure of node, the recovery importance measure of node, and the resilience importance measure are proposed. The objective of this research is to analyze the restoration sequence of failed nodes in the WPGS with multi-node failures such that the system recover can be faster and more effective. The proposed method is proven to be effective by introducing the WPGS into the IEEE five-machine 14-node system.</t>
  </si>
  <si>
    <t>[Dui, Hongyan; Zheng, Xiaoqian] Zhengzhou Univ, Sch Management Engn, Zhengzhou, Peoples R China; [Guo, Jianjun; Xiao, Hui] Southwestern Univ Finance &amp; Econ, Sch Stat, Chengdu 611130, Peoples R China</t>
  </si>
  <si>
    <t>Zhengzhou University; Southwestern University of Finance &amp; Economics - China</t>
  </si>
  <si>
    <t>Guo, JJ (corresponding author), Southwestern Univ Finance &amp; Econ, Sch Stat, Chengdu 611130, Peoples R China.</t>
  </si>
  <si>
    <t>guojj@swufe.edu.cn</t>
  </si>
  <si>
    <t>Xiao, Hui/N-9777-2015</t>
  </si>
  <si>
    <t>National Social Science Foundation of China [20FTJB072, 19AZD010]; National Natural Science Foundation of China [72071182, U1904211]; Ministry of Education's Humanities and Social Sciences Planning Fund [20YJA630012]; Applied Basic Research Program of Sichuan Province [2020YJ0027]</t>
  </si>
  <si>
    <t>National Social Science Foundation of China(National Office of Philosophy and Social Sciences); National Natural Science Foundation of China(National Natural Science Foundation of China (NSFC)); Ministry of Education's Humanities and Social Sciences Planning Fund; Applied Basic Research Program of Sichuan Province</t>
  </si>
  <si>
    <t>The author(s) disclosed receipt of the following financial support for the research, authorship, and/or publication of this article: This research is supported in part by the National Social Science Foundation of China under grant numbers 20FTJB072 and 19AZD010, the National Natural Science Foundation of China under grant numbers 72071182 and U1904211, the Ministry of Education's Humanities and Social Sciences Planning Fund (20YJA630012), and the Applied Basic Research Program of Sichuan Province (2020YJ0027).</t>
  </si>
  <si>
    <t>1748006X211001709</t>
  </si>
  <si>
    <t>10.1177/1748006X211001709</t>
  </si>
  <si>
    <t>1D6EI</t>
  </si>
  <si>
    <t>WOS:000637146900001</t>
  </si>
  <si>
    <t>Chen, BJ; Shen, BM; Zhang, FJ; Xiao, WR; Chen, FF; Tian, HL; Chen, S</t>
  </si>
  <si>
    <t>Chen, Baojia; Shen, Baoming; Zhang, Fajun; Xiao, Wenrong; Chen, Fafa; Tian, Hongliang; Chen, Shu</t>
  </si>
  <si>
    <t>Operation reliability evaluation of cutting tools based on singular value decomposition transform and support vector space</t>
  </si>
  <si>
    <t>Turning cutting tool; singular value decomposition; dimensionality reduction; support vector space; relative distance; operation reliability</t>
  </si>
  <si>
    <t>LIFE; ONLINE; WEAR; EXTRACTION; POWER</t>
  </si>
  <si>
    <t>The traditional reliability evaluation method based on large sample statistics is inefficient for a single or a small batch computer numerical control turning cutting tool due to the inadequate description of time, dynamic process, inaccurate model and individualization. To solve the problem, a new operation reliability evaluation method based on singular value decomposition transform and support vector space is proposed. In this new method, the singular value decomposition is used for the dimensionality reduction of high-dimensional feature data so as to reduce the computational complexity and the redundant components. The hypersphere space of the similar data is established based on the dimension reduction data. The relative distance between the sample points and the hypersphere is then calculated and used to describe the performance of the tool. The semi-normal function is introduced to define the mapping relationship of the relative distance and the operation reliability of the tool. Finally, two cutting tools in the experiment are taken as the research example to verify the effectiveness of the method. The result shows that this method can evaluate the operation reliability of the tool effectively and the singular value decomposition dimensionality reduction improves the accuracy of the evaluation. It provides a new theoretical and practical support for the reliability evaluation of small sample data.</t>
  </si>
  <si>
    <t>[Chen, Baojia; Shen, Baoming; Zhang, Fajun; Xiao, Wenrong; Chen, Fafa; Tian, Hongliang] China Three Gorges Univ, Hubei Key Lab Hydroelect Machinery Design &amp; Maint, Yichang 443002, Hubei, Peoples R China; [Chen, Baojia; Xiao, Wenrong; Chen, Shu] China Three Gorges Univ, Hubei Key Lab Construct &amp; Management Hydropower E, Yichang, Peoples R China</t>
  </si>
  <si>
    <t>China Three Gorges University; China Three Gorges University</t>
  </si>
  <si>
    <t>Chen, FF (corresponding author), China Three Gorges Univ, Hubei Key Lab Hydroelect Machinery Design &amp; Maint, Yichang 443002, Hubei, Peoples R China.</t>
  </si>
  <si>
    <t>chenfafa2005@126.com</t>
  </si>
  <si>
    <t>Xiao, wenrong/MIO-9304-2025; Chen, B/AED-9071-2022; SHU, CHEN/S-8781-2018</t>
  </si>
  <si>
    <t>SHU, CHEN/0000-0002-7001-7735</t>
  </si>
  <si>
    <t>Hubei Key Laboratory of Construction and Management in Hydropower Engineering Open Foundation [2016KSD14, 2016KSD15]; Hubei Key Laboratory of Hydroelectric Machinery Design &amp; Maintenance Open Foundation [2016KJX02, 2016KJX15]; National Nature Science Foundation of China [51775307, 51405264]</t>
  </si>
  <si>
    <t>Hubei Key Laboratory of Construction and Management in Hydropower Engineering Open Foundation; Hubei Key Laboratory of Hydroelectric Machinery Design &amp; Maintenance Open Foundation; National Nature Science Foundation of China(National Natural Science Foundation of China (NSFC))</t>
  </si>
  <si>
    <t>The author(s) disclosed receipt of the following financial support for the research, authorship, and/or publication of this article: This program is jointly supported by the key project of Hubei Key Laboratory of Construction and Management in Hydropower Engineering Open Foundation (nos 2016KSD14 and 2016KSD15), the project of Hubei Key Laboratory of Hydroelectric Machinery Design &amp; Maintenance Open Foundation (nos 2016KJX02 and 2016KJX15) and the project of National Nature Science Foundation of China (nos 51775307 and 51405264).</t>
  </si>
  <si>
    <t>10.1177/1748006X18766125</t>
  </si>
  <si>
    <t>WOS:000463036500006</t>
  </si>
  <si>
    <t>Cui, LR; Jiang, WX; Liang, XJ; Yin, J</t>
  </si>
  <si>
    <t>Cui, Lirong; Jiang, Weixin; Liang, Xiaojun; Yin, Juan</t>
  </si>
  <si>
    <t>Reliability for single-unit systems via virtual ages under cyclic environments</t>
  </si>
  <si>
    <t>Virtual age; reliability; age correspondence principle; regime switching; reliability estimation</t>
  </si>
  <si>
    <t>PERFORMANCE; POLICY</t>
  </si>
  <si>
    <t>Systems commonly operate in varying environments which are harmful in most situations for system reliability. The usage of virtual ages in reliability increases gradually, which is a powerful tool for analyzing system reliability. In the paper, by employing virtual ages, a system reliability model is developed for a single-unit system operating in cyclic environments. The system reliability formula is given in an expectation form of a random survival function whose variables include a virtual age, and the asymptotic estimates of system reliability are derived in terms of the law of large numbers and the central limit theorem. Meanwhile, some special cases are discussed, and the simulation algorithm is established. We believe this work may shed light on the related researches in future not only in the area of reliability but also in the subject of maintenance.</t>
  </si>
  <si>
    <t>[Cui, Lirong; Jiang, Weixin; Liang, Xiaojun] Qingdao Univ, Sch Business, Qingdao, Shandong, Peoples R China; [Yin, Juan] Natl Univ Singapore, Dept Ind Syst Engn &amp; Management, Singapore, Singapore</t>
  </si>
  <si>
    <t>Qingdao University; National University of Singapore</t>
  </si>
  <si>
    <t>Cui, LR (corresponding author), Qingdao Univ, Sch Business, Qingdao, Shandong, Peoples R China.</t>
  </si>
  <si>
    <t>Jiang, Weixin/GLR-7653-2022; Cui, Lirong/JHU-9897-2023</t>
  </si>
  <si>
    <t>National Natural Science Foundation of China [72271134]</t>
  </si>
  <si>
    <t>The work was supported by the National Natural Science Foundation of China [72271134].</t>
  </si>
  <si>
    <t>2024 NOV 20</t>
  </si>
  <si>
    <t>10.1080/16843703.2024.2422204</t>
  </si>
  <si>
    <t>M4T8G</t>
  </si>
  <si>
    <t>WOS:001357489700001</t>
  </si>
  <si>
    <t>Hu, W; Westerlund, P; Hilber, P; Chen, CH; Yang, ZJ</t>
  </si>
  <si>
    <t>Hu, Wei; Westerlund, Per; Hilber, Patrik; Chen, Chuanhai; Yang, Zhaojun</t>
  </si>
  <si>
    <t>A general model, estimation, and procedure for modeling recurrent failure process of high-voltage circuit breakers considering multivariate impacts</t>
  </si>
  <si>
    <t>Failure process model; High-voltage circuit breaker; Virtual age model; Scale model; Regression analysis</t>
  </si>
  <si>
    <t>OF-FIT TESTS; REPAIRABLE SYSTEMS; RENEWAL PROCESS; RELIABILITY; MAINTENANCE; PARAMETERS; SELECTION; TRENDS</t>
  </si>
  <si>
    <t>The high-voltage circuit breaker (HV CB) constitutes an important repairable asset in power systems. Due to its great number in the power network and strategic role in the successful operation of power systems, it is important to ensure its reliability. This paper deals with the estimation of the failure process of CBs considering the impact of age, operation intensity, corrective maintenance, and examination. A general model that integrates the above factors' effects is proposed, which can be reduced to many specific models like virtual age models, scale models, the two combinations, and their regression analysis. The model estimation under the condition of random censoring population data is illustrated, including parameters, reliability indicators, the cumulative intensity function, and goodness-of-fit tests. Moreover, a general procedure to stepwise select valuable effect functions into the general model is presented, thereby obtaining a specific formulation fitting the given data. The above works are applied to a real case to discuss the most probable failure process of the given HV CBs.</t>
  </si>
  <si>
    <t>[Hu, Wei; Chen, Chuanhai; Yang, Zhaojun] Jilin Univ, Sch Mech &amp; Aerosp Engn, Key Lab CNC Equipment Reliabil, Minist Educ, Changchun 130025, Peoples R China; [Westerlund, Per; Hilber, Patrik] KTH Royal Inst Technol, Quantitat Evidence Driven Asset Management Grp, Tekn Ringen 31, S-10044 Stockholm, Sweden</t>
  </si>
  <si>
    <t>Jilin University; Royal Institute of Technology</t>
  </si>
  <si>
    <t>Chen, CH (corresponding author), Jilin Univ, Sch Mech &amp; Aerosp Engn, Key Lab CNC Equipment Reliabil, Minist Educ, Changchun 130025, Peoples R China.</t>
  </si>
  <si>
    <t>weihu19@mails.jlu.edu.cn; perw@kth.se; hilber@kth.se; cchchina@foxmail.com; yzj@jlu.edu.cn</t>
  </si>
  <si>
    <t>National Natural Science Foundation of China [51975249]; Natural Science Foundation of Chongqing municipality [cstc2021jcyj-msxmX0935]; China Scholarship Council [202006170069]</t>
  </si>
  <si>
    <t>National Natural Science Foundation of China(National Natural Science Foundation of China (NSFC)); Natural Science Foundation of Chongqing municipality(Natural Science Foundation of Chongqing); China Scholarship Council(China Scholarship Council)</t>
  </si>
  <si>
    <t>This work was supported by National Natural Science Foundation of China [grant number 51975249]; Natural Science Foundation of Chongqing municipality [grant number cstc2021jcyj-msxmX0935]; and China Scholarship Council [grant number 202006170069].</t>
  </si>
  <si>
    <t>10.1016/j.ress.2021.108276</t>
  </si>
  <si>
    <t>WOS:000760343700013</t>
  </si>
  <si>
    <t>Su, HF; Guo, C; Wang, ZY; Han, T; Kamanda, DB; Su, FZ; Shang, LH</t>
  </si>
  <si>
    <t>Su, Huifeng; Guo, Cheng; Wang, Ziyi; Han, Tao; Kamanda, David Bonfils; Su, Fengzhao; Shang, Liuhong</t>
  </si>
  <si>
    <t>Research on safety condition assessment methodology for single tower steel box girder suspension bridges over the sea based on improved AHP-fuzzy comprehensive evaluation</t>
  </si>
  <si>
    <t>Single tower steel box girder suspension bridges over sea; Health monitoring; Improved Analytic Hierarchy Process (AHP); Fuzzy comprehensive evaluation method; Safety assessment</t>
  </si>
  <si>
    <t>In order to propose a reliable method for assessing the safety condition for single-tower steel box girder Suspension bridges over the sea, a condition monitoring system is established by installing sensors on the bridge structure. The system is capable of gathering monitoring data that influence the safety status of the bridge. These include cable tension, load on the main tower and pylon, bearing displacement, wind direction, wind speed, and ambient temperature and humidity. Furthermore, an improved Analytic Hierarchy Process (AHP) algorithm is developed by integrating a hybrid triangular fuzzy number logic structure. This improvement, coupled with comprehensive fuzzy evaluation methods, improves the consistency, weight determination, and security evaluation capabilities of the AHP algorithm. Finally, taking the No.2 Channel Bridge as an example and based on the data collected by the health monitoring system, the application of the safety assessment method proposed in this paper provides favorable results in evaluating the overall safety status of the bridge in practical engineering applications. This provides a basis for management decisions by bridge maintenance departments. This project confirms that the research results can provide a reliable method for assessing the security status of relevant areas.</t>
  </si>
  <si>
    <t>[Su, Huifeng; Guo, Cheng; Kamanda, David Bonfils; Su, Fengzhao; Shang, Liuhong] Shandong Univ Sci &amp; Technol, Coll Transportat, Qingdao 266590, Peoples R China; [Su, Huifeng] Shandong Prov Univ, Key Lab Transportat Infrastruct Performance &amp; Safe, Qingdao 266590, Peoples R China; [Wang, Ziyi] Shandong Rd &amp; Bridge Grp Co Ltd, Qingdao Branch, Qingdao 266100, Peoples R China; [Han, Tao] Shandong Expressway Qingdao Dev Co Ltd, Qingdao 266000, Peoples R China</t>
  </si>
  <si>
    <t>Shandong University of Science &amp; Technology</t>
  </si>
  <si>
    <t>Su, HF (corresponding author), Shandong Univ Sci &amp; Technol, Coll Transportat, Qingdao 266590, Peoples R China.;Su, HF (corresponding author), Shandong Prov Univ, Key Lab Transportat Infrastruct Performance &amp; Safe, Qingdao 266590, Peoples R China.</t>
  </si>
  <si>
    <t>skd991970@sdust.edu.cn</t>
  </si>
  <si>
    <t>Han Tao</t>
  </si>
  <si>
    <t>10.1038/s41598-024-61579-1</t>
  </si>
  <si>
    <t>WOS:001233645300102</t>
  </si>
  <si>
    <t>Zhang, H; Zhou, YH</t>
  </si>
  <si>
    <t>Zhang, He; Zhou, Yuhui</t>
  </si>
  <si>
    <t>AI-based modeling and data-driven identification of moving load on continuous beams</t>
  </si>
  <si>
    <t>FUNDAMENTAL RESEARCH</t>
  </si>
  <si>
    <t>Traffic load identification; PZT sensor array; Long Short-Term Memory; Time-varying characteristic; Data-driven method</t>
  </si>
  <si>
    <t>FORCE IDENTIFICATION; AXLE LOADS; RESPONSES; BRIDGES</t>
  </si>
  <si>
    <t>Traffic load identification for bridges is of great significance for overloaded vehicle control as well as the structural management and maintenance in bridge engineering. Unlike the conventional load identification methods that always encounter problems of ill-condition and difficulties in identifying multi parameters simultaneously when solving the motion equations inversely, a novel strategy is proposed based on smart sensing combing intelligent algorithm for real-time traffic load monitoring. An array of lead zirconium titanate sensors is applied to capture the dynamic responses of a beam bridge, while the Long Short-Term Memory (LSTM) neural network is employed to establish the mapping relations between the dynamic responses of the bridge and the traffic load through data mining. The results reveal that, with the real-time strain responses fed into the LSTM network, the speed and magnitude of the moving load may be identified simultaneously with high accuracy when compared to the practically applied load. The current method may facilitate highly efficient identification of the time-varying characteristics of moving loads and may provide a useful tool for long-term traffic load monitoring and traffic control for in-service bridges.</t>
  </si>
  <si>
    <t>[Zhang, He; Zhou, Yuhui] Zhejiang Univ, Coll Civil Engn &amp; Architecture, Hangzhou 310058, Peoples R China; [Zhang, He] Zhejiang Univ, Ctr Balance Architecture, Hangzhou 310058, Peoples R China</t>
  </si>
  <si>
    <t>Zhejiang University; Zhejiang University</t>
  </si>
  <si>
    <t>Zhang, H (corresponding author), Zhejiang Univ, Coll Civil Engn &amp; Architecture, Hangzhou 310058, Peoples R China.;Zhang, H (corresponding author), Zhejiang Univ, Ctr Balance Architecture, Hangzhou 310058, Peoples R China.</t>
  </si>
  <si>
    <t>zjuzhanghe@zju.edu.cn</t>
  </si>
  <si>
    <t>zhao, huiying/HKO-3636-2023</t>
  </si>
  <si>
    <t>National Key Research and Development Program of China [2020YFA0711700]; National Natu-ral Science Foundation of China [52122801, 11925206, 51978609]; Foundation for Distinguished Young Scientists of Zhejiang Province [LR20E080003]</t>
  </si>
  <si>
    <t>National Key Research and Development Program of China(National Key Research &amp; Development Program of China); National Natu-ral Science Foundation of China(National Natural Science Foundation of China (NSFC)); Foundation for Distinguished Young Scientists of Zhejiang Province</t>
  </si>
  <si>
    <t>Acknowledgments The authors acknowledge the supports from National Key Research and Development Program of China (2020YFA0711700) , National Natu-ral Science Foundation of China (52122801 , 11925206 and 51978609) , and Foundation for Distinguished Young Scientists of Zhejiang Province (LR20E080003) .</t>
  </si>
  <si>
    <t>KEAI PUBLISHING LTD</t>
  </si>
  <si>
    <t>16 DONGHUANGCHENGGEN NORTH ST, Building 5, Room 411, BEIJING, DONGCHENG DISTRICT 100009, PEOPLES R CHINA</t>
  </si>
  <si>
    <t>2096-9457</t>
  </si>
  <si>
    <t>2667-3258</t>
  </si>
  <si>
    <t>FUND RES-CHINA</t>
  </si>
  <si>
    <t>Fundamental Res.</t>
  </si>
  <si>
    <t>10.1016/j.fmre.2022.02.013</t>
  </si>
  <si>
    <t>W1XS8</t>
  </si>
  <si>
    <t>WOS:001089638700001</t>
  </si>
  <si>
    <t>Bertola, NJ; Cinelli, M; Casset, S; Corrente, S; Smith, IFC</t>
  </si>
  <si>
    <t>Bertola, Numa J.; Cinelli, Marco; Casset, Simon; Corrente, Salvatore; Smith, Ian F. C.</t>
  </si>
  <si>
    <t>A multi-criteria decision framework to support measurement-system design for bridge load testing</t>
  </si>
  <si>
    <t>System identification; Sensor placement; Multi-criteria decision making; SMAA-PROMETHEE; Error-domain model falsification</t>
  </si>
  <si>
    <t>STRUCTURAL IDENTIFICATION; SENSOR LOCATIONS; UPDATING MODELS; SMAA-PROMETHEE; CRITERIA; SUSTAINABILITY; ENTROPY; UNCERTAINTIES; CONFIGURATION; PERFORMANCE</t>
  </si>
  <si>
    <t>Due to conservative design models and safe construction practices, infrastructure usually has unknown amounts of reserve capacity that exceed code requirements. Quantification of this reserve capacity has the potential to lead to better asset-management decisions by avoiding unnecessary replacement and by lowering maintenance expenses. However, such quantification is challenging due to systematic uncertainties that are present in typical structural models. Field measurements, collected during load tests, combined with good structural-identification methodologies may improve the accuracy of model predictions. In most structural-identification tasks, engineers usually select and place sensors based on experience and high signal-to-noise estimations. Since the success of structural identification depends on the measurement system, research into measurement system design has been carried out over several decades. Despite the multi-criteria nature of the problem, most researchers have focused only on the information gained by the measurement system. This study presents a framework to evaluate and rank possible measurement-system designs based on a tiered multi-criteria strategy. Performance criteria for the design of measurement systems include monitoring costs, information gain, ability to detect outliers and impact of loss of information in case of sensor failure. Through including conflicting criteria, such as cost of monitoring and information gain, the optimal measuring system becomes a Pareto-like choice that ultimately depends on asset-manager preference hierarchies. Several potential preference scenarios are generated and results are compared using a full-scale test study, the Exeter Bascule Bridge. The framework successfully supports an informed design of measurement systems by providing an extensive set of alternatives, including the best solution defined probabilistically and for specific conditions when other near-optimal solutions might be preferred.</t>
  </si>
  <si>
    <t>[Bertola, Numa J.; Casset, Simon; Smith, Ian F. C.] Swiss Fed Inst Technol, Future Cities Lab, Singapore ETH Ctr, 1 CREATE Way,CREATE Tower, Singapore 138602, Singapore; [Bertola, Numa J.; Casset, Simon; Smith, Ian F. C.] Ecole Polytech Fed Lausanne, Appl Comp &amp; Mech Lab, CH-1015 Lausanne, Switzerland; [Cinelli, Marco] Swiss Fed Inst Technol, Future Resilient Syst, Singapore ETH Ctr, 1 CREATE Way,CREATE Tower, Singapore 138602, Singapore; [Corrente, Salvatore] Univ Catania, Dept Econ &amp; Business, Corso Italia 55, I-95129 Catania, Italy; [Cinelli, Marco] US EPA, Land &amp; Mat Management Div, Natl Risk Management Res Lab, Off Res &amp; Dev, 26 W Martin Luther King Dr MS 483, Cincinnati, OH 45268 USA</t>
  </si>
  <si>
    <t>Swiss Federal Institutes of Technology Domain; Ecole Polytechnique Federale de Lausanne; University of Catania; United States Environmental Protection Agency</t>
  </si>
  <si>
    <t>Bertola, NJ (corresponding author), Swiss Fed Inst Technol, Future Cities Lab, Singapore ETH Ctr, 1 CREATE Way,CREATE Tower, Singapore 138602, Singapore.;Bertola, NJ (corresponding author), Ecole Polytech Fed Lausanne, Appl Comp &amp; Mech Lab, CH-1015 Lausanne, Switzerland.</t>
  </si>
  <si>
    <t>numa.bertola@epfl.ch</t>
  </si>
  <si>
    <t>Corrente, Salvatore/AAF-3634-2020; Bertola, Numa/AAU-3249-2021; Smith, Ian/A-1932-2008; Cinelli, Marco/G-3088-2012</t>
  </si>
  <si>
    <t>Smith, Ian/0000-0002-5033-2113; Bertola, Numa/0000-0002-4151-3123; Cinelli, Marco/0000-0001-5822-3627</t>
  </si>
  <si>
    <t>FIR of the University of Catania BCAEA3; Department of Economics and Business of the University of Catania; ETH Zurich [FI 370074011-370074016]; Singapore's National Research Foundation [FI 370074011-370074016]</t>
  </si>
  <si>
    <t>FIR of the University of Catania BCAEA3; Department of Economics and Business of the University of Catania; ETH Zurich(ETH Zurich); Singapore's National Research Foundation(National Research Foundation, Singapore)</t>
  </si>
  <si>
    <t>The research was conducted at the Future Cities Laboratory and Future Resilient Systems at the Singapore-ETH Centre, which was established collaboratively between ETH Zurich and Singapore's National Research Foundation (FI 370074011-370074016) under its Campus for Research Excellence and Technological Enterprise programme. The authors gratefully acknowledge the University of Exeter (J. Brownjohn, P. Kripakaran and the Full Scale Dynamics Ltd. [UK]) for support during load tests in the scope of the case study. Salvatore Corrente acknowledges the funding by the FIR of the University of Catania BCAEA3 and by the Department of Economics and Business of the University of Catania. Additionally, the authors are thankful to S. Greco for valuable input.</t>
  </si>
  <si>
    <t>10.1016/j.aei.2019.01.004</t>
  </si>
  <si>
    <t>HP1EL</t>
  </si>
  <si>
    <t>WOS:000461408100015</t>
  </si>
  <si>
    <t>Panagiotidou, S</t>
  </si>
  <si>
    <t>Panagiotidou, Sofia</t>
  </si>
  <si>
    <t>Joint optimization of spare parts ordering and age-based preventive replacement</t>
  </si>
  <si>
    <t>Preventive replacement; spare parts management; integrated optimisation</t>
  </si>
  <si>
    <t>BLOCK-REPLACEMENT; PROVISIONING POLICY; INVENTORY OPTIMIZATION; MAINTENANCE; SYSTEMS; STOCKING; MODEL</t>
  </si>
  <si>
    <t>In this paper, an integrated model for the joint optimisation of preventive replacement time and spare parts ordering policy is proposed for systems with more than one identical items that operate in parallel. The operating items are preventively replaced under an item-specific age-based preventive replacement policy, while the inventory of spare parts is continuously monitored and replenished under an (s, S) continuous review policy, combined with emergency orders in case of shortages during lead time. The optimal cost of the proposed model is compared against the one of sequential optimisation, where the preventive replacement time is first selected using a traditional age-based preventive replacement model and the inventory control parameters are then optimised for the resulting value of the preventive replacement time. The numerical analysis shows that, unless a preventive replacement is not economically advisable, the proposed model significantly outperforms sequential optimisation. In addition, the proposed model is also compared against the case where the system inter-replacement times are assumed to follow the exponential distribution. The numerical analysis shows that such an approximation, although it is satisfactory when the number of items is large, can be very costly when the number of items in the system and/or the order lead time is quite small.</t>
  </si>
  <si>
    <t>[Panagiotidou, Sofia] Univ Western Macedonia, Dept Mech Engn, Kozani, Greece</t>
  </si>
  <si>
    <t>University of Western Macedonia</t>
  </si>
  <si>
    <t>Panagiotidou, S (corresponding author), Univ Western Macedonia, Dept Mech Engn, Kozani, Greece.</t>
  </si>
  <si>
    <t>span@uowm.gr</t>
  </si>
  <si>
    <t>OCT 17</t>
  </si>
  <si>
    <t>10.1080/00207543.2019.1677959</t>
  </si>
  <si>
    <t>OD5JR</t>
  </si>
  <si>
    <t>WOS:000491041500001</t>
  </si>
  <si>
    <t>Jain, M; Kumar, P; Singh, M; Gupta, R</t>
  </si>
  <si>
    <t>Jain, Madhu; Kumar, Pankaj; Singh, Mayank; Gupta, Ritu</t>
  </si>
  <si>
    <t>Cost optimization and reliability analysis of fault tolerant system with service interruption and reboot</t>
  </si>
  <si>
    <t>Machine repair; Fault tolerance (FT); Imperfect coverage; Reboot; Working -breakdown; Working vacation</t>
  </si>
  <si>
    <t>IMPERFECT COVERAGE; REPAIRABLE SYSTEM; SWITCHING FAILURE; WORKING VACATIONS; RETRIAL; STANDBYS; SERVER; POLICY; DELAY</t>
  </si>
  <si>
    <t>Due to widespread usage in many real time systems, reliability modeling and cost optimization of fault tolerance system have drawn attention of the practitioners. The fault tolerance in these systems can be provided by the support of maintenance and redundant components that help in smooth operation of the system in spite of failure of some active components. This investigation deals with the performance modeling of a fault-tolerant system consisting of a finite number of active (online) and standby components. During the switching from active to standby, the recovery procedure is performed, which may be imperfect. In case of imperfect recovery, the system reboot takes place. The maintenance of all the components is managed by a repairman (server) which is subject to failure. When the server is interrupted for rendering the service, functioning does not get stopped due to the system switch-over from perfect working to working breakdown mode. The system works even when the server is on working vacation and performs repair jobs of the failed components. The machine repair model based on Markovian process is developed to derive the transient probabilities and other performance indices of the fault tolerant system using Laplace transforms and matrix analytical method. Using the direct search strategy and particle swarm optimization, the cost-benefit analysis is done. The optimal design of the control parameters for the fault-tolerant system are presented by framing a cost-effective ratio function. The model is examined computationally by performing the numerical simulation and cost optimization.</t>
  </si>
  <si>
    <t>[Jain, Madhu; Singh, Mayank] Indian Inst Technol Roorkee, Dept Math, Roorkee, India; [Kumar, Pankaj] Univ Delhi, Deshbandhu Coll, Dept Math, New Delhi 110019, India; [Gupta, Ritu] Manipal Acad Higher Educ, T A Pai Management Inst, Manipal, India</t>
  </si>
  <si>
    <t>Indian Institute of Technology System (IIT System); Indian Institute of Technology (IIT) - Roorkee; University of Delhi; Manipal Academy of Higher Education (MAHE)</t>
  </si>
  <si>
    <t>Gupta, R (corresponding author), Manipal Acad Higher Educ, T A Pai Management Inst, Manipal, India.</t>
  </si>
  <si>
    <t>ritu.gupta@manipal.edu</t>
  </si>
  <si>
    <t>Kumar, Pankaj/HSG-1467-2023; Gupta, Ritu/AAY-6281-2021</t>
  </si>
  <si>
    <t>Gupta, Ritu/0000-0001-7949-4733; Kumar, Pankaj/0000-0002-0965-4030</t>
  </si>
  <si>
    <t>University Grant Commission, India [11-04-2016-429688]</t>
  </si>
  <si>
    <t>University Grant Commission, India(University Grants Commission, India)</t>
  </si>
  <si>
    <t>The authors would like to thank the Editor -in -Chief and anonymous reviewers for their helpful comments/suggestions that improved the quality of the manuscript. The author (Mayank Singh) wishes to acknowledge the support of the University Grant Commission, India for awarding JRF/SRF (grant code 11-04-2016-429688) .</t>
  </si>
  <si>
    <t>10.1016/j.ress.2024.110229</t>
  </si>
  <si>
    <t>UR8W3</t>
  </si>
  <si>
    <t>WOS:001249887800001</t>
  </si>
  <si>
    <t>Svalova, A; Helm, P; Prangle, D; Rouainia, M; Glendinning, S; Wilkinson, DJ</t>
  </si>
  <si>
    <t>Svalova, Aleksandra; Helm, Peter; Prangle, Dennis; Rouainia, Mohamed; Glendinning, Stephanie; Wilkinson, Darren J.</t>
  </si>
  <si>
    <t>Emulating computer experiments of transport infrastructure slope stability using Gaussian processes and Bayesian inference</t>
  </si>
  <si>
    <t>Deterioration; emulation; infrastructure; surrogates; transport</t>
  </si>
  <si>
    <t>HYDRAULIC CONDUCTIVITY; SENSITIVITY-ANALYSIS; DELAYED COLLAPSE; LONDON CLAY; CUT SLOPES; DETERIORATION; DESIGN; MODEL</t>
  </si>
  <si>
    <t>We propose using fully Bayesian Gaussian process emulation (GPE) as a surrogate for expensive computer experiments of transport infrastructure cut slopes in high-plasticity clay soils that are associated with an increased risk of failure. Our deterioration experiments simulate the dissipation of excess pore water pressure and seasonal pore water pressure cycles to determine slope failure time. It is impractical to perform the number of computer simulations that would be sufficient to make slope stability predictions over a meaningful range of geometries and strength parameters. Therefore, a GPE is used as an interpolator over a set of optimally spaced simulator runs modeling the time to slope failure as a function of geometry, strength, and permeability. Bayesian inference and Markov chain Monte Carlo simulation are used to obtain posterior estimates of the GPE parameters. For the experiments that do not reach failure within model time of 184 years, the time to failure is stochastically imputed by the Bayesian model. The trained GPE has the potential to inform infrastructure slope design, management, and maintenance. The reduction in computational cost compared with the original simulator makes it a highly attractive tool which can be applied to the different spatio-temporal scales of transport networks.</t>
  </si>
  <si>
    <t>[Svalova, Aleksandra; Prangle, Dennis; Wilkinson, Darren J.] Newcastle Univ, Sch Math Stat &amp; Phys, Newcastle Upon Tyne NE1 7RU, Tyne &amp; Wear, England; [Helm, Peter; Rouainia, Mohamed; Glendinning, Stephanie] Newcastle Univ, Sch Engn, Newcastle Upon Tyne NE1 7RU, Tyne &amp; Wear, England</t>
  </si>
  <si>
    <t>Newcastle University - UK; Newcastle University - UK</t>
  </si>
  <si>
    <t>Svalova, A (corresponding author), Newcastle Univ, Sch Math Stat &amp; Phys, Newcastle Upon Tyne NE1 7RU, Tyne &amp; Wear, England.</t>
  </si>
  <si>
    <t>alex.svalova@newcastle.ac.uk</t>
  </si>
  <si>
    <t>; Helm, Peter/AAY-4757-2020</t>
  </si>
  <si>
    <t>Svalova, Aleksandra/0000-0001-9455-3471; Helm, Peter/0000-0001-6866-5568</t>
  </si>
  <si>
    <t>U.K. Engineering and Physical Sciences Research Council (EPSRC) [EP/K027050/1, EP/R034575/1]</t>
  </si>
  <si>
    <t>U.K. Engineering and Physical Sciences Research Council (EPSRC)(UK Research &amp; Innovation (UKRI)Engineering &amp; Physical Sciences Research Council (EPSRC))</t>
  </si>
  <si>
    <t>The work presented is an output of the collaborative research project iSMART (grant number EP/K027050/1) and the program grant ACHILLES (grant number EP/R034575/1) funded by the U.K. Engineering and Physical Sciences Research Council (EPSRC).</t>
  </si>
  <si>
    <t>e12</t>
  </si>
  <si>
    <t>10.1017/dce.2021.14</t>
  </si>
  <si>
    <t>4J5TK</t>
  </si>
  <si>
    <t>WOS:000851325000012</t>
  </si>
  <si>
    <t>Wang, RZ; Gu, HH; Zhu, SP; Li, KS; Wang, J; Wang, XW; Hideo, M; Zhang, XC; Tu, ST</t>
  </si>
  <si>
    <t>Wang, Run-Zi; Gu, Hang-Hang; Zhu, Shun-Peng; Li, Kai-Shang; Wang, Ji; Wang, Xiao-Wei; Hideo, Miura; Zhang, Xian-Cheng; Tu, Shan-Tung</t>
  </si>
  <si>
    <t>A data-driven roadmap for creep-fatigue reliability assessment and its implementation in low-pressure turbine disk at elevated temperatures</t>
  </si>
  <si>
    <t>Creep-fatigue; Reliability assessment; Turbine disk; Surrogate model; Probabilistic safety design</t>
  </si>
  <si>
    <t>LIFE PREDICTION; PROBABILITY; COMPONENTS; SYSTEMS</t>
  </si>
  <si>
    <t>High-reliability life design process not only can ensure system safety in service, but also can provide scientific life management during the maintenance period. The objective of the present work is to develop a roadmap for creep-fatigue reliability assessment. Material-level data accumulations and theoretical foundations of creep-fatigue including creep-fatigue constitutive and multi-axial damage models are introduced. Afterwards, a low-pressure turbine disk under a typical creep-fatigue load waveform is applied as a case study to demonstrate how to perform creep-fatigue reliability assessment by using this roadmap in practice. Precise weakness hotspots are identified at the mortise joint of turbine disk. Based on hotspot-based strategy, it is found that the surrogate model assisted by an optimized machine learning method enhances significantly the computational efficiency. Accordingly, the probabilistic creep-fatigue life with considering multi-sources uncertainty obeys lognormal distributions. In the aspect of failure probability analysis, the current probabilistic damage interaction diagram method with creep-fatigue interaction gives conservative reliability assessments and excellent universality as compared to traditional ones mainly used in the low cycle fatigue field. Last but not least, joint failure evaluation of the turbine disk is discussed to comprehensively consider potential failure occurrence in an averaged hot region instead of a single hotspot.</t>
  </si>
  <si>
    <t>[Wang, Run-Zi; Gu, Hang-Hang; Li, Kai-Shang; Wang, Ji; Zhang, Xian-Cheng; Tu, Shan-Tung] East China Univ Sci &amp; Technol, Key Lab Pressure Syst &amp; Safety, Minist Educ, Shanghai 200237, Peoples R China; [Zhu, Shun-Peng] Univ Elect Sci &amp; Technol China, Sch Mechatron Engn, Chengdu 611731, Peoples R China; [Wang, Xiao-Wei] Nanjing Tech Univ, Sch Mech &amp; Power Engn, Nanjing 211816, Peoples R China; [Hideo, Miura] Tohoku Univ, Grad Sch Engn, Fracture &amp; Reliabil Res Inst, Sendai, Miyagi 9808579, Japan</t>
  </si>
  <si>
    <t>East China University of Science &amp; Technology; University of Electronic Science &amp; Technology of China; Nanjing Tech University; Tohoku University</t>
  </si>
  <si>
    <t>Zhang, XC (corresponding author), East China Univ Sci &amp; Technol, Key Lab Pressure Syst &amp; Safety, Minist Educ, Shanghai 200237, Peoples R China.</t>
  </si>
  <si>
    <t>xczhang@ecust.edu.cn</t>
  </si>
  <si>
    <t>Zhang, Xiancheng/S-8906-2019; Wang, Xiaowei/ADE-0812-2022; Zhu, Shun-Peng/B-7779-2009; Wang, Run-Zi/AGZ-5073-2022</t>
  </si>
  <si>
    <t>Wang, Xiaowei/0000-0002-5447-7483; Wang, Run-Zi/0000-0002-9483-8407</t>
  </si>
  <si>
    <t>National Natural Science Foundation of China [52005185, 51725503, U21B2077, 11972110]; Young Elite Scientists Sponsorship Program by CAST [YESS20200029]; Postdoctoral Fellowships for Research in Japan [FY2020 P20350]; Japan Society for the Promotion of Science (JSPS) [21F50350]</t>
  </si>
  <si>
    <t>National Natural Science Foundation of China(National Natural Science Foundation of China (NSFC)); Young Elite Scientists Sponsorship Program by CAST; Postdoctoral Fellowships for Research in Japan; Japan Society for the Promotion of Science (JSPS)(Ministry of Education, Culture, Sports, Science and Technology, Japan (MEXT)Japan Society for the Promotion of Science)</t>
  </si>
  <si>
    <t>This work was supported financially by the National Natural Science Foundation of China (Nos. 52005185, 51725503, U21B2077 and 11972110), Young Elite Scientists Sponsorship Program by CAST (YESS20200029), and the Postdoctoral Fellowships for Research in Japan (FY2020 P20350) and the Grant-in-Aid for JSPS Fellows (21F50350) by the Japan Society for the Promotion of Science (JSPS).</t>
  </si>
  <si>
    <t>10.1016/j.ress.2022.108523</t>
  </si>
  <si>
    <t>3D5MA</t>
  </si>
  <si>
    <t>WOS:000829344700001</t>
  </si>
  <si>
    <t>Han, X; He, YH; Wang, ZL; Cai, YQ; Dai, W</t>
  </si>
  <si>
    <t>Han, Xiao; He, Yihai; Wang, Zili; Cai, Yuqi; Dai, Wei</t>
  </si>
  <si>
    <t>Remaining useful life prediction of manufacturing system based on fuzzy Quality State Task Network</t>
  </si>
  <si>
    <t>Intelligent manufacturing system; Remaining useful life; Fuzzy Quality State Task Network; Mission reliability; Dynamic Bayesian networks</t>
  </si>
  <si>
    <t>MISSION RELIABILITY EVALUATION; DEGRADATION; FUSION; MODEL</t>
  </si>
  <si>
    <t>Accurate prediction of operational state and remaining useful life (RUL) is the premise for PHM (Prognostic and Health Management) implementation and predictive maintenance decision of intelligent manufacturing system. The quality state of the produced WIP (work-in-process) is also a core indicator of the RUL of the running manufacturing system, which can have an impact on the degradation of the downstream machine. However, few studies have fused the quality data of WIP(work-in-process) into the RUL prediction considering the fuzzy operational mechanism of the manufacturing system. Therefore, an RUL prediction method of intelligent manufacturing systems based on the fuzzy Quality State Task Network (QSTN) model is proposed. First, the principles of the RUL prediction of manufacturing system is expounded by taking fuzzy mission reliability as the indicator of system health state. Second, a fuzzy QSTN model that can simultaneously characterize the performance degradation of manufacturing equipment and the quality degradation of WIP is established. Third, a dynamic mission reliability and remaining useful life prediction method of the manufacturing system based on dynamic Bayesian networks is proposed. Finally, the effectiveness of the method is verified by taking the continuous stamping process of a bogie manufacturing system as an example.</t>
  </si>
  <si>
    <t>[Han, Xiao; He, Yihai; Wang, Zili; Cai, Yuqi; Dai, Wei] Beihang Univ, Sch Reliabil &amp; Syst Engn, Beijing, Peoples R China</t>
  </si>
  <si>
    <t>Beihang University</t>
  </si>
  <si>
    <t>He, Yihai/AFK-6651-2022; DAI, WEI/AAD-9980-2019</t>
  </si>
  <si>
    <t>DAI, WEI/0000-0002-7376-6977</t>
  </si>
  <si>
    <t>National Natural Science Foundation of China [72071007, 71971181]</t>
  </si>
  <si>
    <t>This study was supported by the National Natural Science Foundation of China (Grant Nos. 72071007 and 71971181).</t>
  </si>
  <si>
    <t>10.1016/j.jmsy.2022.09.008</t>
  </si>
  <si>
    <t>7T6SW</t>
  </si>
  <si>
    <t>WOS:000911575300011</t>
  </si>
  <si>
    <t>Lin, JD; Liao, GB; Chen, M; Yin, HP</t>
  </si>
  <si>
    <t>Lin, Jingdong; Liao, Guobo; Chen, Min; Yin, Hongpeng</t>
  </si>
  <si>
    <t>Two-phase degradation modeling and remaining useful life prediction using nonlinear wiener process</t>
  </si>
  <si>
    <t>First passage time (FPT); Nonlinear Wiener process; Remaining useful life (RUL); Two-phase degrading product; Unit-to-unit variability</t>
  </si>
  <si>
    <t>TIME RELIABILITY EVALUATION</t>
  </si>
  <si>
    <t>Remaining useful life (RUL) is an essential part of prognostic and health management, which can be employed to enhance the reliability and reduce the maintenance cost. For many products, due to the change of external operating conditions and internal mechanisms, their degradation trajectories tend to exhibit two-phase patterns. In the current method, linear Wiener process is used in each phase for degradation modeling and RUL prediction. In practice, the degradation process of each phase exhibits nonlinear characteristics, where using linear Wiener process to establish two-phase model is often inadequate. In this paper, a novel approach for two-phase degrading product is proposed. A degradation model using nonlinear Wiener process is adopted to characterize the two-phase degradation trajectory firstly. The maximum likelihood estimation (MLE) is used to estimate the unknown parameters of proposed model and Bayesian method is employed for updating the parameters. Taking into account the randomness of the initial state transition to the changing state and the variability in different units degradation, the approximate analytical solution of RUL under the concept of the first passage time is derived. Finally, the effectiveness of the proposed RUL prediction method is demonstrated through a simulation study and a turbofan engine degradation dataset.</t>
  </si>
  <si>
    <t>[Yin, Hongpeng] State Key Lab Power Transmiss Equipment &amp; Syst Se, Chongqing, Peoples R China; [Lin, Jingdong; Liao, Guobo; Chen, Min; Yin, Hongpeng] Chongqing Univ, Coll Automat, Chongqing, Peoples R China</t>
  </si>
  <si>
    <t>Chongqing University</t>
  </si>
  <si>
    <t>Yin, HP (corresponding author), Chongqing Univ, 1911 Main Teaching Bldg,Campus A, Chongqing 400044, Peoples R China.</t>
  </si>
  <si>
    <t>20154030@cqu.edu.cn; yinhongpeng@gmail.com</t>
  </si>
  <si>
    <t>Fundamental Funds for the Central Universities [2019CDCGZDH336, 2020CDCGZDH066]; Graduate Research and Innovation Foundation of Chongqing [CYB20065]; General Program of National Natural Science Foundation of China [61773080]; Scientific Reserve Talent Programs of Chongqing University [cqu2018CDHB1B04]</t>
  </si>
  <si>
    <t>Fundamental Funds for the Central Universities(Fundamental Research Funds for the Central Universities); Graduate Research and Innovation Foundation of Chongqing; General Program of National Natural Science Foundation of China(National Natural Science Foundation of China (NSFC)); Scientific Reserve Talent Programs of Chongqing University</t>
  </si>
  <si>
    <t>This work is jointly supported by the Fundamental Funds for the Central Universities (2019CDCGZDH336, 2020CDCGZDH066), Graduate Research and Innovation Foundation of Chongqing (CYB20065), General Program of National Natural Science Foundation of China (61773080), and Scientific Reserve Talent Programs of Chongqing University (cqu2018CDHB1B04).</t>
  </si>
  <si>
    <t>10.1016/j.cie.2021.107533</t>
  </si>
  <si>
    <t>YL3FE</t>
  </si>
  <si>
    <t>WOS:000745779600007</t>
  </si>
  <si>
    <t>Zhang, C; Qiao, JM; Wang, SP; Chen, RT; Dui, H; Zhang, YW; Bao, YP; Zhou, YL</t>
  </si>
  <si>
    <t>Zhang, Chao; Qiao, Jingming; Wang, Shaoping; Chen, Rentong; Dui, Hongyan; Zhang, Yuwei; Bao, Yunpeng; Zhou, Yulong</t>
  </si>
  <si>
    <t>Importance measures based on system performance loss for multi-state phased-mission systems</t>
  </si>
  <si>
    <t>Importance measure; Multi-state phased-mission system; Markov model; Phase weight; Multi-state multi-valued decision diagram</t>
  </si>
  <si>
    <t>RELIABILITY ASSESSMENT; CRITICALITY</t>
  </si>
  <si>
    <t>It is essential to identify weaknesses in a complex phased-mission system (PMS) in the early design or maintenance stage using importance measures to ensure high reliability and performance. However, most systems have multiple states, and sufficient analyses of importance measures for multi-state phased-mission systems (MSPMSs) are lacking. This paper proposes novel importance measures for MS-PMSs that consider component and phase criticalities. The Markov model is used to describe the degradation of multi-state components. The failure rates are obtained from a recurrence model that considers the cumulative damage effect due to phase changes. A multi-state multi-valued decision diagram (MMDD) is used to describe the system structure in different phases and establish the system reliability model. Two importance measures that consider the system's performance loss during a phase mission are proposed: the phase-weighted Griffith importance measure (PWGIM) and the phase- weighted integrated importance measure (PWIIM). The two importance measures consider phase criticality and reflect the comprehensive impact of component state changes on MS-PMS performance. A case study of an unmanned aerial reconnaissance system (UARS) is conducted to demonstrate the effectiveness of the importance measures. The results indicate that the proposed importance measures are reliable and effective during the design or maintenance stages of MS-PMSs.</t>
  </si>
  <si>
    <t>[Zhang, Chao; Qiao, Jingming; Wang, Shaoping; Chen, Rentong; Zhang, Yuwei; Bao, Yunpeng; Zhou, Yulong] Beihang Univ, Sch Automat Sci &amp; Elect Engn, Beijing 100191, Peoples R China; [Zhang, Chao; Wang, Shaoping] Beihang Univ, Ningbo Inst Technol, Ningbo 315800, Peoples R China; [Dui, Hongyan] Zhengzhou Univ, Sch Management, Zhengzhou 450001, Peoples R China</t>
  </si>
  <si>
    <t>Beihang University; Beihang University; Zhengzhou University</t>
  </si>
  <si>
    <t>Chen, RT (corresponding author), Beihang Univ, Sch Automat Sci &amp; Elect Engn, Beijing 100191, Peoples R China.</t>
  </si>
  <si>
    <t>rentongchen@buaa.edu.cn</t>
  </si>
  <si>
    <t>Chen, Rentong/KLC-2034-2024; Zhang, Yuwei/HHZ-2596-2022</t>
  </si>
  <si>
    <t>Postdoctoral Fellowship Program of CPSF [52375036, 62303030, U2233212]; Fundamental Research Funds for the Central Universities [GZC20242158]</t>
  </si>
  <si>
    <t>Postdoctoral Fellowship Program of CPSF; Fundamental Research Funds for the Central Universities(Fundamental Research Funds for the Central Universities)</t>
  </si>
  <si>
    <t>The authors would like to acknowledge the financial support from the National Natural Science Foundation of China (Grant nos.</t>
  </si>
  <si>
    <t>10.1016/j.ress.2024.110776</t>
  </si>
  <si>
    <t>T1V3O</t>
  </si>
  <si>
    <t>WOS:001402965000001</t>
  </si>
  <si>
    <t>Zhang, JS; He, YH; Zheng, X</t>
  </si>
  <si>
    <t>Zhang, Jishan; He, Yihai; Zheng, Xin</t>
  </si>
  <si>
    <t>Reliability-oriented product manufacturing quality improvement approach based on R-KQC and DMAIC</t>
  </si>
  <si>
    <t>Manufacturing process; quality improvement; reliability assurance; DMAIC; key quality characteristics</t>
  </si>
  <si>
    <t>MAINTENANCE; INDUSTRY; SYSTEMS</t>
  </si>
  <si>
    <t>Reliability-oriented product quality improvement is of great significance to assurance the fitness of quality control and management activities in the manufacturing process. A novel reliability-oriented product manufacturing quality improvement approach based on DMAIC (i.e. define, measure, analysis, improvement, control) and driven by reliability-oriented key quality characteristic (R-KQC) is proposed to prevent reliability degradation and improve product fitness quality in the manufacturing process. First, with the manufacturing reliability based on RQR chain taken into consideration, the connotation of R-KQC is defined. Second, a reliability-oriented DMAIC process driven by R-KQC is proposed. The R-KQC identification method based on feature selection and Shaply additive explanations (SHAP) is proposed. In order to improve the quality of manufacturing process effectively, R-KQC improvement method of response surface and R-KQC control method based on time-between-events (TBE) control chart are proposed. Finally, an illustrated example of an insulating base is provided to verify the effectiveness of the proposed approach, the average failure rate of the latest batch is reduced by 37.8%.</t>
  </si>
  <si>
    <t>[Zhang, Jishan; He, Yihai; Zheng, Xin] Beihang Univ, Sch Reliabil &amp; Syst Engn, Beijing, Peoples R China</t>
  </si>
  <si>
    <t>He, Yihai/AFK-6651-2022</t>
  </si>
  <si>
    <t>He, Yihai/0000-0002-9110-2672</t>
  </si>
  <si>
    <t>National Natural Science Foundation of China [72071007]; National Natural Science Foundation of China</t>
  </si>
  <si>
    <t>National Natural Science Foundation of China(National Natural Science Foundation of China (NSFC)); National Natural Science Foundation of China(National Natural Science Foundation of China (NSFC))</t>
  </si>
  <si>
    <t>This study was supported by the National Natural Science Foundation of China (Grant Nos. 72071007).</t>
  </si>
  <si>
    <t>10.1080/16843703.2024.2327949</t>
  </si>
  <si>
    <t>S2G6S</t>
  </si>
  <si>
    <t>WOS:001184028100001</t>
  </si>
  <si>
    <t>Yan, R; Zhu, XP; Zhu, XN; Peng, R</t>
  </si>
  <si>
    <t>Yan, Rui; Zhu, Xiaoping; Zhu, Xiaoning; Peng, Rui</t>
  </si>
  <si>
    <t>Joint optimisation of task abortions and routes of truck-and-drone systems under random attacks</t>
  </si>
  <si>
    <t>Reliability; Truck-drone routing; Abortion strategy; Drone cluster; Truck protection</t>
  </si>
  <si>
    <t>VEHICLE-ROUTING PROBLEM; PREVENTIVE MAINTENANCE; POLICY; SUBJECT</t>
  </si>
  <si>
    <t>A collaborative truck-and-drone system (TDS) can perform various tasks, such as military surveillance, recon-naissance, logistic delivery, disaster search or rescue. In order to enhance the survivability of such a system and improve the probability of task success, the task can be aborted and a rescue procedure can then be activated when a certain condition relating to malfunction or incident management is satisfied. Multiple drones can work together to complete a task with high reliability once a single drone is unable to respond to complicated emergencies. To consider this challenge, this paper designs a joint optimisation model to consider task abortion when routes of trucks and drone cluster are assumed under random attacks. Additionally, the paper considers time windows of targets and the range of the truck for protecting drones in the routines of a TDS. To minimise the expected total cost due to trucks' destruction, drones' destruction and unvisited targets, we obtain the optimal truck-and-drone routing strategy. Some numerical examples on Solomon datasets are given to illustrate the applicability of the proposed abortion strategy, present the results of sensitivity analysis on the drone cluster, and then prove the effectiveness of the optimisation method.</t>
  </si>
  <si>
    <t>[Yan, Rui; Zhu, Xiaoning] Univ Sci &amp; Technol Beijing, Sch Econ &amp; Management, Beijing 100083, Peoples R China; [Yan, Rui; Zhu, Xiaoning] Univ Sci &amp; Technol Beijing, Beijing Low Carbon Operat Strategy Res Ctr, Beijing 100083, Peoples R China; [Zhu, Xiaoping] Univ Chinese Acad Sci, Sch Emergency Management Sci &amp; Engn, Beijing 101408, Peoples R China; [Peng, Rui] Beijing Univ Technol, Sch Econ &amp; Management, Beijing 100124, Peoples R China</t>
  </si>
  <si>
    <t>University of Science &amp; Technology Beijing; University of Science &amp; Technology Beijing; Chinese Academy of Sciences; University of Chinese Academy of Sciences, CAS; Beijing University of Technology</t>
  </si>
  <si>
    <t>Yan, R (corresponding author), Univ Sci &amp; Technol Beijing, Sch Econ &amp; Management, Beijing 100083, Peoples R China.</t>
  </si>
  <si>
    <t>yanrui@ustb.edu.cn</t>
  </si>
  <si>
    <t>zhu, xiaoping/A-3979-2013; Peng, Rui/AAL-7506-2020; Yan, Rui/ISB-7062-2023</t>
  </si>
  <si>
    <t>National Natural Science Foundation of China [71802021, 72101049]; Beijing Natural Science Foundation [9232022]; Beijing Social Science Foundation [21JCC047]; Beijing Nova Program of Science Technology [Z191100001119100]</t>
  </si>
  <si>
    <t>National Natural Science Foundation of China(National Natural Science Foundation of China (NSFC)); Beijing Natural Science Foundation(Beijing Natural Science Foundation); Beijing Social Science Foundation; Beijing Nova Program of Science Technology</t>
  </si>
  <si>
    <t>The work was supported by National Natural Science Foundation of China (No. 71802021, No. 72101049), Beijing Natural Science Foundation (No. 9232022), Beijing Social Science Foundation (21JCC047) and Beijing Nova Program of Science &amp; Technology under grant (Z191100001119100).</t>
  </si>
  <si>
    <t>10.1016/j.ress.2023.109249</t>
  </si>
  <si>
    <t>A9ZF1</t>
  </si>
  <si>
    <t>WOS:000958618100001</t>
  </si>
  <si>
    <t>Zhang, Q; Yao, WJ; Xub, P; Fang, ZG</t>
  </si>
  <si>
    <t>Zhang, Qin; Yao, Wenjing; Xub, Peng; Fang, Zhigeng</t>
  </si>
  <si>
    <t>Optimal age replacement policies of mission-oriented systems with discounting</t>
  </si>
  <si>
    <t>Mission-oriented systems; Discount rate; Age replacement; Replacement first; Replacement last</t>
  </si>
  <si>
    <t>SUBJECT</t>
  </si>
  <si>
    <t>The instability of global economic would affect us in many aspects. For some important mission-oriented systems, if the decision-makers does not make the adequate budget preventively, the systems could not undergo the maintenance in time and then unimaginable disasters would occur. Therefore, we firstly consider the discount rate of cost, and extend the age replacement policies of mission-oriented systems with discounting. To balance the maintainability and cost, the replacement first and replacement last are analyzed respectively. Furthermore, the effectiveness of the suggested policies are verified via the numerical examples. Finally, we illustrate the suggested policies in maintaining the electronic radar system of warning aircraft based on the assumed data. It can provide a better guidance for the engineers to maintain the mission-oriented systems when the economic is changed a lot.</t>
  </si>
  <si>
    <t>[Zhang, Qin; Yao, Wenjing] Yangzhou Univ, Business Sch, Yangzhou 225127, Peoples R China; [Xub, Peng] Nanjing Univ, Sch Management &amp; Engn, Nanjing 210093, Peoples R China; [Fang, Zhigeng] Nanjing Univ Aeronaut &amp; Astronaut, Coll Econ &amp; Management, Nanjing 211106, Peoples R China</t>
  </si>
  <si>
    <t>Xub, P (corresponding author), Nanjing Univ, Sch Management &amp; Engn, Nanjing 210093, Peoples R China.</t>
  </si>
  <si>
    <t>National Natural Science Foundation of China [72271124, 52232014, 72071111]</t>
  </si>
  <si>
    <t>This research is partially supported by the project of the National Natural Science Foundation of China (Grant No: 72271124, 52232014, 72071111).</t>
  </si>
  <si>
    <t>10.1016/j.cie.2023.109027</t>
  </si>
  <si>
    <t>8P8HV</t>
  </si>
  <si>
    <t>WOS:000926760200001</t>
  </si>
  <si>
    <t>Liu, B; Cen, WJ; Zheng, CH; Li, DJ; Wang, LB</t>
  </si>
  <si>
    <t>Liu, Bo; Cen, Weijun; Zheng, Changhai; Li, Dengjun; Wang, Libo</t>
  </si>
  <si>
    <t>A combined optimization prediction model for earth-rock dam seepage pressure using multi-machine learning fusion with decomposition data-driven</t>
  </si>
  <si>
    <t>Multi-machine learning; Earth -rock dam; Seepage pressure; Data decomposition technology; Combined prediction model; Improved artificial electric field algorithm</t>
  </si>
  <si>
    <t>TIME-SERIES; MACHINE; SPECTRUM; REGRESSION; MULTISTEP; NETWORK; LSTM; GRU</t>
  </si>
  <si>
    <t>Seepage pressure data analysis is considered one of the most direct ways to evaluate seepage safety in dam engineering. Therefore, accurate and consistent prediction of seepage pressure is essential. However, satisfactory predictive performance is rugged due to the irregular, nonlinear, and non-stationary nature of seepage pressure monitoring data. This paper proposes a combined optimization prediction model for seepage pressure prediction to resolve the deficiency. The model is coupled with a data decomposition technology, multi-machine learning fusion technology, adaptive variable weight combined strategy, and an improved optimization algorithm. The interaction between high and low frequency components is eliminated by improved complete ensemble empirical mode decomposition with adaptive noise (ICEEMDAN) technique to achieve the smoothing of non-stationary data. Multi-machine learning models are integrated by the combined strategy to compensate for the shortcomings of single models. Combined weights are adaptively changed by the kernel extreme learning ma -chine (KELM) variable weighting strategy to overcome the limitations of traditional fixed weights. For the challenge of determining KELM parameters, the artificial electric field algorithm is improved to optimize KELM parameters to accelerate the determination of adaptive weights. The application of the proposed model to an earth-rock dam demonstrates enhanced predictive accuracy of seepage pressure by implementing strategies. The model is an effective tool for the seepage pressure prediction of dams and is conducive to dam operation and maintenance management.</t>
  </si>
  <si>
    <t>[Liu, Bo; Cen, Weijun; Zheng, Changhai; Li, Dengjun; Wang, Libo] Hohai Univ, Coll Water Conservancy &amp; Hydropower Engn, Nanjing 210098, Peoples R China</t>
  </si>
  <si>
    <t>Hohai University</t>
  </si>
  <si>
    <t>Cen, WJ (corresponding author), Hohai Univ, Coll Water Conservancy &amp; Hydropower Engn, Nanjing 210098, Peoples R China.</t>
  </si>
  <si>
    <t>lbo@hhu.edu.cn; hhucwj@163.com; zch@hhu.edu.cn; djun_li@163.com; wlb666@hhu.edu.cn</t>
  </si>
  <si>
    <t>Libo, Wang/EZZ-7129-2022</t>
  </si>
  <si>
    <t>Liu, Bo/0000-0003-1585-7798</t>
  </si>
  <si>
    <t>National Natural Science Foundation of China [51979089, U2243244]; China Scholarship Council [202306710008]</t>
  </si>
  <si>
    <t>The authors wish to thank the National Natural Science Foundation of China (Grant Nos. 51979089, U2243244) , and the China Scholarship Council (202306710008) .</t>
  </si>
  <si>
    <t>10.1016/j.eswa.2023.122798</t>
  </si>
  <si>
    <t>EK9L5</t>
  </si>
  <si>
    <t>WOS:001138936900001</t>
  </si>
  <si>
    <t>Zhao, SX; Chen, DZ; Huang, MH; Chang, YW</t>
  </si>
  <si>
    <t>Zhao, Star X.; Chen, Dar-Zen; Huang, Mu-Hsuan; Chang, Yu-Wei</t>
  </si>
  <si>
    <t>Potential Value of Patents With Provisional Applications: An Assessment of Bibliometric Approach</t>
  </si>
  <si>
    <t>Patents; Technological innovation; Economics; Correlation; Maintenance engineering; Market research; Bibliometrics; Backward citations; forward citations; nonprovisional application (NPA); patent claims; patent renewal; patent value; provisional application (PA)</t>
  </si>
  <si>
    <t>MARKET VALUE; CITATIONS; TECHNOLOGY; INDICATORS; PROTECTION; OPPOSITION; FAMILIES; SIZE; TIME</t>
  </si>
  <si>
    <t>This article used nine patent value indicators to compare the differences in the characteristics of U.S. patents for which provisional applications (PAs) were submitted and other patents without PAs (NPAs). The findings revealed significant differences in the average numbers of backward and forward citations, patent and nonpatent references, and patent claims, patent family size (number of patents and number of countries), and duration of examination between the two groups of patents granted between 2005 and 2017 by United States Patent and Trademark Office. Increasing trends were observed in the average number of backward citations and average percentage of patents renewed per year in both PA and NPA groups, whereas decreasing trends were observed in the average numbers of forward citations, countries, claims, and average duration of examination per patent and per year in PA and NPA groups. Differences in patent characteristics based on type and field were observed. This article also revealed more significant differences in PAs than in NPAs because of a larger number of pairs of fields. The results of this study confirmed that PAs have a stronger association with patent value and provided further justification for filing PAs, in addition to obtaining an early effective date for new inventions.</t>
  </si>
  <si>
    <t>[Zhao, Star X.] East China Normal Univ, Dept Informat Management, Shanghai 200062, Peoples R China; [Chen, Dar-Zen] Natl Taiwan Univ, Dept Mech Engn, Taipei 10617, Taiwan; [Huang, Mu-Hsuan; Chang, Yu-Wei] Natl Taiwan Univ, Dept Lib &amp; Informat Sci, Taipei 10617, Taiwan</t>
  </si>
  <si>
    <t>East China Normal University; National Taiwan University; National Taiwan University</t>
  </si>
  <si>
    <t>Chang, YW (corresponding author), Natl Taiwan Univ, Dept Lib &amp; Informat Sci, Taipei 10617, Taiwan.</t>
  </si>
  <si>
    <t>xzhao@infor.ecnu.edu.cn; dzchen@ntu.edu.tw; mhhuang@ntu.edu.tw; yuweichang2013@ntu.edu.tw</t>
  </si>
  <si>
    <t>Huang, Mu-Hsuan/F-6615-2016</t>
  </si>
  <si>
    <t>zhao, xing/0000-0001-9347-590X; Chang, Yu-Wei/0000-0002-6278-8273; HUANG, MU-HSUAN/0000-0002-2909-3090</t>
  </si>
  <si>
    <t>Center for Research in Econometric Theory and Applications under Featured Areas Research Center Program within Ministry of Education in Taiwan [108L900204]; Ministry of Science and Technology, Taiwan [MOST 108-3017-F-002-003]</t>
  </si>
  <si>
    <t>Center for Research in Econometric Theory and Applications under Featured Areas Research Center Program within Ministry of Education in Taiwan; Ministry of Science and Technology, Taiwan(Ministry of Science and Technology, Taiwan)</t>
  </si>
  <si>
    <t>This work was supported in part by the Center for Research in Econometric Theory and Applications under Grant 108L900204 from the Featured Areas Research Center Program within the framework of the Higher Education Sprout Project by the Ministry of Education in Taiwan, and in part by the Ministry of Science and Technology, Taiwan, under Grant MOST 108-3017-F-002-003.</t>
  </si>
  <si>
    <t>10.1109/TEM.2019.2943135</t>
  </si>
  <si>
    <t>WOS:000879054100007</t>
  </si>
  <si>
    <t>Lin, S; Jia, LM; Zhang, HR; Wang, YH</t>
  </si>
  <si>
    <t>Lin, Shuai; Jia, Limin; Zhang, Hengrun; Wang, Yanhui</t>
  </si>
  <si>
    <t>Reliability assessment of mechatronic systems considering multi covariates with system topology</t>
  </si>
  <si>
    <t>covariates; hazard function; mechatronic system; system reliability; system topology</t>
  </si>
  <si>
    <t>WEIBULL DISTRIBUTION; REGRESSION-MODEL; DESIGN; IDENTIFICATION; METHODOLOGY; PREDICTION</t>
  </si>
  <si>
    <t>Reliability assessments of mechatronic systems, considering covariates, are becoming more complex not just as a result of the integration of more diverse technologies into such systems but also because of increasing complexities in system topology; but traditional reliability assessment models with covariates tend to ignore the influence of system topology. This paper addresses such an exclusion and proposes a novel methodology dedicated to the analysis and quantification of system reliability using system topology and multiple covariates. There are essentially two new aspects contributing to the overall methodology. Firstly, using network theory, the system topology is abstracted as a network; in which network nodes represent a mechatronic system's minimum maintenance units, and the connections between them are regarded as edges. Secondly, the resultant topological network is combined with the inherent properties of the minimum maintenance units to construct the system baseline hazard function and considering the associated multi covariates from the perspective of failure propagation to provide a foundation for assessing system reliability. To validate the proposed methodology, by way of a case study, it was applied to the reliability assessment of a traction power supply system for a high-speed train. The results, compared with three other assessment approaches, suggest that the proposed methodology provides for significantly more accurate assessments while requiring less computational resources. Furthermore, it can be flexibly extended to many other mechatronic systems.</t>
  </si>
  <si>
    <t>[Lin, Shuai] Shanghai Jiao Tong Univ, Antai Coll Econ &amp; Management, Shanghai 200030, Peoples R China; [Jia, Limin; Wang, Yanhui] Beijing Jiaotong Univ, State Key Lab Rail Traff Control &amp; Safety, Beijing 100044, Peoples R China; [Zhang, Hengrun] George Mason Univ, Volgenau Sch Engn, 4400 Univ Dr, Fairfax, VA 22030 USA</t>
  </si>
  <si>
    <t>Shanghai Jiao Tong University; Beijing Jiaotong University; George Mason University</t>
  </si>
  <si>
    <t>Zhang, HR (corresponding author), George Mason Univ, Volgenau Sch Engn, 4400 Univ Dr, Fairfax, VA 22030 USA.</t>
  </si>
  <si>
    <t>hzhang18@gmu.edu</t>
  </si>
  <si>
    <t>wang, yanhui/HPG-3348-2023; Zhang, Hengrun/ABH-2277-2021</t>
  </si>
  <si>
    <t>National Natural Science Foundation of China [71901019]; ShanghaiPost-doctoral Excellence Program [2020242]</t>
  </si>
  <si>
    <t>National Natural Science Foundation of China(National Natural Science Foundation of China (NSFC)); ShanghaiPost-doctoral Excellence Program</t>
  </si>
  <si>
    <t>National Natural Science Foundation of China, Grant/Award Number: 71901019; ShanghaiPost-doctoral Excellence Program, Grant/Award Number: 2020242</t>
  </si>
  <si>
    <t>10.1002/sys.21602</t>
  </si>
  <si>
    <t>XZ9UC</t>
  </si>
  <si>
    <t>WOS:000696039100001</t>
  </si>
  <si>
    <t>Zheng, R; Najafi, S; Zhang, YZ</t>
  </si>
  <si>
    <t>Zheng, Rui; Najafi, Seyedvahid; Zhang, Yingzhi</t>
  </si>
  <si>
    <t>A recursive method for the health assessment of systems using the proportional hazards model</t>
  </si>
  <si>
    <t>Health assessment; Mean residual life; Proportional hazards model; Recursive method; Conditional reliability function</t>
  </si>
  <si>
    <t>OPTIMAL REPLACEMENT; MAINTENANCE POLICY; PREDICTION; SUBJECT; LIFE; DEGRADATION</t>
  </si>
  <si>
    <t>The failure of many practical systems is dependent on both age and a diagnostic covariate process. Cox's proportional hazards model is widely adopted to describe the failure rate of such systems. If the covariate state space is large, it is computationally not feasible to use an analytical method for health assessment at inspection epochs. Existing approximation methods, although can address the above problem, fail to satisfy the critical requirements of modern health management in terms of accuracy, memory storage, and computational speed. This paper develops a novel recursive method to approximately assess the health indices of the proportional hazards model with a Markovian covariate process. The method discretizes age into equidistant and small subintervals. Over each subinterval, an incomplete state transition matrix is constructed with each element measured by its upper and lower bounds. The consideration of dual bounds makes our model more robust than previous methods considering only an upper bound. Then the recursive formulas of various health indices are derived based on the matrixes of consecutive subintervals. Two practical examples demonstrate that the proposed method can produce accurate assessment results with higher efficiency and less memory compared with existing approximation methods.</t>
  </si>
  <si>
    <t>[Zheng, Rui] Hefei Univ Technol, Sch Management, Hefei 230009, Peoples R China; [Najafi, Seyedvahid] Univ Toronto, Dept Mech &amp; Ind Engn, Toronto, ON M5S 3G8, Canada; [Zhang, Yingzhi] Jilin Univ, Sch Mech &amp; Aerosp Engn, Changchun 130022, Peoples R China</t>
  </si>
  <si>
    <t>Hefei University of Technology; University of Toronto; Jilin University</t>
  </si>
  <si>
    <t>National Key Research and Development Program of China [2019YFB1705300]</t>
  </si>
  <si>
    <t>National Key Research and Development Program of China(National Key Research &amp; Development Program of China)</t>
  </si>
  <si>
    <t>We would like to express our gratitude to the editors and five anonymous referees for their valuable comments. This work is supported by The National Key Research and Development Program of China (2019YFB1705300).</t>
  </si>
  <si>
    <t>10.1016/j.ress.2022.108379</t>
  </si>
  <si>
    <t>WOS:000771556500048</t>
  </si>
  <si>
    <t>Guan, QL; Wei, XK; Bai, WF; Jia, LM</t>
  </si>
  <si>
    <t>Guan, Qingluan; Wei, Xiukun; Bai, Wenfei; Jia, Limin</t>
  </si>
  <si>
    <t>Two-stage degradation modeling for remaining useful life prediction based on the Wiener process with measurement errors</t>
  </si>
  <si>
    <t>changing point; measurement errors; remaining useful life; two-stage; Wiener process</t>
  </si>
  <si>
    <t>SIGNALS</t>
  </si>
  <si>
    <t>Remaining useful life prediction (RUL) is a key component in the application of prognostics and health management associated with devices or systems. But such RUL predictions are cumbersome owing to complexities from external effects and internal degradation mechanisms within systems. Specifically, it is common for degradation processes to comprise distinct multiple stages rather than just one uniform stage in many mechanical systems. In particular, the two-stage degradation modeling for RUL prediction based on the Wiener process with linear drift has received significant attention in recent years. However, negative effects of measurement errors and stochasticity of the degradation states are generally excluded from current degradation modeling, which causes inaccuracy problems that can impact system maintenance schedules and operational efficiency. Therefore, to solve such problems, measurement errors are considered in this paper and a two-stage degradation model is proposed, in which an adaptive term is also characterized by the Wiener process. The transition probability density function (TPDF) of the degradation state at the two-stage changing point is derived and an analytical solution for the RUL is obtained under the concept of the first hit time (FHT). A Kalman filter and smoothing algorithm are introduced to estimate variables, and the expectation maximization (EM) algorithm is applied to update and estimate model parameters. Finally, the effectiveness and applicability of the proposed model in RUL predictions are verified through numerical simulation and a case study of bearings.</t>
  </si>
  <si>
    <t>[Guan, Qingluan; Wei, Xiukun; Jia, Limin] Beijing Jiaotong Univ, State Key Lab Rail Traff Control &amp; Safety, Beijing 100044, Peoples R China; [Guan, Qingluan] Beijing Jiaotong Univ, Sch Traff &amp; Transportat, Beijing, Peoples R China; [Bai, Wenfei] Beijing Mass Transit Railway Operat Corp LTD, Beijing, Peoples R China</t>
  </si>
  <si>
    <t>Beijing Jiaotong University; Beijing Jiaotong University</t>
  </si>
  <si>
    <t>Wei, XK (corresponding author), Beijing Jiaotong Univ, State Key Lab Rail Traff Control &amp; Safety, Beijing 100044, Peoples R China.</t>
  </si>
  <si>
    <t>xkwei@bjtu.edu.cn</t>
  </si>
  <si>
    <t>li, jiawei/HOA-5023-2023</t>
  </si>
  <si>
    <t>Guan, Qingluan/0000-0001-6320-4404</t>
  </si>
  <si>
    <t>National Key R&amp;D Program of China [2020YFB1600704]; State Key Laboratory of Rail Traffic Control Safety [RCS2021ZT003]</t>
  </si>
  <si>
    <t>National Key R&amp;D Program of China; State Key Laboratory of Rail Traffic Control Safety</t>
  </si>
  <si>
    <t>The authors would like to thank the editor and the anonymous reviewers for their valuable suggestions and constructive comments sincerely. This work is supported by the National Key R&amp;D Program of China (Contract No.2020YFB1600704). This work is also supported in part by the research project of the State Key Laboratory of Rail Traffic Control &amp; Safety under Grant No. RCS2021ZT003.</t>
  </si>
  <si>
    <t>10.1002/qre.3147</t>
  </si>
  <si>
    <t>5E2TU</t>
  </si>
  <si>
    <t>WOS:000810706900001</t>
  </si>
  <si>
    <t>Wu, B; Cui, LR; Fang, C</t>
  </si>
  <si>
    <t>Wu Bei; Cui Lirong; Fang Chen</t>
  </si>
  <si>
    <t>Reliability analysis of semi-Markov systems with restriction on transition times</t>
  </si>
  <si>
    <t>Semi-Markov process; Point-wise availability; Competing risk; Integer nonlinear programming; Multi-state system</t>
  </si>
  <si>
    <t>STOCHASTIC SUPPLY PATTERNS; INTERVAL RELIABILITY; PERFORMANCE-MEASURES; MULTISTATE SYSTEMS; AVAILABILITY; NETWORKS</t>
  </si>
  <si>
    <t>In this paper, a competing risk model with a restriction on transition times for semi-Markov multi-state repairable systems is proposed. The states of semi-Markov systems can be divided into three categories: a normal working subset, a defective working subset and a breakdown subset which contains an absorbing state where the system cannot escape once entering it. If the number of transitions between the normal and defective working subsets exceeds a given value, the system will be abandoned due to the high maintenance costs. The theory of aggregated stochastic process is employed to obtain the closed-form formulas of the probabilities of competing risks, distributions of survival times and point-wise availabilities. An integer nonlinear programming is presented which enables the system to satisfy the prescribed performance requirements and control its economic cost. A corresponding algorithm for solving the integer nonlinear programming is provided to find the optimal number of transition times. Two numerical examples including Markov process and semi-Markov process are conducted to illustrate the obtained results and proposed methods finally.</t>
  </si>
  <si>
    <t>[Wu Bei; Cui Lirong; Fang Chen] Beijing Inst Technol, Sch Management &amp; Econ, Beijing, Peoples R China</t>
  </si>
  <si>
    <t>Wu, B (corresponding author), Beijing Inst Technol, Sch Management &amp; Econ, Beijing, Peoples R China.</t>
  </si>
  <si>
    <t>Wu, Bei/0000-0003-2654-1203</t>
  </si>
  <si>
    <t>National Natural Science Foundation of China [71631001]; Graduate Technological Innovation Project of Beijing Institute of Technology [2018CX20030]</t>
  </si>
  <si>
    <t>National Natural Science Foundation of China(National Natural Science Foundation of China (NSFC)); Graduate Technological Innovation Project of Beijing Institute of Technology</t>
  </si>
  <si>
    <t>This work was supported by the National Natural Science Foundation of China under grant 71631001 and the Graduate Technological Innovation Project of Beijing Institute of Technology 2018CX20030.</t>
  </si>
  <si>
    <t>10.1016/j.ress.2019.106516</t>
  </si>
  <si>
    <t>IH4YD</t>
  </si>
  <si>
    <t>WOS:000474497100008</t>
  </si>
  <si>
    <t>Shen, JY; Cong, SS; Zhang, N; Ma, YZ</t>
  </si>
  <si>
    <t>Shen, Jingyuan; Cong, Shangshang; Zhang, Nan; Ma, Yizhong</t>
  </si>
  <si>
    <t>Reliability modelling and self-healing policy design for systems with limited resources</t>
  </si>
  <si>
    <t>Shock model; Self-healing resource; Reliability; Performance evaluation; Policy optimization</t>
  </si>
  <si>
    <t>SHOCK MODEL; NETWORKS</t>
  </si>
  <si>
    <t>For artificial systems, the rising cost and inaccessible scenes for maintenance have increased the need of selfhealing, which intends to give systems the ability to heal the damage and faults without external intervention like living organisms. Although self-healing techniques have been widely studied and applied in many engineering systems, reliability research for such systems is limited. Besides, the self-healing ability of artificial systems is generally derived from self-healing resources embedded in the system, while the limitations of embedded resources have less been considered in related research. To fill the research gap, in this paper we consider systems operating under shock environments with limited self-healing resources. Two self-healing policies are designed for allocating the limited resources and enhancing the system reliability. Under different policies, new reliability models are developed and a recursive method is proposed to evaluate the system reliability. Further, some new indexes are introduced and derived for evaluating the performance of the self-healing policies. Based on the new indexes, numerical examples are presented in the end to compare the two policies.</t>
  </si>
  <si>
    <t>[Shen, Jingyuan; Cong, Shangshang; Ma, Yizhong] Nanjing Univ Sci &amp; Technol, Sch Econ &amp; Management, Nanjing 210094, Jiangsu, Peoples R China; [Zhang, Nan] Beijing Inst Technol, Sch Management &amp; Econ, Beijing 100081, Peoples R China</t>
  </si>
  <si>
    <t>Nanjing University of Science &amp; Technology; Beijing Institute of Technology</t>
  </si>
  <si>
    <t>National Natural Science Foundation of China [71931006, 71801128]; [72171117]</t>
  </si>
  <si>
    <t>This work is supported by the National Natural Science Foundation of China (Grant Nos. 72171117, 71931006 and 71801128) .</t>
  </si>
  <si>
    <t>10.1016/j.ress.2023.109537</t>
  </si>
  <si>
    <t>Q7FH4</t>
  </si>
  <si>
    <t>WOS:001059138500001</t>
  </si>
  <si>
    <t>Mizutani, D; Nakazato, Y; Ikushima, R; Satsukawa, K; Kuwahara, YKM</t>
  </si>
  <si>
    <t>Mizutani, Daijiro; Nakazato, Yuto; Ikushima, Rie; Satsukawa, Koki; Kuwahara, Yosuke Kawasaki Masao</t>
  </si>
  <si>
    <t>Optimal intervention policy of emergency storage batteries for expressway transportation systems considering deterioration risk during lead time of</t>
  </si>
  <si>
    <t>Asset management; Lead time; Optimal intervention policy; Stochastic control; Emergency storage battery</t>
  </si>
  <si>
    <t>PLANNING STRUCTURAL INSPECTION; MAINTENANCE POLICIES; OPTIMIZATION; DECISIONS</t>
  </si>
  <si>
    <t>An emergency storage battery (ESB) is an important asset to ensure the reliability and safety of complex technological systems. Even if an asset owner decides to replace a deteriorated ESB in expressway transportation systems , a lead time (LT) from ordering replacement parts to delivery is inevitable because the replacement parts cannot be stockpiled. During the LT, the ESB continues to deteriorate, i.e., the risk of deterioration continuously increases. If the LT has a non-negligible length, it is necessary to find intervention policies that appropriately consider the risk during the LT. In this study, we propose a methodology to derive optimal intervention policies by explicitly considering deterioration risk during the LT in a stochastic control framework. Specifically, the geometric Brownian motion is statistically estimated as the deterioration process of the ESB, and an optimization model is proposed to find the optimal intervention policy. The proposed methodology is applied to a case study on an expressway transportation system. In the case study, a sensitivity analysis is also performed to obtain practical implications through a life cycle cost (LCC) comparison. Our findings show that the proposed methodology can reduce the LCC by 5.49% compared with when the LT is not considered.</t>
  </si>
  <si>
    <t>[Mizutani, Daijiro; Nakazato, Yuto] Tohoku Univ, Dept Civil &amp; Environm Engn, 6-6-06 Aoba,Aoba Ward, Sendai, Miyagi 9808579, Japan; [Ikushima, Rie] Tohoku Univ, Grad Sch Environm Studies, Aoba Ward, 6-6-06 Aoba,Aoba Ward, Sendai, Miyagi 9808579, Japan; [Satsukawa, Koki] Kanazawa Univ, Coll Transdisciplinary Sci Innovat, Kakuma Machi, Kanazawa, Ishikawa 9201192, Japan; [Satsukawa, Koki] Nihon Univ, Dept Civil Engn, 1 Nakagawara, Koriyama, Fukushima 9638642, Japan; [Kuwahara, Yosuke Kawasaki Masao] Tohoku Univ, 6-6-05 Aoba,Aoba Ward, Sendai, Miyagi 9808579, Japan</t>
  </si>
  <si>
    <t>Tohoku University; Tohoku University; Kanazawa University; Nihon University; Tohoku University</t>
  </si>
  <si>
    <t>Mizutani, D (corresponding author), Tohoku Univ, Dept Civil &amp; Environm Engn, 6-6-06 Aoba,Aoba Ward, Sendai, Miyagi 9808579, Japan.</t>
  </si>
  <si>
    <t>daijiro.mizutani.a5@tohoku.ac.jp</t>
  </si>
  <si>
    <t>Kawasaki, Yosuke/AGZ-8176-2022</t>
  </si>
  <si>
    <t>Kawasaki, Yosuke/0000-0001-5699-3847; Mizutani, Daijiro/0000-0003-1028-2489</t>
  </si>
  <si>
    <t>Japan Society for the Promo-tion of Science (JSPS) KAKENHI [JP19H00777, JP20H02264]; Grants-in-Aid for Scientific Research [20H02264] Funding Source: KAKEN</t>
  </si>
  <si>
    <t>Japan Society for the Promo-tion of Science (JSPS) KAKENHI(Ministry of Education, Culture, Sports, Science and Technology, Japan (MEXT)Japan Society for the Promotion of ScienceGrants-in-Aid for Scientific Research (KAKENHI)); Grants-in-Aid for Scientific Research(Ministry of Education, Culture, Sports, Science and Technology, Japan (MEXT)Japan Society for the Promotion of ScienceGrants-in-Aid for Scientific Research (KAKENHI))</t>
  </si>
  <si>
    <t>Acknowledgments This work was supported by the Japan Society for the Promo-tion of Science (JSPS) KAKENHI [grant number: JP19H00777 and JP20H02264] . All authors approved the final version of the manuscript.</t>
  </si>
  <si>
    <t>10.1016/j.ress.2023.109735</t>
  </si>
  <si>
    <t>Y0TU1</t>
  </si>
  <si>
    <t>WOS:001102487100001</t>
  </si>
  <si>
    <t>Cai, J; Liu, XX; Wang, ZP</t>
  </si>
  <si>
    <t>Cai, Jie; Liu, Xiaoxiao; Wang, Zhipeng</t>
  </si>
  <si>
    <t>Comprehensive durability assessment of in-service concrete bridges based on combination weighting and extenics cloud model</t>
  </si>
  <si>
    <t>DISCOVER APPLIED SCIENCES</t>
  </si>
  <si>
    <t>In-service concrete bridges; Durability assessment; Grey theory; Entropy weight method; Matter-element extension theory; Matlab</t>
  </si>
  <si>
    <t>In recent years, with the continuous development of urban transportation, the durability of concrete bridge structures has become increasingly prominent. Many in-service concrete bridges exhibit issues such as cracks, excessive deflection, and a significant reduction in load-bearing capacity during their service life. To meet the requirements of sustainable development, it is urgent to assess the durability of bridges accurately. Therefore, this paper establishes a scientific and reliable evaluation index system for the durability of in-service concrete bridges. Based on a review of the literature and relevant standards and specifications, this paper establishes an evaluation index system for the durability of in-service concrete bridges and calculates the weights using a combination weighting method. The durability of the bridges is assessed using the extension cloud model theory, and MATLAB is utilized for efficient and accurate computation and analysis, ultimately determining the durability grades of the bridges. The method was applied to the durability assessment of five in-service concrete bridges, and the results were in high agreement with the measured data, proving its effectiveness and accuracy. The research results provide a scientific basis for the management and maintenance of concrete bridges, which can help extend their service life. Future studies will expand the sample to cover more bridge types to comprehensively assess and enhance the durability of bridges. A scientific and reliable durability evaluation index system for in-service concrete Bridges has been established.Weight optimization: Based on grey correlation weight and entropy weight to find the combined weight.The perfect integration of extension theory and cloud model.</t>
  </si>
  <si>
    <t>[Cai, Jie; Liu, Xiaoxiao; Wang, Zhipeng] Hubei Univ Technol, Sch Civil Engn Architecture &amp; Environm, Wuhan 430068, Peoples R China</t>
  </si>
  <si>
    <t>Hubei University of Technology</t>
  </si>
  <si>
    <t>Liu, XX (corresponding author), Hubei Univ Technol, Sch Civil Engn Architecture &amp; Environm, Wuhan 430068, Peoples R China.</t>
  </si>
  <si>
    <t>102211031@hbut.edu.cn</t>
  </si>
  <si>
    <t>Wang, Zhipeng/HKE-9654-2023</t>
  </si>
  <si>
    <t>3004-9261</t>
  </si>
  <si>
    <t>DISCOV APPL SCI</t>
  </si>
  <si>
    <t>DISCOV. APPL. SCI.</t>
  </si>
  <si>
    <t>OCT 9</t>
  </si>
  <si>
    <t>10.1007/s42452-024-06250-0</t>
  </si>
  <si>
    <t>J5R1P</t>
  </si>
  <si>
    <t>WOS:001337626600003</t>
  </si>
  <si>
    <t>Chang, PC; Huang, CF; Fiondella, L</t>
  </si>
  <si>
    <t>Chang, Ping-Chen; Huang, Cheng-Fu; Fiondella, Lance</t>
  </si>
  <si>
    <t>Reliability evaluation for time-based stochastic manufacturing networks with time-dependent reliability</t>
  </si>
  <si>
    <t>Time-based stochastic manufacturing network (TSMN); time-dependent reliability; Weibull reliability function; operating time; TSMN reliability</t>
  </si>
  <si>
    <t>SYSTEM RELIABILITY</t>
  </si>
  <si>
    <t>This study aims to evaluate the system reliability for a time-based stochastic manufacturing network (TSMN). The architecture of a TSMN includes arcs and nodes where each node is an inspection station and each arc is a workstation of identical machines. Due to the possibility of partial or complete maintenance and machine failures, the reliability should be time-dependent and the arcs could be considered as stochastic capacities. To consider time factor, the Weibull reliability function is utilized to characterize the time-dependent reliability of each machine. Then, based on the reliability of each machine, the workstation reliability can be derived, where the workstation reliability is the probability that a workstation can provide sufficient number of machines to complete a demand until a given time. Focusing on a given TSMN with the specified demand and constrained operating time, the performance for a TSMN, which is referred to as TSMN reliability, can be calculated in terms of workstation reliability. In addition, the situation for machines having different times under operation is analyzed for TSMN reliability. A step-by-step procedure for evaluating the TSMN reliability is developed, and a printed circuit board manufacturing system is discussed for the proposed TSMN reliability procedure.</t>
  </si>
  <si>
    <t>[Chang, Ping-Chen] Natl Taipei Univ Technol, Dept Ind Engn &amp; Management, ROC, Taipei, Taiwan; [Huang, Cheng-Fu] Feng Chia Univ, Dept Business Adm, Taichung, Taiwan; [Fiondella, Lance] Univ Massachusetts Dartmouth, Dept Elect &amp; Comp Engn, Dartmouth, MA USA; [Huang, Cheng-Fu] Feng Chia Univ, Dept Business Adm, 100 Wenhua Rd, Taichung 407102, Taiwan</t>
  </si>
  <si>
    <t>National Taipei University of Technology; Feng Chia University; University of Massachusetts System; University Massachusetts Dartmouth</t>
  </si>
  <si>
    <t>Huang, CF (corresponding author), Feng Chia Univ, Dept Business Adm, Taichung, Taiwan.;Huang, CF (corresponding author), Feng Chia Univ, Dept Business Adm, 100 Wenhua Rd, Taichung 407102, Taiwan.</t>
  </si>
  <si>
    <t>cfuhuang@fcu.edu.tw</t>
  </si>
  <si>
    <t>Huang, Cheng-Fu/Q-4329-2018</t>
  </si>
  <si>
    <t>Huang, Cheng-Fu/0000-0002-9043-4675; Chang, Ping-Chen/0000-0001-5563-2580</t>
  </si>
  <si>
    <t>Ministry of Science and Technology, Taiwan [NSTC 110-2221-E-027-130-MY3]; MOST [109-2221-E-035-049-MY3]</t>
  </si>
  <si>
    <t>Ministry of Science and Technology, Taiwan(Ministry of Science and Technology, Taiwan); MOST</t>
  </si>
  <si>
    <t>The work was supported by the Ministry of Science and Technology, Taiwan, NSTC 110-2221-E-027-130-MY3 and MOST 109-2221-E-035-049-MY3.</t>
  </si>
  <si>
    <t>10.1080/16843703.2023.2283980</t>
  </si>
  <si>
    <t>WOS:001105877300001</t>
  </si>
  <si>
    <t>Nguyen, H; Sun, XX; Lu, Q; Zhang, Q; Li, MY</t>
  </si>
  <si>
    <t>Nguyen, Hung; Sun, Xuxue; Lu, Qing; Zhang, Qiong; Li, Mingyang</t>
  </si>
  <si>
    <t>Bayesian heterogeneous degradation performance modeling with an unknown number of sub-populations</t>
  </si>
  <si>
    <t>Bayesian approach; degradation modeling; heterogeneity; MCMC algorithm; sequential learning</t>
  </si>
  <si>
    <t>RESIDUAL-LIFE DISTRIBUTIONS; BURN-IN; RELIABILITY; PREDICTION; INFERENCE</t>
  </si>
  <si>
    <t>Successful modeling of degradation data is of great importance for both accurate reliability assessment and effective maintenance decision-making. Many of existing degradation performance modeling approaches either assume a homogeneous population of units or characterize a heterogeneous population with some restrictive assumptions, such as pre-specifying the number of sub-populations. This paper proposes a Bayesian heterogeneous degradation performance modeling framework to relax the conventional modeling assumptions. Specifically, a Bayesian non-parametric model formulation and learning algorithm are proposed to characterize the historical degradation data of a heterogeneous population of units with an unknown number of homogeneous sub-populations and allowing the joint model estimation and sub-population number identification. Based on the off-line population-level model, an on-line individual-level degradation model with sequential model updating is further developed to improve remaining useful life prediction of individual units with sparse data. A real case study using the heterogeneous degradation data of deteriorating roads is provided to illustrate the proposed approach and demonstrate its validity.</t>
  </si>
  <si>
    <t>[Nguyen, Hung; Li, Mingyang] Univ S Florida, Dept Ind &amp; Management Syst Engn, Tampa, FL USA; [Sun, Xuxue] Univ Zhejiang, Coll Media Engn Commun, Hangzhou, Zhejiang, Peoples R China; [Lu, Qing; Zhang, Qiong] Univ S Florida, Dept Civil &amp; Environm Engn, Tampa, FL USA; [Li, Mingyang] Univ S Florida, Dept Ind &amp; Management Syst Engn, 4202 E Fowler Ave, Tampa, FL 33620 USA</t>
  </si>
  <si>
    <t>State University System of Florida; University of South Florida; Zhejiang University; State University System of Florida; University of South Florida; State University System of Florida; University of South Florida</t>
  </si>
  <si>
    <t>Zhang, Qiong/KHE-2175-2024; lu, qing/HKM-8308-2023</t>
  </si>
  <si>
    <t>Nguyen, Hung/0000-0001-7046-4431; SUN, XUXUE/0000-0002-5271-4043</t>
  </si>
  <si>
    <t>National Science Foundation [BCS-1638301]</t>
  </si>
  <si>
    <t>National Science Foundation(National Science Foundation (NSF))</t>
  </si>
  <si>
    <t>National Science Foundation, Grant/Award Number: BCS-1638301</t>
  </si>
  <si>
    <t>10.1002/qre.3379</t>
  </si>
  <si>
    <t>WOS:000992669400001</t>
  </si>
  <si>
    <t>Jiang, ZL; Wu, JW; Huang, F; Lv, YF; Wan, LQ</t>
  </si>
  <si>
    <t>Jiang, Zhenliang; Wu, Jiawei; Huang, Fu; Lv, Yifan; Wan, Liangqi</t>
  </si>
  <si>
    <t>A novel adaptive Kriging method: Time-dependent reliability-based robust design optimization and case study</t>
  </si>
  <si>
    <t>Adaptive Kriging; Time-dependent; Reliability analysis; Robust design</t>
  </si>
  <si>
    <t>EFFICIENT GLOBAL OPTIMIZATION; SYSTEM</t>
  </si>
  <si>
    <t>The computational efficiency and accuracy of the time-dependent reliability-based robust design optimization (TRBRDO) directly rely on the capability to handle the time-dependent reliability analysis (TRA). Some TRA methods use ordinary efficient global optimization (EGO) to identify the extreme samples, and the Kriging model is utilized to approximate the implicit extreme value functions. However, the significant limitation of these methods lies in the unavailability for the parallelized reliability analysis, resulting from the point-to-point nature, which indicates the computational efficiency can be further improved. To construct a more efficient model for the TRA, this paper proposes an adaptive Kriging method, i.e., integrated parallel efficient global optimization (PEGO) and adaptive Kriging-Monte Carlo simulation (AK-MCS), which transforms the TRBRDO problem into an equivalent time-independent one. The proposed adaptive Kriging method was proven to be superior to existing TRBRDO methods in computing efficiency and accuracy, verified by the performance comparison via three cases, including a limit state function with only a time parameter, a two-dimensional function generator, and an engineering application.</t>
  </si>
  <si>
    <t>[Jiang, Zhenliang] Hong Kong Univ Sci &amp; Technol, Dept Civil &amp; Environm Engn, Kowloon, Clear Water Bay, Hong Kong, Peoples R China; [Jiang, Zhenliang] Fuzhou Univ, Coll Civil Engn, Fuzhou 350108, Peoples R China; [Wu, Jiawei] Jiangxi Univ Finance &amp; Econ, Sch Informat Management, Nanchang 330013, Jiangxi, Peoples R China; [Huang, Fu] Huizhou Univ, Sch Econ &amp; Management, Huizhou 516007, Peoples R China; [Lv, Yifan; Wan, Liangqi] Nanjing Univ Finance &amp; Econ, Sch Management Sci &amp; Ind Engn, Nanjing 210023, Peoples R China</t>
  </si>
  <si>
    <t>Hong Kong University of Science &amp; Technology; Fuzhou University; Jiangxi University of Finance &amp; Economics; Huizhou University; Nanjing University of Finance &amp; Economics</t>
  </si>
  <si>
    <t>Wu, JW (corresponding author), Jiangxi Univ Finance &amp; Econ, Sch Informat Management, Nanchang 330013, Jiangxi, Peoples R China.</t>
  </si>
  <si>
    <t>zhenliang.jiang@connect.ust.hk; wujiawei@jxufe.edu.cn; wanliangq1@nuaa.edu.cn</t>
  </si>
  <si>
    <t>Wan, Liangqi/LRU-4218-2024</t>
  </si>
  <si>
    <t>National Science Foundation [71571102, 51665017]; Guangdong Planning Office of Philosophy and Social Science [GD20CGL38]; Quality, Reliability, Maintenance and Production Laboratory at the University of Toronto</t>
  </si>
  <si>
    <t>National Science Foundation(National Science Foundation (NSF)); Guangdong Planning Office of Philosophy and Social Science; Quality, Reliability, Maintenance and Production Laboratory at the University of Toronto</t>
  </si>
  <si>
    <t>This work was supported by the National Science Foundation through Grant of China, No. 71571102 and No. 51665017, and Guangdong Planning Office of Philosophy and Social Science, No. GD20CGL38. The support from the Quality, Reliability, Maintenance and Production Laboratory at the University of Toronto is also acknowledged.</t>
  </si>
  <si>
    <t>10.1016/j.cie.2021.107692</t>
  </si>
  <si>
    <t>ZB7MU</t>
  </si>
  <si>
    <t>WOS:000757022700015</t>
  </si>
  <si>
    <t>Wu, JW; Jiang, ZL; Song, HM; Wan, LQ; Huang, F</t>
  </si>
  <si>
    <t>Wu, Jiawei; Jiang, Zhenliang; Song, Huaming; Wan, Liangqi; Huang, Fu</t>
  </si>
  <si>
    <t>Parallel efficient global optimization method: A novel approach for time-dependent reliability analysis and applications</t>
  </si>
  <si>
    <t>Time-dependent reliability analysis; Failure probability; Parallel efficient global optimization; Kriging model; Monte Carlo simulation</t>
  </si>
  <si>
    <t>DESIGN OPTIMIZATION; ALGORITHM</t>
  </si>
  <si>
    <t>Time-dependent failure may result from material properties deterioration, random load, and other uncertain factors, which are widespread among practical engineering applications. However, in previous studies of timedependent reliability analysis (TRA), parallel computing, which can speed up the optimization process significantly, has not been fully considered. Therefore, this study proposed a parallel efficient global optimization (PEGO) integrated with the adaptive Kriging-Monte Carlo simulation (AK-MCS) for the TRA problems. It was shown that the proposed method was superior to the existing TRA methods in computing efficiency and maintained a high accuracy to solve the high-dimension of the TRA problems. Besides, it exhibited an extensive application scope due to the excellent performances (i.e., efficiency, accuracy), which were verified via six representative cases, including four low-dimension and two high-dimension, by comparing with the existing TRA methods.</t>
  </si>
  <si>
    <t>[Wu, Jiawei] Jiangxi Univ Finance &amp; Econ, Sch Informat Management, Nanchang 330013, Jiangxi, Peoples R China; [Wu, Jiawei; Song, Huaming] Nanjing Univ Sci &amp; Technol, Sch Econ &amp; Management, Nanjing 210094, Peoples R China; [Wu, Jiawei] Univ Toronto, Dept Mech &amp; Ind Engn, Toronto, ON, Canada; [Jiang, Zhenliang] Hong Kong Univ Sci &amp; Technol, Dept Civil &amp; Environm Engn, Kowloon, Clear Water Bay, Hong Kong, Peoples R China; [Wan, Liangqi] Nanjing Univ Finance &amp; Econ, Sch Management Sci &amp; Ind Engn, Nanjing 210023, Peoples R China; [Huang, Fu] Huizhou Univ, Sch Econ &amp; Management, Huizhou 516007, Peoples R China</t>
  </si>
  <si>
    <t>Jiangxi University of Finance &amp; Economics; Nanjing University of Science &amp; Technology; University of Toronto; Hong Kong University of Science &amp; Technology; Nanjing University of Finance &amp; Economics; Huizhou University</t>
  </si>
  <si>
    <t>Jiang, ZL (corresponding author), Hong Kong Univ Sci &amp; Technol, Dept Civil &amp; Environm Engn, Kowloon, Clear Water Bay, Hong Kong, Peoples R China.</t>
  </si>
  <si>
    <t>wjj910503@njust.edu.cn; zhenliang.jiang@ryerson.ca</t>
  </si>
  <si>
    <t>Song, Huaming/D-8925-2011; Wan, Liangqi/LRU-4218-2024</t>
  </si>
  <si>
    <t>National Science Foundation through Grant of China [71571102, 72072080]; Guangdong Planning Office of Philosophy and Social Science [GD20CGL38]; Quality, Reliability, Maintenance and Production Laboratory at University of Toronto</t>
  </si>
  <si>
    <t>National Science Foundation through Grant of China; Guangdong Planning Office of Philosophy and Social Science; Quality, Reliability, Maintenance and Production Laboratory at University of Toronto</t>
  </si>
  <si>
    <t>This work was supported by the National Science Foundation through Grant of China, No. 71571102 and No. 72072080, and Guangdong Planning Office of Philosophy and Social Science, No. GD20CGL38. The support from the Quality, Reliability, Maintenance and Production Laboratory at University of Toronto is also acknowledged.</t>
  </si>
  <si>
    <t>10.1016/j.eswa.2021.115494</t>
  </si>
  <si>
    <t>UR8OP</t>
  </si>
  <si>
    <t>WOS:000697001800017</t>
  </si>
  <si>
    <t>Karatas, M; Kutanoglu, E</t>
  </si>
  <si>
    <t>Karatas, Murat; Kutanoglu, Erhan</t>
  </si>
  <si>
    <t>Joint optimization of location, inventory, and condition-based replacement decisions in service parts logistics</t>
  </si>
  <si>
    <t>Facility location; integer programming; inventory; location; supply chain management; transportation and distribution</t>
  </si>
  <si>
    <t>CONDITION-BASED MAINTENANCE; NETWORK DESIGN; MULTIECHELON; SYSTEMS; MODEL</t>
  </si>
  <si>
    <t>We model, analyze and study the effects of considering condition-based replacement of parts within an integrated Service Parts Logistics (SPL) system, where geographically dispersed customers' products are serviced with new parts from network facilities. Conventional SPL models consider replacing the parts upon failure. This is true even for the latest models in which facility locations and their part stock levels are jointly optimized. Taking advantage of the increasingly affordable, continuous, and accurate collection of part condition data (via sensors and Internet-of-Things devices), we develop a new integrated model in which optimal conditions to replace the parts are decided along with facility locations and stock levels. We capture the part degradation, replacement and failure process using a Continuous Time Markov Chain (CTMC) and embed this into the integrated location and inventory model. The resulting formulation is a mixed-integer optimization model with quadratic constraints and is solved with a state-of-the-art second-order cone programming solver. Our extensive comparison with the traditional failure-based replacement model shows that optimizing replacement conditions in this integrated framework can provide significant cost savings (network, inventory, transportation and downtime costs) leading to different facility location, allocation and inventory decisions. We also study the effects of several important parameters on the condition-based replacement model, including facility costs, shipment speeds, replacement costs, part degradation parameters, and holding costs.</t>
  </si>
  <si>
    <t>[Karatas, Murat; Kutanoglu, Erhan] Univ Texas Austin, Operat Res &amp; Ind Engn, Austin, TX 78712 USA</t>
  </si>
  <si>
    <t>University of Texas System; University of Texas Austin</t>
  </si>
  <si>
    <t>Kutanoglu, E (corresponding author), Univ Texas Austin, Operat Res &amp; Ind Engn, Austin, TX 78712 USA.</t>
  </si>
  <si>
    <t>erhank@mail.utexas.edu</t>
  </si>
  <si>
    <t>Karatas, Murat/0000-0001-9242-5353; Kutanoglu, Erhan/0000-0002-3947-9130</t>
  </si>
  <si>
    <t>10.1080/24725854.2020.1793035</t>
  </si>
  <si>
    <t>PA5NC</t>
  </si>
  <si>
    <t>WOS:000568378100001</t>
  </si>
  <si>
    <t>Lin, YK; Huang, DH</t>
  </si>
  <si>
    <t>Lin, Yi-Kuei; Huang, Ding-Hsiang</t>
  </si>
  <si>
    <t>Reliability analysis for a hybrid flow shop with due date consideration</t>
  </si>
  <si>
    <t>Reliability; Hybrid flow shop (HFS); Estimated interval; Multistate network; Stochastic capacity</t>
  </si>
  <si>
    <t>MULTISTATE SYSTEMS; SCHEDULING PROBLEM; BOUND ALGORITHM; NETWORK; OPTIMIZATION</t>
  </si>
  <si>
    <t>For a hybrid flow-shop (HFS), the number of machines in a stage presents multiple levels because of maintenance, partial failures, unexpected failures, etc. In other words, it is suitable that the capacity of each stage is regarded as a stochastic component. Reliability reveals the performance of an HFS under the stochastic capacity, while certain demand and due date are required. In this paper, the reliability is defined as the probability that an HFS with stochastic capacity can satisfy the makespan for the demand within the due date. We first transform the HFS with stochastic capacity into a multistate hybrid flow-shop network. An efficient algorithm is then proposed to derive an estimated interval for the reliability based on a pair of capacity vectors, which are generated from two estimated demand levels. Two practical cases, including a file production system and a footwear production system, are presented to demonstrate how the estimated interval is obtained and to investigate efficiency and accuracy of the proposed algorithm. The reliability can be regarded as a quality indicator to understand the capability of the real-world HFS and to guarantee whether the demand can be completed within the desire due date.</t>
  </si>
  <si>
    <t>[Lin, Yi-Kuei; Huang, Ding-Hsiang] Natl Taiwan Univ Sci Technol, Dept Ind Management, Taipei 106, Taiwan</t>
  </si>
  <si>
    <t>National Taiwan University of Science &amp; Technology</t>
  </si>
  <si>
    <t>Huang, DH (corresponding author), Natl Taiwan Univ Sci Technol, Dept Ind Management, Taipei 106, Taiwan.</t>
  </si>
  <si>
    <t>M10201002@mail.ntust.edu.tw; s98745623@gmail.com</t>
  </si>
  <si>
    <t>Huang, Ding-Hsiang/0000-0002-8278-0287</t>
  </si>
  <si>
    <t>10.1016/j.ress.2017.07.008</t>
  </si>
  <si>
    <t>WOS:000534159800030</t>
  </si>
  <si>
    <t>Gao, HD; Cui, LR; Yi, H</t>
  </si>
  <si>
    <t>Gao Hongda; Cui Lirong; Yi He</t>
  </si>
  <si>
    <t>Availability analysis of k-out-of-n: F repairable balanced systems with m sectors</t>
  </si>
  <si>
    <t>Balanced repairable system; k-out-of-n: F System; PH distribution; Reliability; Availability</t>
  </si>
  <si>
    <t>RELIABILITY EVALUATION; MARKOV</t>
  </si>
  <si>
    <t>This paper considers a novel k-out-of-n: F repairable balanced system with m sectors. The characteristic of this balanced system is that the numbers of working components in the m sectors must keep the same at any time. Thus, some components should be shut down manually when the balance is broken. Specifically, two Markov repairable system models are proposed in this paper in terms of different restart mechanisms of shut down components. The excellent Markov process imbedding method is used to obtain the system reliabilities and availabilities. Phase-type (PH) distributions for the lifetime and repair time of the components in the first model are considered. For the second case of the second model, three different maintenance policies are proposed and their performances are compared through several numerical examples. To the best of our knowledge, the k-out-of-n: F repairable balanced system models proposed in the research of this paper are first reported in literature. Finally, numerical examples are given to illustrate the models and the approaches.</t>
  </si>
  <si>
    <t>[Gao Hongda; Cui Lirong] Beijing Inst Technol, Sch Management &amp; Econ, Beijing 100081, Peoples R China; [Yi He] Beijing Inst Technol, Sch Math &amp; Stat, Beijing 100081, Peoples R China</t>
  </si>
  <si>
    <t>Gao, HD (corresponding author), Beijing Inst Technol, Sch Management &amp; Econ, Beijing 100081, Peoples R China.</t>
  </si>
  <si>
    <t>ghd2612@163.com</t>
  </si>
  <si>
    <t>NSF of China [71631001]; China Scholarship Council</t>
  </si>
  <si>
    <t>NSF of China(National Natural Science Foundation of China (NSFC)); China Scholarship Council(China Scholarship Council)</t>
  </si>
  <si>
    <t>This work is supported by the NSF of China under grant 71631001. Hongda Gao is supported by China Scholarship Council being a visiting scholar in the Pennsylvania State University, USA, in 2017-2018.</t>
  </si>
  <si>
    <t>10.1016/j.ress.2019.106572</t>
  </si>
  <si>
    <t>WOS:000491685000041</t>
  </si>
  <si>
    <t>Song, CL; Zhang, C; Shafieezadeh, A; Xiao, RC</t>
  </si>
  <si>
    <t>Song, Chaolin; Zhang, Chi; Shafieezadeh, Abdollah; Xiao, Rucheng</t>
  </si>
  <si>
    <t>Value of information analysis in non-stationary stochastic decision environments: A reliability-assisted POMDP approach</t>
  </si>
  <si>
    <t>Value of information; Reliability methods; Partially observable Markov decision processes; Bayes' theorem; Non-stationary environments</t>
  </si>
  <si>
    <t>VALUE-OF-INFORMATION; MAINTENANCE POLICIES; MARKOV-PROCESSES; HEALTH MEASURES; VALUE-ITERATION; INSPECTION; MACHINES</t>
  </si>
  <si>
    <t>Optimal management of systems over their service life as they face a multitude of uncertainties remains a significant challenge. While additional information can reduce uncertainties, collecting new information incurs cost and may include observation error. Value of Information (VoI) analysis facilitates quantitative assessment of the expected net benefits of collecting new information. Moreover, partially observable Markov decision processes (POMDPs) can be integrated within VoI analysis to efficiently capture the sequential decision-making environments for systems. The assumption of stationary environment in existing POMDP frameworks for VoI analysis may not be valid, however, in many applications such as deterioration processes which are often non-stationary. To address this gap, this paper presents a new approach called VoI-R-POMDP. A new POMDP framework is proposed to accurately describe non-stationary processes using multiple integrated transition models. New strategies based on reliability concepts are developed to accurately and efficiently determine the parameters of the proposed POMDP model based on prior information. A new formulation of the observation function based on Bayes' theorem is also derived. The proposed framework is applied to a corroding beam example. Results indicate that VoI-R-POMDP can accurately and efficiently describe the deterioration process and thus provide accurate VoI estimates for non-stationary systems.</t>
  </si>
  <si>
    <t>[Song, Chaolin; Zhang, Chi; Shafieezadeh, Abdollah] Ohio State Univ, Risk Assessment &amp; Management Struct &amp; Infrastruct, Dept Civil Environm &amp; Geodet Engn, Columbus, OH 43210 USA; [Song, Chaolin; Xiao, Rucheng] Tongji Univ, Dept Bridge Engn, Shanghai 200092, Peoples R China</t>
  </si>
  <si>
    <t>University System of Ohio; Ohio State University; Tongji University</t>
  </si>
  <si>
    <t>Shafieezadeh, A (corresponding author), Ohio State Univ, Risk Assessment &amp; Management Struct &amp; Infrastruct, Dept Civil Environm &amp; Geodet Engn, Columbus, OH 43210 USA.</t>
  </si>
  <si>
    <t>shafieezadeh.1@osu.edu</t>
  </si>
  <si>
    <t>Shafieezadeh, Abdollah/H-3582-2012; Zhang, Chi/GRS-4277-2022; Song, Chaolin/HPC-0153-2023</t>
  </si>
  <si>
    <t>Song, Chaolin/0000-0002-4721-8344; Zhang, Chi/0000-0003-1304-8209</t>
  </si>
  <si>
    <t>U.S. National Science Foundation (NSF) [CMMI-2000156]; Lichtenstein endowment at The Ohio State University; China Scholarship Council</t>
  </si>
  <si>
    <t>U.S. National Science Foundation (NSF)(National Science Foundation (NSF)); Lichtenstein endowment at The Ohio State University; China Scholarship Council(China Scholarship Council)</t>
  </si>
  <si>
    <t>This research was partly funded by the U.S. National Science Foundation (NSF) through award CMMI-2000156; the Lichtenstein endowment at The Ohio State University; and the China Scholarship Council. Opinions and findings presented are those of the authors and do not necessarily reflect the views of the sponsors.</t>
  </si>
  <si>
    <t>10.1016/j.ress.2021.108034</t>
  </si>
  <si>
    <t>WOS:000702360100010</t>
  </si>
  <si>
    <t>Yeh, CT</t>
  </si>
  <si>
    <t>Yeh, Cheng-Ta</t>
  </si>
  <si>
    <t>An improved NSGA2 to solve a bi-objective optimization problem of multi-state electronic transaction network</t>
  </si>
  <si>
    <t>Multi-state electronic transaction network; Binary physical line allocation; Correlated failure; Allocation cost; Transmission reliability; Improved fast non-dominated sorting genetic algorithm (iNSGA2); Technique for order preference by similarity to an ideal solution (TOPSIS)</t>
  </si>
  <si>
    <t>REDUNDANCY ALLOCATION; FLOW NETWORK; MULTIOBJECTIVE OPTIMIZATION; RELIABILITY EVALUATION; ALGORITHM; CHAIN; SUBJECT</t>
  </si>
  <si>
    <t>An electronic transaction network (ETN) plays a very important role in communications among trading partners. Transmission reliability is of concern to system supervisors. This study adopts a binary-state physical line allocation strategy, minimizing cost and maximizing transmission reliability for an ETN with a known network structure, in which the ETN is represented by arcs and nodes. The strategy is to allocate adequate binary-state physical lines to arcs. Particularly, the physical lines allocated to the same arc could be in correlated failure owing to maintenance. That is, the ETN can be modeled as a multi-state flow network with correlated failures for reliability evaluation. For solving this bi-objective optimization problem, an improved fast non-dominated sorting genetic algorithm II (iNSGA2), integrating the NSGA2 and k-means algorithm, is proposed, where the k-means is utilized to expand the search space of the NSGA2. A set of non-dominated solutions is found by the iNSGA2, and then, the technique for order preference by similarity to an ideal solution (TOPSIS) is adopted to determine the compromise alternative from the set. By solving this problem, the system supervisor can improve ETN stability at a reasonable expense without changing the network structure.</t>
  </si>
  <si>
    <t>[Yeh, Cheng-Ta] Fu Jen Catholic Univ, Dept Informat Management, New Taipei 242, Taiwan</t>
  </si>
  <si>
    <t>Fu Jen Catholic University</t>
  </si>
  <si>
    <t>Yeh, CT (corresponding author), Fu Jen Catholic Univ, Dept Informat Management, New Taipei 242, Taiwan.</t>
  </si>
  <si>
    <t>145712@mail.fju.edu.tw</t>
  </si>
  <si>
    <t>Yeh, Cheng-Ta/CAG-0920-2022</t>
  </si>
  <si>
    <t>Yeh, Cheng-Ta/0000-0003-1916-6564</t>
  </si>
  <si>
    <t>Ministry of Science and Technology, Taiwan, Republic of China [MOST 105-2410-H-128-018]</t>
  </si>
  <si>
    <t>Ministry of Science and Technology, Taiwan, Republic of China</t>
  </si>
  <si>
    <t>This work was supported in part by the Ministry of Science and Technology, Taiwan, Republic of China, under Grant No. MOST 105-2410-H-128-018.</t>
  </si>
  <si>
    <t>10.1016/j.ress.2019.106578</t>
  </si>
  <si>
    <t>WOS:000491685000054</t>
  </si>
  <si>
    <t>Wen, YX; Guo, XX; Son, JB; Wu, JG</t>
  </si>
  <si>
    <t>Wen, Yuxin; Guo, Xingxin; Son, Junbo; Wu, Jianguo</t>
  </si>
  <si>
    <t>A neural-network-based proportional hazard model for IoT signal fusion and failure prediction</t>
  </si>
  <si>
    <t>Cox PH model; degradation data; joint prognostic model; neural networks; remaining useful life prediction</t>
  </si>
  <si>
    <t>REMAINING USEFUL LIFE; DEGRADATION SIGNALS; WIENER PROCESS; SURVIVAL; TIME; EFFICIENCY; SUBJECT</t>
  </si>
  <si>
    <t>Accurate prediction of Remaining Useful Life (RUL) plays a critical role in optimizing condition-based maintenance decisions. In this article, a novel joint prognostic modeling framework that simultaneously combines both time-to-event data and multi-sensor degradation signals is proposed. With the increasing use of IoT devices, unprecedented amounts of diverse signals associated with the underlying health condition of in-situ units have become easily accessible. To take full advantage of the modern IoT-enabled engineering systems, we propose a specialized framework for RUL prediction at the level of individual units. Specifically, a Bayesian linear regression model is developed for the multi-sensor degradation signals and a functional neural network is proposed to allow the proportional hazard model to characterize the complex nonlinearity between the hazard function and degradation signals. Based on the proposed model, an online model updating procedure is established to accurately predict RUL in real time. The advantageous features of the proposed method are demonstrated through simulation studies and the application to a high-fidelity gas turbine engine dataset.</t>
  </si>
  <si>
    <t>[Wen, Yuxin] Chapman Univ, Fowler Sch Engn, Orange, CA USA; [Guo, Xingxin; Wu, Jianguo] Peking Univ, Coll Engn, Dept Ind Engn &amp; Management, Beijing, Peoples R China; [Son, Junbo] Univ Delaware, Dept Business Adm, Alfred Lerner Coll Business &amp; Econ, Newark, DE USA</t>
  </si>
  <si>
    <t>Chapman University System; Chapman University; Peking University; University of Delaware</t>
  </si>
  <si>
    <t>Wu, JG (corresponding author), Peking Univ, Coll Engn, Dept Ind Engn &amp; Management, Beijing, Peoples R China.</t>
  </si>
  <si>
    <t>j.wu@pku.edu.cn</t>
  </si>
  <si>
    <t>Wen, Yuxin/AAA-4882-2019</t>
  </si>
  <si>
    <t>Wen, Yuxin/0000-0002-2352-5622</t>
  </si>
  <si>
    <t>National Natural Science Foundation of China [NSFC-71932006, NSFC-72171003, NSFC-51875003]</t>
  </si>
  <si>
    <t>Jianguo Wu was partially supported by National Natural Science Foundation of China grant NSFC-71932006, NSFC-72171003, NSFC-51875003.</t>
  </si>
  <si>
    <t>10.1080/24725854.2022.2030881</t>
  </si>
  <si>
    <t>WOS:000761111500001</t>
  </si>
  <si>
    <t>Lin, YK; Chang, PC; Yeng, LCL; Huan, SF</t>
  </si>
  <si>
    <t>Lin, Yi-Kuei; Chang, Ping-Chen; Yeng, Louis Cheng-Lu; Huan, Shang-Fu</t>
  </si>
  <si>
    <t>Bi-objective optimization for a multistate job-shop production network using NSGA-II and TOPSIS</t>
  </si>
  <si>
    <t>Multistate job-shop production network (MJPN); Network reliability; Bi-objective optimization; Expanding technique</t>
  </si>
  <si>
    <t>RELIABILITY EVALUATION; GENETIC ALGORITHM; MULTIOBJECTIVE OPTIMIZATION; EVOLUTIONARY ALGORITHMS; MANUFACTURING NETWORK; SYSTEM; SUPPORT</t>
  </si>
  <si>
    <t>A job-shop production system (JPS) is a manufacturing system wherein each workstation configures multiple types of machines to produce small batches of a variety of products. In each workstation of a JPS, the number of machines that operate normally exhibits multiple levels of capacity owing to failures, partial failures, and maintenance. That is, the number of normal machines in each workstation is stochastic (i.e., multistate). To analyze such a JPS, the JPS is transformed into a multistate job-shop production network (MJPN) using a network topology. For the MJPN, a critical issue is to maximize the network reliability and to minimize the purchase cost when setting up the JPS. To achieve such bi-objective optimization, a machine vector (MV) representing the current number of normal machines in each workstation is introduced to evaluate network reliability. An algorithm based on a depth-first search (DFS) with an expanding technique is proposed to search all MVs for satisfying demand. Subsequently, to obtain a machine configuration (MF) simultaneously having the maximal network reliability and the minimal purchase cost, a two-stage approach is developed based on the non-dominated sorting genetic algorithm II (NSGA-II) and the technique for order of preference by similarity to ideal solution (TOPSIS). A real case of t-shirt production is utilized to illustrate the proposed method.</t>
  </si>
  <si>
    <t>[Lin, Yi-Kuei; Yeng, Louis Cheng-Lu] Natl Chiao Tung Univ, Dept Ind Engn &amp; Management, Hsinchu 300, Taiwan; [Chang, Ping-Chen] Natl Quemoy Univ, Dept Ind Engn &amp; Management, Kinmen County 892, Taiwan; [Huan, Shang-Fu] Natl Taiwan Univ Sci &amp; Technol, Dept Ind Management, Taipei 106, Taiwan</t>
  </si>
  <si>
    <t>National Yang Ming Chiao Tung University; National Quemoy University; National Taiwan University of Science &amp; Technology</t>
  </si>
  <si>
    <t>Chang, PC (corresponding author), Natl Quemoy Univ, Dept Ind Engn &amp; Management, Kinmen County 892, Taiwan.</t>
  </si>
  <si>
    <t>Lin, Yi-Kuei/N-8568-2013</t>
  </si>
  <si>
    <t>10.1016/j.jmsy.2019.05.004</t>
  </si>
  <si>
    <t>WOS:000488660800005</t>
  </si>
  <si>
    <t>Cheong, KF; Zhang, C; Zhang, Y</t>
  </si>
  <si>
    <t>Cheong, Kam Fu; Zhang, Chi; Zhang, Yang</t>
  </si>
  <si>
    <t>Joint Dynamic Optimization of Price and Two-Dimensional Warranty Policy</t>
  </si>
  <si>
    <t>Warranties; Optimization; Decision making; Production; Maintenance engineering; Shape; Hazards; Dynamic decision making; heterogeneous usage rate; joint optimization; reliability; two-dimensional (2-D) warranty</t>
  </si>
  <si>
    <t>This paper studies the joint optimization of price and two-dimensional (2-D) warranty policy with limits of both warranty length and usage. For this purpose, in this paper, we first propose a new sales function to characterize the joint influence of price, warranty length, and usage limit on the sales rate while considering the influence of the heterogeneous customer usage rate. Then, we model the joint dynamic optimization of price and 2-D warranty policy as a nonlinear optimal control problem, and solve it via a numerical approach based on Pontryagins maximum principle. We show that the proposed dynamic 2-D warranty policy can help achieve higher profits than the existing one-dimensional policies and static 2-D policy.</t>
  </si>
  <si>
    <t>[Cheong, Kam Fu] ALOG Technol Co Ltd, Hangzhou 310063, Peoples R China; [Zhang, Chi] Tsinghua Univ, Dept Ind Engn, Beijing 100084, Peoples R China; [Zhang, Yang] Natl Univ Singapore, Global Asia Inst, Singapore 119076, Singapore</t>
  </si>
  <si>
    <t>Tsinghua University; National University of Singapore</t>
  </si>
  <si>
    <t>Zhang, C (corresponding author), Tsinghua Univ, Dept Ind Engn, Beijing 100084, Peoples R China.</t>
  </si>
  <si>
    <t>costar790468863@hotmail.com; czhang@tsinghua.edu.cn; gaizy@nus.edu.sg</t>
  </si>
  <si>
    <t>Zhang, Chi/E-1251-2016; Zhang, Yang/IAP-4530-2023</t>
  </si>
  <si>
    <t>Zhang, Chi/0000-0003-3738-1479</t>
  </si>
  <si>
    <t>National Natural Science Foundation of China [71871125, 71501108]</t>
  </si>
  <si>
    <t>This work was supported by the National Natural Science Foundation of China under Grant 71871125 and Grant 71501108.</t>
  </si>
  <si>
    <t>10.1109/TEM.2019.2905004</t>
  </si>
  <si>
    <t>RB9RU</t>
  </si>
  <si>
    <t>WOS:000632443100017</t>
  </si>
  <si>
    <t>Choi, J; Kim, B; Han, CH; Hahn, H; Park, H; Yoo, J; Jeong, MK</t>
  </si>
  <si>
    <t>Choi, Jeongsub; Kim, Byunghoon; Han, Chang Hee; Hahn, Hyuk; Park, Hun; Yoo, Jaeyoung; Jeong, Myong Kee</t>
  </si>
  <si>
    <t>Methodology for assessing the contribution of knowledge services during the new product development process to business performance</t>
  </si>
  <si>
    <t>Knowledge intensive service; Public research institute; Innovation process; New product development; Variable importance</t>
  </si>
  <si>
    <t>Knowledge intensive service (KIS) is a key resource for new product development (NPD) of a firm. As a KIS provider, public research organization plays a critical role in supporting the success of firms' NPD process, thereby promoting national/regional/local economic growth. In this study, we examine the contribution of KISs at stages in an NPD process to firms' performance considering the correlations between input variables. For the explicit quantification of the contributions at the NPD stages, we propose a novel methodology using a variable importance assessment method. In doing so, the proposed method alleviates the correlation effects and facilitates a direct interpretation of the importance of input variables. The proposed methodology is evaluated in the case of a public research organization in South Korea, using a survey dataset collected from Korean small and mediumsized firms. The empirical results show that, with the inter-stage correlations, KISs differently contribute to firms at the NPD stages depending on performance measures: KISs mostly at the both-end NPD stages assist firms' managerial decision-making, and KISs at all the stages except for product implementation help firms save time and cost.</t>
  </si>
  <si>
    <t>[Choi, Jeongsub] West Virginia Univ, Dept Management Informat Syst, 1601 Univ Ave, Morgantown, WV 26506 USA; [Kim, Byunghoon] Hanyang Univ, Dept Ind &amp; Management Engn, 55 Hanyangdeahak Ro, Ansan 15588, Gyeonggi Do, South Korea; [Han, Chang Hee] Hanyang Univ, Dept Business Adm, 55 Hanyangdeahak Ro, Ansan 15588, Gyeonggi Do, South Korea; [Hahn, Hyuk; Park, Hun; Yoo, Jaeyoung] Korea Inst Sci &amp; Technol Informat, Div Data Anal, 66 Hoegiro, Seoul 02456, South Korea; [Jeong, Myong Kee] Rutgers State Univ, Dept Ind &amp; Syst Engn, 96 Frelinghuysen Rd, Piscataway, NJ 08854 USA</t>
  </si>
  <si>
    <t>West Virginia University; Hanyang University; Hanyang University; Korea Institute of Science &amp; Technology Information (KISTI); Rutgers University System; Rutgers University New Brunswick</t>
  </si>
  <si>
    <t>Kim, B (corresponding author), Hanyang Univ, Dept Ind &amp; Management Engn, 55 Hanyangdeahak Ro, Ansan 15588, Gyeonggi Do, South Korea.</t>
  </si>
  <si>
    <t>jeongsub.choi@mail.wvu.edu; byungkim@hanyang.ac.kr; chan@hanyang.ac.kr; hyhahn@kisti.re.kr; hpark78@kisti.re.kr; yoojy@kisti.re.kr; mjeong@soe.rutgers.edu</t>
  </si>
  <si>
    <t>, 김병훈/AAR-5793-2021; Han, Chang-Hee/J-2950-2019</t>
  </si>
  <si>
    <t>Choi, Jeongsub/0000-0003-2220-295X</t>
  </si>
  <si>
    <t>Korea Institute of Science and Technology Information [K-19-L03-C02, C16014]</t>
  </si>
  <si>
    <t>Korea Institute of Science and Technology Information(Korea Institute of Science &amp; Technology Information (KISTI))</t>
  </si>
  <si>
    <t>This work was supported by Korea Institute of Science and Technology Information (Grant No.: K-19-L03-C02) through the collaborative research project: Development of Data Mining-based Methodology for Assessing Contribution of Knowledge Services to Performance of Companies (No. C16014).</t>
  </si>
  <si>
    <t>APR 1</t>
  </si>
  <si>
    <t>10.1016/j.eswa.2020.113860</t>
  </si>
  <si>
    <t>QP2EV</t>
  </si>
  <si>
    <t>WOS:000623649900007</t>
  </si>
  <si>
    <t>Li, Z; Burgueño, R</t>
  </si>
  <si>
    <t>Li, Zhe; Burgueno, Rigoberto</t>
  </si>
  <si>
    <t>Structural information integration for predicting damages in bridges</t>
  </si>
  <si>
    <t>JOURNAL OF INDUSTRIAL INFORMATION INTEGRATION</t>
  </si>
  <si>
    <t>Information integration; Databases; Neural networks; Prediction model; Bridge inspection; Statistical analysis; Deterioration</t>
  </si>
  <si>
    <t>ARTIFICIAL NEURAL-NETWORKS; IDENTIFICATION; DIAGNOSIS</t>
  </si>
  <si>
    <t>Industrial Information Integration Engineering interacts with each of the twelve engineering disciplines defined by the U.S. National Academy of Engineering. Civil Engineering is one of the twelve engineering sections. Integration of information can be a very valuable method for civil engineering. In the management of the highway bridges, bridge design and operation parameters and inspection results are recorded according to national and state guides and the data is coded and archived in what is known as the National Bridge Inventory (NBI) database. The integration of the information in the NBI database can be a very valuable method for managing of bridges. The major challenges of the information in such a database are unbalance, complexity, subjectivity, and incompleteness, which make developing a damage prediction model from such information difficult. Particularly, the prediction and management of bridge abutment distress is difficult since their generation mechanism is not clear. The purpose of this study was to integrate the information of the inspections database and establish models to predict abutment distress. Input variables for the networks were selected from knowledge-based evaluations, statistical analyses, and trial and error. Four neural network models were developed and evaluated: the multilayer perceptron and support vector machine models predicted abutment condition better than a supervised self-organizing map and radial basis function networks.</t>
  </si>
  <si>
    <t>[Li, Zhe; Burgueno, Rigoberto] Michigan State Univ, Dept Civil &amp; Environm Engn, E Lansing, MI 48824 USA</t>
  </si>
  <si>
    <t>Michigan State University</t>
  </si>
  <si>
    <t>Li, Z (corresponding author), Vestal Corp, 1 Pines Court,Suite A, Chesterfield, MO 63141 USA.</t>
  </si>
  <si>
    <t>lizhe01@gmail.com</t>
  </si>
  <si>
    <t>Michigan Department of Transportation [2002-0532]</t>
  </si>
  <si>
    <t>Michigan Department of Transportation</t>
  </si>
  <si>
    <t>This research project was funded by the Michigan Department of Transportation (Contract Number: 2002-0532). The authors appreciated the help of MDOT engineers Steve Beck, Roger Till, David Juntunen, Robert Kelley, and Eric Burns in providing design and maintenance information about MDOT highway bridges.</t>
  </si>
  <si>
    <t>2467-964X</t>
  </si>
  <si>
    <t>2452-414X</t>
  </si>
  <si>
    <t>J IND INF INTEGR</t>
  </si>
  <si>
    <t>J. Ind. Inf. Integr.</t>
  </si>
  <si>
    <t>10.1016/j.jii.2018.11.004</t>
  </si>
  <si>
    <t>IZ7VE</t>
  </si>
  <si>
    <t>WOS:000487306100017</t>
  </si>
  <si>
    <t>Xu, FR; Moghaddass, R</t>
  </si>
  <si>
    <t>Xu, Feiran; Moghaddass, Ramin</t>
  </si>
  <si>
    <t>A scalable Bayesian framework for large-scale sensor-driven network anomaly detection</t>
  </si>
  <si>
    <t>Anomaly detection; Bayesian networks; sensor analytics; system monitoring</t>
  </si>
  <si>
    <t>EXPLANATION</t>
  </si>
  <si>
    <t>Many real systems have a network/graph structure with many connected nodes and many edges representing deterministic or stochastic dependencies and interactions between nodes. Various types of known or unknown anomalies and disturbances may occur across these networks over time. Developing real-time anomaly detection and isolation frameworks is crucial to enable network operators to make more informed and timely decisions and take appropriate maintenance and operations actions. To monitor the health of modern networks in real time, different types of sensors and smart devices are installed across these networks that can track real-time data from a particular node or a section of a network. In this article, we introduce an innovative inference method to calculate the most probable explanation of a set of hidden nodes in heterogeneous attributed networks with a directed acyclic graph structure represented by a Bayesian network, given the values of a set of binary data observed from available sensors, which may be located only at a subset of nodes. The innovative use of Bayesian networks to incorporate parallelization and vectorization makes the proposed framework applicable for large-scale graph structures. The efficiency of the model is shown through a comprehensive set of numerical experiments.</t>
  </si>
  <si>
    <t>[Xu, Feiran; Moghaddass, Ramin] Univ Miami, Ind &amp; Syst Engn, Coral Gables, FL 33124 USA; [Moghaddass, Ramin] Univ Miami, Management Sci, Coral Gables, FL 33124 USA</t>
  </si>
  <si>
    <t>University of Miami; University of Miami</t>
  </si>
  <si>
    <t>Moghaddass, R (corresponding author), Univ Miami, Ind &amp; Syst Engn, Coral Gables, FL 33124 USA.;Moghaddass, R (corresponding author), Univ Miami, Management Sci, Coral Gables, FL 33124 USA.</t>
  </si>
  <si>
    <t>ramin@miami.edu</t>
  </si>
  <si>
    <t>National Science Foundation [1846975]; Div Of Civil, Mechanical, &amp; Manufact Inn; Directorate For Engineering [1846975] Funding Source: National Science Foundation</t>
  </si>
  <si>
    <t>National Science Foundation(National Science Foundation (NSF)); Div Of Civil, Mechanical, &amp; Manufact Inn; Directorate For Engineering(National Science Foundation (NSF)NSF - Directorate for Engineering (ENG))</t>
  </si>
  <si>
    <t>This article is based on work supported by National Science Foundation under Grant No. 1846975.</t>
  </si>
  <si>
    <t>10.1080/24725854.2022.2037792</t>
  </si>
  <si>
    <t>9D1GW</t>
  </si>
  <si>
    <t>WOS:000778836500001</t>
  </si>
  <si>
    <t>Huang, CH; Huang, DH; Lin, YK</t>
  </si>
  <si>
    <t>Huang, Cheng-Hao; Huang, Ding-Hsiang; Lin, Yi-Kuei</t>
  </si>
  <si>
    <t>Network reliability prediction for random capacitated-flow networks via an artificial neural network</t>
  </si>
  <si>
    <t>Deep learning (DL); Artificial neural network (ANN); capacitated-flow network (CFN); Network reliability; Random CFN connections</t>
  </si>
  <si>
    <t>MULTISTATE; EFFICIENCY</t>
  </si>
  <si>
    <t>Real-world systems, such as manufacturing systems, can be modeled as network topologies with arcs and nodes. The capacity of each arc has several statuses owing to maintenance or machine failure. Such a system is called a capacitated-flow network (CFN). To learn the performance of the CFN, network reliability, the probability that the CFN can successfully transmit the required demand from the source to the sink, is usually utilized. Based on the minimal path (MP), the network reliability can be calculated by obtaining all the minimal capacity vectors, which denote the minimal required capacity for each arc. Efficient calculation of network reliability for a certain CFN is an NP-hard problem; moreover, different CFN connections need to be considered. Therefore, an artificial neural network (ANN) is adopted herein to overcome the network reliability evaluation for random CFN with different network connections. The generation method of the CFN information with different network connec-tions as well as the related structure and functions are then developed to estimate the network reliability. Random search is used to optimize the hyperparameters of the ANN model. For different CFN connections, the trained model can be implemented with small errors in a short time compared with the MP-based algorithm.</t>
  </si>
  <si>
    <t>[Huang, Cheng-Hao; Lin, Yi-Kuei] Natl Yang Ming Chiao Tung Univ, Dept Ind Engn &amp; Management, Hsinchu 300, Taiwan; [Huang, Ding-Hsiang] Tunghai Univ, Dept Ind Engn &amp; Enterprise Informat, Taichung 407, Taiwan; [Lin, Yi-Kuei] Asia Univ, Dept Business Adm, Taichung 413, Taiwan; [Lin, Yi-Kuei] China Med Univ, China Med Univ Hosp, Dept Med Res, Taichung 404, Taiwan; [Lin, Yi-Kuei] Chaoyang Univ Technol, Dept Ind Engn &amp; Management, Taichung 413, Taiwan</t>
  </si>
  <si>
    <t>National Yang Ming Chiao Tung University; Tunghai University; Asia University Taiwan; China Medical University Taiwan; China Medical University Hospital - Taiwan; Chaoyang University of Technology</t>
  </si>
  <si>
    <t>Lin, YK (corresponding author), Natl Yang Ming Chiao Tung Univ, Dept Ind Engn &amp; Management, Hsinchu 300, Taiwan.</t>
  </si>
  <si>
    <t>yklin@nycu.edu.tw</t>
  </si>
  <si>
    <t>Huang, Ding-Hsiang/JXN-2340-2024</t>
  </si>
  <si>
    <t>Ministry of Science and Technology (MOST) of Taiwan, ROC [MOST 109-2221-E- 009-067-MY3, MOST 111-2222-E-029-003]</t>
  </si>
  <si>
    <t>Ministry of Science and Technology (MOST) of Taiwan, ROC</t>
  </si>
  <si>
    <t>This research was supported in part by the Ministry of Science and Technology (MOST) of Taiwan, ROC under grants MOST 109-2221-E- 009-067-MY3 and MOST 111-2222-E-029-003.</t>
  </si>
  <si>
    <t>10.1016/j.ress.2023.109378</t>
  </si>
  <si>
    <t>I4KE1</t>
  </si>
  <si>
    <t>WOS:001002477200001</t>
  </si>
  <si>
    <t>Stornelli, A; Simms, C; Reim, W; Ozcan, S</t>
  </si>
  <si>
    <t>Stornelli, Aldo; Simms, Christopher; Reim, Wiebke; Ozcan, Sercan</t>
  </si>
  <si>
    <t>Exploring the dynamic capabilities of technology provider ecosystems: A study of smart manufacturing projects</t>
  </si>
  <si>
    <t>Smart manufacturing; Advanced manufacturing; Dynamic capabilities; Technology providers; Innovation ecosystems; Innovation outcomes</t>
  </si>
  <si>
    <t>INNOVATION ECOSYSTEMS; FIRM PERFORMANCE; IMPLEMENTATION; STRATEGY; PLATFORMS; INTERFIRM; PATTERNS; BUSINESS; INTERNET; MODELS</t>
  </si>
  <si>
    <t>This study examines the capabilities of technology provider ecosystems within smart manufacturing implementation projects. Whilst the study of capabilities for technology implementation is well acknowledged, the existing literature lacks a focused analysis on the dynamic capabilities required from ecosystems of technology providers engaging with adopter firms for the development of smart manufacturing solutions. More specifically, research has overlooked how such provider capabilities address the adopter's requirements and facilitate the related innovation outcomes for the adopter firm. Thus, our findings provide several contributions to the literature. Firstly, by examining two smart manufacturing projects within Pharmaceutical and Semi-conductor manufacturing contexts, we provide an in-depth analysis of the complexity of adopter requirements. Secondly, we uncover the nature of three main technology provider dynamic ecosystem capabilities. These reflect comprehensive skills in technology search and learning, project implementation, and knowledge transfer capabilities supporting the development of solutions for decision-making and predictive maintenance. Thirdly, we reveal how provider ecosystems build on these capabilities to address the complex requirements of the adopter firm and facilitate different types of process innovation outcomes. Respectively linked to performance, sustainability and evolving process sustainability.</t>
  </si>
  <si>
    <t>[Stornelli, Aldo; Simms, Christopher; Ozcan, Sercan] Univ Portsmouth, Fac Business &amp; Law, Richmond Bldg Portland St, Portsmouth PO1 3DE, England; [Reim, Wiebke] Lulea Univ Technol, Entrepreneurship &amp; Innovat, SE-97187 Lulea, Sweden; [Ozcan, Sercan] Bahcesehir Univ, Dept Engn Management, Istanbul, Turkiye; [Ozcan, Sercan] Azerbaijan State Univ Econ UNEC, Innovat Management Ctr, Baku, Azerbaijan</t>
  </si>
  <si>
    <t>University of Portsmouth; Lulea University of Technology; Bahcesehir University; Ministry of Education of Azerbaijan Republic; Azerbaijan State University of Economics (UNEC)</t>
  </si>
  <si>
    <t>Stornelli, A (corresponding author), Univ Portsmouth, Fac Business &amp; Law, Richmond Bldg Portland St, Portsmouth PO1 3DE, England.</t>
  </si>
  <si>
    <t>aldo.stornelli@port.ac.uk; chris.simms@port.ac.uk; wiebke.reim@ltu.se; sercan.ozcan@port.ac.uk</t>
  </si>
  <si>
    <t>Ozcan, Sercan/AAU-9012-2020</t>
  </si>
  <si>
    <t>Simms, Christopher/0000-0001-5172-4453; Ozcan, Sercan/0000-0002-0482-7529; Stornelli, Aldo/0000-0002-0838-0357</t>
  </si>
  <si>
    <t>10.1016/j.technovation.2023.102925</t>
  </si>
  <si>
    <t>EP7O4</t>
  </si>
  <si>
    <t>WOS:001140195700001</t>
  </si>
  <si>
    <t>Chen, ZX; He, YH; Zhao, YX; Han, X; He, Z; Xu, Y; Zhang, AQ</t>
  </si>
  <si>
    <t>Chen, Zhaoxiang; He, Yihai; Zhao, Yixiao; Han, Xiao; He, Zhen; Xu, Yu; Zhang, Anqi</t>
  </si>
  <si>
    <t>Mission reliability evaluation based on operational quality data for multistate manufacturing systems</t>
  </si>
  <si>
    <t>Multistate manufacturing systems; mission reliability; reliability evaluation; operational quality data; ESTN</t>
  </si>
  <si>
    <t>SELECTIVE MAINTENANCE OPTIMIZATION; PREDICTIVE MAINTENANCE; MODEL; PERFORMANCE; NETWORK</t>
  </si>
  <si>
    <t>Modern and intelligent manufacturing systems have a prominent multistate feature. However, previous studies of reliability analysis of multistate manufacturing systems mostly focused on the basic reliability of manufacturing systems but disregarded their operating characteristics, which has hindered the development of Prognostics and Health Management technique for intelligent manufacturing systems. Therefore, an evaluation approach of mission reliability for multistate manufacturing systems based on operational quality data is proposed in this paper. First, from the systematic viewpoint of the composition and operational principle of the manufacturing system, the relationship among production task execution state, production equipment degradation state, and produced product quality state is expounded, and the connotation of the mission reliability of multistate manufacturing systems is defined. Second, an extended state task network (ESTN) is presented to organise operational quality data by considering the quality state of work in process (WIP). Third, a fusion model of operational quality data for manufacturing systems is established with the aid of the ESTN, and an operational quality data-oriented evaluation method of mission reliability is been put forward. Finally, a case study of a manufacturing system for a cylinder head is conducted to verify the proposed approach.</t>
  </si>
  <si>
    <t>[Chen, Zhaoxiang; He, Yihai; Zhao, Yixiao; Han, Xiao; He, Zhen; Xu, Yu; Zhang, Anqi] Beihang Univ, Sch Reliabil &amp; Syst Engn, Beijing, Peoples R China</t>
  </si>
  <si>
    <t>National Natural Science Foundation of China [61473017]; National Defense Pre-Research Foundation of China [6140002050116HK01001]</t>
  </si>
  <si>
    <t>National Natural Science Foundation of China(National Natural Science Foundation of China (NSFC)); National Defense Pre-Research Foundation of China</t>
  </si>
  <si>
    <t>This study was supported by the National Natural Science Foundation of China [grant no. 61473017] and a general project funded by the National Defense Pre-Research Foundation of China [grant no. 6140002050116HK01001].</t>
  </si>
  <si>
    <t>MAR 19</t>
  </si>
  <si>
    <t>10.1080/00207543.2018.1508906</t>
  </si>
  <si>
    <t>HQ5RM</t>
  </si>
  <si>
    <t>WOS:000462470300014</t>
  </si>
  <si>
    <t>Ghomghaleh, A; Khaloukakaie, R; Ataei, M; Barabadi, A; Qarahasanlou, AN; Rahmani, O; Pour, AB</t>
  </si>
  <si>
    <t>Ghomghaleh, Awat; Khaloukakaie, Reza; Ataei, Mohammad; Barabadi, Abbas; Qarahasanlou, Ali Nouri; Rahmani, Omeid; Pour, Amin Beiranvand</t>
  </si>
  <si>
    <t>Prediction of remaining useful life (RUL) of Komatsu excavator under reliability analysis in the Weibull-frailty model</t>
  </si>
  <si>
    <t>POISSON-PROCESS; RESIDUAL LIFE; REGRESSION; MACHINERY</t>
  </si>
  <si>
    <t>It is an essential task to estimate the remaining useful life (RUL) of machinery in the mining sector aimed at ensuring the production and the customer's satisfaction. In this study, a conceptual framework was used to determine the RUL under the reliability analysis in a frailty model. The proposed framework was implemented on a Komatsu PC-1250 excavator from the Sungun copper mine. Also, the Weibull-frailty model was selected to describe the failure behavior and compare it with the classical-exponential model. The frailty model was also used to evaluate the impact of unobserved environmental conditions on the RUL values. Both applied models were fitted to the obtained data from 80 operational hours of the Komatsu PC-1250 excavator. Plotting the results from the reliability analysis of two models demonstrated that the mine system with the frailty model performs better than the classical model before reaching the reliability of 80%. Besides, the frailty model shows a coherent with the operational time of the excavator, while the classical model demonstrates a sinusoid variation. The obtained results may be used for the development of maintenance, preventive repairs planning, and the spare parts replacement intervals.</t>
  </si>
  <si>
    <t>[Ghomghaleh, Awat; Khaloukakaie, Reza; Ataei, Mohammad; Qarahasanlou, Ali Nouri] Shahrood Univ Technol, Sch Min Petr &amp; Geophys Engn, Shahrood, Iran; [Barabadi, Abbas] UiT Arctic Univ Norway, Dept Engn &amp; Safety, Tromso, Norway; [Rahmani, Omeid] Univ Kurdistan Hewler UKH, Sch Sci &amp; Engn, Dept Nat Resources Engn &amp; Management, Erbil, Kurdistan Regio, Iraq; [Pour, Amin Beiranvand] Univ Malaysia Terengganu UMT, Inst Oceanog &amp; Environm INOS, Terengganu, Malaysia</t>
  </si>
  <si>
    <t>Shahrood University of Technology; UiT The Arctic University of Tromso; University of Kurdistan Hewler; Universiti Malaysia Terengganu</t>
  </si>
  <si>
    <t>Rahmani, O (corresponding author), Univ Kurdistan Hewler UKH, Sch Sci &amp; Engn, Dept Nat Resources Engn &amp; Management, Erbil, Kurdistan Regio, Iraq.</t>
  </si>
  <si>
    <t>omeid.rahmani@ukh.edu.krd</t>
  </si>
  <si>
    <t>Qarahasanlou, Ali/AAE-4916-2019; Beiranvand Pour, Amin/E-1723-2013; Rahmani, Omeid/F-5638-2013</t>
  </si>
  <si>
    <t>Nouri Qarahasanlou, Ali/0000-0003-1302-7176; Beiranvand Pour, Amin/0000-0001-8783-5120; Rahmani, Omeid/0000-0002-3556-5760</t>
  </si>
  <si>
    <t>Technical Office of the Sungun Copper Mine in Ahar, Iran</t>
  </si>
  <si>
    <t>This research was partially supported by the Technical Office of the Sungun Copper Mine in Ahar, Iran. There was no additional external funding received for this study.</t>
  </si>
  <si>
    <t>JUL 15</t>
  </si>
  <si>
    <t>e0236128</t>
  </si>
  <si>
    <t>10.1371/journal.pone.0236128</t>
  </si>
  <si>
    <t>NB3GI</t>
  </si>
  <si>
    <t>WOS:000560402000033</t>
  </si>
  <si>
    <t>Pan, Y; Qin, JJ; Hou, YM; Chen, JJ</t>
  </si>
  <si>
    <t>Pan, Yue; Qin, Jianjun; Hou, Yongmao; Chen, Jin-Jian</t>
  </si>
  <si>
    <t>Two-stage support vector machine-enabled deep excavation settlement prediction considering class imbalance and multi-source uncertainties</t>
  </si>
  <si>
    <t>Machine learning; Ground settlement prediction; Class imbalance; Multi-source uncertainty; Global sensitivity analysis</t>
  </si>
  <si>
    <t>SENSITIVITY-ANALYSIS; NEURAL-NETWORK; RELIABILITY; INTERVALS; SYSTEMS</t>
  </si>
  <si>
    <t>This paper proposes a robust ground settlement prediction framework that can cope with class imbalance and multi-source uncertainties within the practice of deep excavation. There are two main stages incorporated to achieve a reliable risk perception with high accuracy. The first stage involves the application of the Least Square Support Vector Machine (LSSVM) under a statistical learning process (SLP) for detecting settlement occurrences. The second stage utilizes the Least Square Support Vector Regression (LSSVR) under the coupled simulated annealing (CSA) optimizer to predict settlement evolution. It is followed by the construction of prediction intervals and a global sensitivity analysis (GSA) to facilitate deeper investigation. A real deep excavation project as part of Shanghai Metro is used as a case study to validate the effectiveness of the proposed framework, yielding high prediction accuracy in ground settlement prediction. Moreover, the prediction results can be expressed by two types of high-quality intervals as a promising description of uncertainties attributed to the intelligent model and collected data. Overall, the proposed two-stage LSSVM-based framework offers practical value as a decisionmaking support tool for stakeholders to understand and control the ground settlement as a reflection of risk status, contributing to enhancements of early risk perception and management in deep excavation engineering.</t>
  </si>
  <si>
    <t>[Pan, Yue; Qin, Jianjun; Chen, Jin-Jian] Shanghai Jiao Tong Univ, Dept Civil Engn, State Key Lab Ocean Engn, Shanghai Key Lab Digital Maintenance Bldg &amp; Infras, 800 Dongchuan Rd, Shanghai 200240, Peoples R China; [Hou, Yongmao] Shanghai Tunnel Engn Co Ltd, 1099 Wanpingnan Rd, Shanghai 200082, Peoples R China</t>
  </si>
  <si>
    <t>Qin, JJ (corresponding author), Shanghai Jiao Tong Univ, Dept Civil Engn, State Key Lab Ocean Engn, Shanghai Key Lab Digital Maintenance Bldg &amp; Infras, 800 Dongchuan Rd, Shanghai 200240, Peoples R China.</t>
  </si>
  <si>
    <t>jianjunqin@sjtu.edu.cn</t>
  </si>
  <si>
    <t>Pan, Yue/KFS-4602-2024; CHEN, Jin/K-8183-2012</t>
  </si>
  <si>
    <t>National Natural Sci-ence Foundation of China [72201171]; Shanghai Sailing Pro-gram [22YF1419100]; Oceanic Interdisciplinary Program of Shanghai Jiao Tong University [SL2022MS007]; State Key Laboratory of Ocean Engineering (Shanghai Jiao Tong University) [GKZD010087]</t>
  </si>
  <si>
    <t>National Natural Sci-ence Foundation of China(National Natural Science Foundation of China (NSFC)); Shanghai Sailing Pro-gram; Oceanic Interdisciplinary Program of Shanghai Jiao Tong University; State Key Laboratory of Ocean Engineering (Shanghai Jiao Tong University)</t>
  </si>
  <si>
    <t>This work was substantially supported by the National Natural Sci-ence Foundation of China (No. 72201171) , the Shanghai Sailing Pro-gram (No. 22YF1419100) , the Oceanic Interdisciplinary Program of Shanghai Jiao Tong University (No. SL2022MS007) and State Key Laboratory of Ocean Engineering (Shanghai Jiao Tong University) (No. GKZD010087) .</t>
  </si>
  <si>
    <t>10.1016/j.ress.2023.109578</t>
  </si>
  <si>
    <t>T5MH7</t>
  </si>
  <si>
    <t>WOS:001078422000001</t>
  </si>
  <si>
    <t>Cai, JX; Cigsar, C; Ye, ZS</t>
  </si>
  <si>
    <t>Cai, Jiaxiang; Cigsar, Candemir; Ye, Zhi-Sheng</t>
  </si>
  <si>
    <t>Assessing the effect of repair delays on a repairable system</t>
  </si>
  <si>
    <t>JOURNAL OF QUALITY TECHNOLOGY</t>
  </si>
  <si>
    <t>carryover effect; EM algorithm; goodness-of-fit tests; imperfect repairs; interval-grouped data</t>
  </si>
  <si>
    <t>PANEL COUNT DATA; INFERENCE; ALGORITHM; TESTS; MODEL</t>
  </si>
  <si>
    <t>Repair delays are common in systems where failures are not self-revealed or in mission-critical systems where repairs cannot be conducted during a mission. The presence of repair delays may significantly affect the failure behavior of a system, but its impact has been largely overlooked in the literature. In this article, we propose a flexible intensity-based model for repairable systems subject to repair delays. Statistical inference of the model is discussed. In the presence of repair delays, the exact failure times are typically unavailable and the failures are only known to occur at times within intervals with known lower and upper bounds. In this case, the likelihood function is complicated. We introduce several efficient numerical integration methods to evaluate the likelihood function and investigate their performance through comprehensive simulations. Goodness-of-fit tests are used to check the adequacy of the baseline rate of occurrence of failures and the effect of repair delays. The proposed methods are demonstrated using maintenance data of a general infusion pump used in a hospital.</t>
  </si>
  <si>
    <t>[Cai, Jiaxiang; Ye, Zhi-Sheng] Natl Univ Singapore, Dept Ind Syst Engn &amp; Management, Singapore, Singapore; [Cigsar, Candemir] Mem Univ Newfoundland, Dept Math &amp; Stat, St John, NF, Canada</t>
  </si>
  <si>
    <t>National University of Singapore; Memorial University Newfoundland</t>
  </si>
  <si>
    <t>Ye, ZS (corresponding author), Natl Univ Singapore, Dept Ind &amp; Syst Engn, 1 Engn Dr 2,Blk E1A 06-25, Singapore 117576, Singapore.</t>
  </si>
  <si>
    <t>0022-4065</t>
  </si>
  <si>
    <t>2575-6230</t>
  </si>
  <si>
    <t>J QUAL TECHNOL</t>
  </si>
  <si>
    <t>J. Qual. Technol.</t>
  </si>
  <si>
    <t>10.1080/00224065.2019.1611347</t>
  </si>
  <si>
    <t>MP3JX</t>
  </si>
  <si>
    <t>WOS:000552104200004</t>
  </si>
  <si>
    <t>Jozan, MMB; Lotfata, A; Hamilton, HJ; Tabesh, H</t>
  </si>
  <si>
    <t>Jozan, Mohammad Mahdi Barati; Lotfata, Aynaz; Hamilton, Howard J.; Tabesh, Hamed</t>
  </si>
  <si>
    <t>An inversion-based clustering approach for complex clusters</t>
  </si>
  <si>
    <t>BMC RESEARCH NOTES</t>
  </si>
  <si>
    <t>Clustering algorithm; Inversion-based similarity measure; Overlapping clusters; Adjusted Rand index</t>
  </si>
  <si>
    <t>SIMULATING DATA; PERFORMANCE; ALGORITHMS</t>
  </si>
  <si>
    <t>Background The choice of an appropriate similarity measure plays a pivotal role in the effectiveness of clustering algorithms. However, many conventional measures rely solely on feature values to evaluate the similarity between objects to be clustered. Furthermore, the assumption of feature independence, while valid in certain scenarios, does not hold true for all real-world problems. Hence, considering alternative similarity measures that account for inter-dependencies among features can enhance the effectiveness of clustering in various applications.Methods In this paper, we present the Inv measure, a novel similarity measure founded on the concept of inversion. The Inv measure considers the significance of features, the values of all object features, and the feature values of other objects, leading to a comprehensive and precise evaluation of similarity. To assess the performance of our proposed clustering approach that incorporates the Inv measure, we evaluate it on simulated data using the adjusted Rand index.Results The simulation results strongly indicate that inversion-based clustering outperforms other methods in scenarios where clusters are complex, i.e., apparently highly overlapped. This showcases the practicality and effectiveness of the proposed approach, making it a valuable choice for applications that involve complex clusters across various domains.Conclusions The inversion-based clustering approach may hold significant value in the healthcare industry, offering possible benefits in tasks like hospital ranking, treatment improvement, and high-risk patient identification. In social media analysis, it may prove valuable for trend detection, sentiment analysis, and user profiling. E-commerce may be able to utilize the approach for product recommendation and customer segmentation. The manufacturing sector may benefit from improved quality control, process optimization, and predictive maintenance. Additionally, the approach may be applied to traffic management and fleet optimization in the transportation domain. Its versatility and effectiveness make it a promising solution for diverse fields, providing valuable insights and optimization opportunities for complex and dynamic data analysis tasks.</t>
  </si>
  <si>
    <t>[Jozan, Mohammad Mahdi Barati; Tabesh, Hamed] Mashhad Univ Med Sci, Fac Med, Dept Med Informat, Mashhad, Iran; [Lotfata, Aynaz] Univ Calif Davis, Sch Vet Med, Dept Pathol Microbiol &amp; Immunol, Davis, CA 95616 USA; [Hamilton, Howard J.] Univ Regina, Dept Comp Sci, Regina, SK, Canada</t>
  </si>
  <si>
    <t>Mashhad University of Medical Sciences; University of California System; University of California Davis; University of Regina</t>
  </si>
  <si>
    <t>Tabesh, H (corresponding author), Mashhad Univ Med Sci, Fac Med, Dept Med Informat, Mashhad, Iran.</t>
  </si>
  <si>
    <t>Tabeshh@mums.ac.ir</t>
  </si>
  <si>
    <t>Hamilton, Howard/KXR-3981-2024; Tabesh, Hamed/P-6200-2019; Barati Jozan, Mohammad Mahdi/AAG-7508-2021</t>
  </si>
  <si>
    <t>Tabesh, Hamed/0000-0003-3081-0488; Barati Jozan, Mohammad Mahdi/0000-0001-9655-8401</t>
  </si>
  <si>
    <t>SPRINGERNATURE</t>
  </si>
  <si>
    <t>CAMPUS, 4 CRINAN ST, LONDON, N1 9XW, ENGLAND</t>
  </si>
  <si>
    <t>1756-0500</t>
  </si>
  <si>
    <t>BMC RES NOTES</t>
  </si>
  <si>
    <t>BMC Res. Notes</t>
  </si>
  <si>
    <t>MAY 12</t>
  </si>
  <si>
    <t>10.1186/s13104-024-06791-y</t>
  </si>
  <si>
    <t>Biology; Multidisciplinary Sciences</t>
  </si>
  <si>
    <t>Life Sciences &amp; Biomedicine - Other Topics; Science &amp; Technology - Other Topics</t>
  </si>
  <si>
    <t>QI1O2</t>
  </si>
  <si>
    <t>WOS:001220157700001</t>
  </si>
  <si>
    <t>Chang, PC; Yeng, LCL; Cheng, YC; Lin, YK</t>
  </si>
  <si>
    <t>Chang, Ping-Chen; Yeng, Louis Cheng-Lu; Cheng, Yi-Chen; Lin, Yi-Kuei</t>
  </si>
  <si>
    <t>Assessing network reliability in a hybrid flow shop with rush order insertion</t>
  </si>
  <si>
    <t>Stochastic hybrid flow shop (SHFS); Stochastic capacity; Network reliability; Rush order</t>
  </si>
  <si>
    <t>MANUFACTURING NETWORK; SIMULATION; ALGORITHM; SYSTEM</t>
  </si>
  <si>
    <t>Rush order (RO) insertion is a common problem in industrial plants and represents immediate customer demand characterized by early delivery requirements. Consequently, capacity prioritizes handling RO over processing general orders (GO). In a manufacturing system, the number of machines in a workstation can be influenced by factors, such as failure and maintenance, resulting in the stochastic capacity of each workstation. Considering the stochastic nature of the capacity state in a manufacturing system, this study models it as a stochastic hybrid flow shop (SHFS) network. Algorithms are proposed to generate the lowest capacity vectors (LCVs) that satisfy both the GO and RO. In particular, the proposed algorithms can be applied to an arbitrary capacity probability distribution of a workstation. To assess the system performance of the SHFS network, we employed network reliability as a performance metric to evaluate the possibility of meeting the demand within the specified time constraints in terms of LCVs. We consider GO and RO, each with different time constraints for completion. Numerical examples show that the network reliability indicates the capability of an SHFS to handle both GO and RO. Therefore, decision-makers can ensure that the capacity of the SHFS is sufficient to meet customer demand.</t>
  </si>
  <si>
    <t>[Chang, Ping-Chen] Natl Taipei Univ Technol, Dept Ind Engn &amp; Management, Taipei 106, Taiwan; [Yeng, Louis Cheng-Lu; Cheng, Yi-Chen; Lin, Yi-Kuei] Natl Yang Ming Chiao Tung Univ, Dept Ind Engn &amp; Management, Hsinchu 300, Taiwan; [Lin, Yi-Kuei] Asia Univ, Dept Business Adm, Taichung 413, Taiwan; [Lin, Yi-Kuei] Chaoyang Univ Technol, Dept Business Adm, Taichung 413, Taiwan; [Lin, Yi-Kuei] Graphic Era Deemed be Univ, Dept Math Comp Sci &amp; Engn, Dehra Dun, India</t>
  </si>
  <si>
    <t>National Taipei University of Technology; National Yang Ming Chiao Tung University; Asia University Taiwan; Chaoyang University of Technology; Graphic Era University</t>
  </si>
  <si>
    <t>Lin, YK (corresponding author), Natl Yang Ming Chiao Tung Univ, Dept Ind Engn &amp; Management, Hsinchu 300, Taiwan.;Lin, YK (corresponding author), Asia Univ, Dept Business Adm, Taichung 413, Taiwan.;Lin, YK (corresponding author), Chaoyang Univ Technol, Dept Business Adm, Taichung 413, Taiwan.;Lin, YK (corresponding author), Graphic Era Deemed be Univ, Dept Math Comp Sci &amp; Engn, Dehra Dun, India.</t>
  </si>
  <si>
    <t>National Science and Tech- nology Council, Taiwan [111-2221-E-A49-082-MY3]</t>
  </si>
  <si>
    <t>National Science and Tech- nology Council, Taiwan</t>
  </si>
  <si>
    <t>Acknowledgements This work is partially supported by the National Science and Tech- nology Council, Taiwan under Grant No. 111-2221-E-A49-082-MY3.</t>
  </si>
  <si>
    <t>10.1016/j.ress.2024.109990</t>
  </si>
  <si>
    <t>LA3F9</t>
  </si>
  <si>
    <t>WOS:001184007400001</t>
  </si>
  <si>
    <t>Xu, SB; Hao, ZF; Zhu, YH; Wang, ZY; Xiao, YH; Liu, B</t>
  </si>
  <si>
    <t>Xu, Shengbing; Hao, Zhifeng; Zhu, Yuanhao; Wang, Zhenyou; Xiao, Yunhao; Liu, Bo</t>
  </si>
  <si>
    <t>Semi-supervised fuzzy clustering algorithm based on prior membership degree matrix with expert preference</t>
  </si>
  <si>
    <t>Fuzzy clustering; Prior membership degree; Missing value; Semi-supervised clustering; Constraints</t>
  </si>
  <si>
    <t>VALIDITY; ENTROPY</t>
  </si>
  <si>
    <t>Existing pre-processing methods for the prior membership degree matrix suffer from the following issues: (1) The labeling constraints for prior membership degree matrix have an effect on the expert's judgment on the prior membership degree, which easily causes the distortion problem of the prior membership degree labeling information; (2) There exists the problem of inconsistency between the filling information and the labeling information in the prior membership degree matrix to be filled in the missing values with zeros. To address these problems, we propose an unconstrained labeling idea for the prior membership degree matrix and the corresponding pre-processing method for the missing values by introducing the statistical characteristics of extreme value distribution and simultaneously apply it to the semi-supervised fuzzy clustering algorithm. More specifically, we focus on learning an expert preference value from the prior membership degree matrix and filling in the missing values with the expert preference value. Thus, we propose an unconstrained pre-processing method for the prior membership degree matrix by filling in missing values with an expert preference to keep the filling information consistent with the labeling information in the prior membership degree matrix as much as possible. In addition, we design a semi-supervised fuzzy clustering algorithm based on an unconstrained prior membership degree matrix with expert preference (SFCM-EP) by introducing the K-L divergence to improve the applicability, utility and running performance of semi-supervised fuzzy clustering algorithm. Our experimental results on the simulation dataset and the UCI datasets show the feasibility and effectiveness of the proposed pre-processing method of the prior membership degree matrix with encouraging results.</t>
  </si>
  <si>
    <t>[Xu, Shengbing; Hao, Zhifeng] Guangdong Univ Technol, Sch Comp Sci &amp; Technol, Guangzhou 51006, Guangdong, Peoples R China; [Hao, Zhifeng] Shantou Univ, Coll Sci, Dept Math, Shantou 515063, Guangdong, Peoples R China; [Xu, Shengbing; Zhu, Yuanhao; Wang, Zhenyou; Xiao, Yunhao] Guangdong Univ Technol, Sch Math &amp; Stat, Guangzhou 510520, Guangdong, Peoples R China; [Liu, Bo] Guangdong Univ Technol, Sch Automat, Guangzhou 510006, Guangdong, Peoples R China</t>
  </si>
  <si>
    <t>Guangdong University of Technology; Shantou University; Guangdong University of Technology; Guangdong University of Technology</t>
  </si>
  <si>
    <t>Xu, SB (corresponding author), Guangdong Univ Technol, Sch Comp Sci &amp; Technol, Guangzhou 51006, Guangdong, Peoples R China.</t>
  </si>
  <si>
    <t>xushengbing@gdut.edu.cn</t>
  </si>
  <si>
    <t>Hao, Zhifeng/ABB-7828-2021</t>
  </si>
  <si>
    <t>wang, zhenyou/0000-0002-5483-1681</t>
  </si>
  <si>
    <t>National Natural Science Foundation of China [61971052, 62076674]; National Key Research and Development Program of China [2020YFC2004300, 2020YFC2004302]</t>
  </si>
  <si>
    <t>National Natural Science Foundation of China(National Natural Science Foundation of China (NSFC)); National Key Research and Development Program of China(National Key Research &amp; Development Program of China)</t>
  </si>
  <si>
    <t>We would like to thank the team of the Data mining and Information Retrieval Laboratory (DMIR) for their very usefu l comments and prac- tical suggestions to markedly improve the quality of this paper. This work was supported by National Natural Science Foundation of China (Grant No.61971052 and No.62076674) , National Key Research and Development Program of China (Grant No. 2020YFC2004300 and No.2020YFC2004302) .</t>
  </si>
  <si>
    <t>C</t>
  </si>
  <si>
    <t>10.1016/j.eswa.2023.121812</t>
  </si>
  <si>
    <t>X3EL0</t>
  </si>
  <si>
    <t>WOS:001097317000001</t>
  </si>
  <si>
    <t>Gong, Y; Huynh, KT; Langeron, Y; Grall, A</t>
  </si>
  <si>
    <t>Gong, Y.; Huynh, K. T.; Langeron, Y.; Grall, A.</t>
  </si>
  <si>
    <t>Degradation index construction and learning-based prognostics for stochastically deteriorating feedback control systems</t>
  </si>
  <si>
    <t>Birnbaum-Saunders distribution; Degradation index; Feedback control system; Hidden damage; Learning-based prognostics; Remaining useful life</t>
  </si>
  <si>
    <t>MODELS; MAINTENANCE</t>
  </si>
  <si>
    <t>Degradation-based prognostics is crucial for the health management of technological systems. In this work, we are interested in the degradation index construction and remaining useful life prognostics for stochastically deteriorating feedback control systems. The main challenges reside in the lack of knowledge about the system structure and the latent internal damage, as well as in the fault tolerance nature of feedback control systems. Our solution is to consider the whole system as a black-box, and use its easy-to-observe reference input/time response output to estimate the system transfer function. The associated 71 &amp; INFIN; norm, also called maximum energy gain, is defined as a system degradation index. Since the system fault tolerance does not allow to efficiently model the index evolution by common stochastic processes, traditional prognostics based on degradation processes are no longer applicable. To remedy, we propose to fit the system remaining useful life population to the versatile Birnbaum-Saunders distribution, and adopt a segmenting piecewise polynomials algorithm to learn the mapping between the distribution parameters and degradation index from degradation and failure data of similar systems. By this way, the remaining useful life distribution of deteriorating feedback control systems can be predicted in real-time given the system input/output at an inspection time. We numerically experiment our method on a stabilization loop control device driven by proportional-integral- differential controller in an inertial platform. Numerous sensitivity results under various configurations of system characteristics and training data corroborate the outperformance of proposed degradation index and the learning-based prognostics method.</t>
  </si>
  <si>
    <t>[Gong, Y.; Huynh, K. T.; Langeron, Y.; Grall, A.] Univ Technol Troyes, Comp Sci &amp; Digital Soc Lab, Troyes, France</t>
  </si>
  <si>
    <t>Universite de Technologie de Troyes</t>
  </si>
  <si>
    <t>Huynh, KT (corresponding author), Univ Technol Troyes, Comp Sci &amp; Digital Soc Lab, Troyes, France.</t>
  </si>
  <si>
    <t>yufei.gong@utt.fr; tuan.huynh@utt.fr; yves.langeron@utt.fr; antoine.grall@utt.fr</t>
  </si>
  <si>
    <t>Gong, Yufei/KHV-8140-2024</t>
  </si>
  <si>
    <t>Grall, Antoine/0000-0002-6900-7951; Huynh, Khac Tuan/0000-0002-0886-3711; Gong, Yufei/0009-0004-8033-9457</t>
  </si>
  <si>
    <t>China Scholarship Council (CSC) [202007090025]</t>
  </si>
  <si>
    <t>China Scholarship Council (CSC)(China Scholarship Council)</t>
  </si>
  <si>
    <t>The participation of Y. Gong to this research work is partially supported by the China Scholarship Council (CSC) with grant n omicron 202007090025.</t>
  </si>
  <si>
    <t>10.1016/j.ress.2023.109460</t>
  </si>
  <si>
    <t>N1LJ2</t>
  </si>
  <si>
    <t>WOS:001034708500001</t>
  </si>
  <si>
    <t>Yan, BX; Wang, H; Ma, XB</t>
  </si>
  <si>
    <t>Yan, Bingxin; Wang, Han; Ma, Xiaobing</t>
  </si>
  <si>
    <t>Modeling left-truncated degradation data using random drift-diffusion Wiener processes</t>
  </si>
  <si>
    <t>Left-truncated degradation data; Wiener process; Random drift-diffusion; RUL prediction; Multivariate degradation</t>
  </si>
  <si>
    <t>PROGNOSTICS; VARIANCE; SYSTEMS</t>
  </si>
  <si>
    <t>For products whose performance characteristic (PC) gradually degrades with time, one usually observes its degradation levels repeatedly to predict its remaining useful life (RUL). Due to the limited storage space of the server and the low resolution of a measurement instrument, we seldom record the low-magnitude degradation values at the early degradation stage in applications. Such observation setting introduces left-truncated degradation data, in which the data collection starts later than the unit's installation. This brings sampling biases and complicates the degradation data analysis. Moreover, due to the uncontrollable factors in applications, the degradation drift and the degradation diffusion may differ among various units. Motivated by an application of high-speed train bearings, we propose a Wiener process model for the left-truncated degradation data and jointly consider the drift-diffusion random effects. Closed-form formulas are available in the expectation-maximization (EM) algorithm for estimating the model parameters. We derive the RUL distribution in closed form. We also extend the proposed model to the multivariate degradation process. The parameters are estimated with the help of the Monte Carlo EM (MCEM) algorithm. An additional laser application illustrates the performance of the proposed model in RUL prediction, which may help to design a predictive maintenance strategy</t>
  </si>
  <si>
    <t>[Yan, Bingxin; Ma, Xiaobing] Beihang Univ, Sch Reliabil &amp; Syst Engn, Beijing, Peoples R China; [Wang, Han] Beihang Univ, Sch Aeronaut Sci &amp; Engn, Beijing, Peoples R China; [Ma, Xiaobing] Beihang Univ, Sch Reliabil &amp; Syst Engn, Beijing 100191, Peoples R China</t>
  </si>
  <si>
    <t>Beihang University; Beihang University; Beihang University</t>
  </si>
  <si>
    <t>Ma, XB (corresponding author), Beihang Univ, Sch Reliabil &amp; Syst Engn, Beijing 100191, Peoples R China.</t>
  </si>
  <si>
    <t>maxiaobing@buaa.edu.cn</t>
  </si>
  <si>
    <t>闫, 冰/IXX-2475-2023</t>
  </si>
  <si>
    <t>National Natural Science Foundation of China [52075020, 72201019]; China Scholarship Council [202106020153]; Reliability and Environmental Engineering Science &amp; Technology Laboratory [6142004210105]</t>
  </si>
  <si>
    <t>National Natural Science Foundation of China(National Natural Science Foundation of China (NSFC)); China Scholarship Council(China Scholarship Council); Reliability and Environmental Engineering Science &amp; Technology Laboratory</t>
  </si>
  <si>
    <t>The work was supported by the~National Natural Science Foundation of China [72201019]; Reliability and Environmental Engineering Science &amp; Technology Laboratory [6142004210105]; National Natural Science Foundation of China [52075020]; China Scholarship Council [202106020153]</t>
  </si>
  <si>
    <t>10.1080/16843703.2023.2187011</t>
  </si>
  <si>
    <t>EA9Z2</t>
  </si>
  <si>
    <t>WOS:000950064200001</t>
  </si>
  <si>
    <t>Duan, CQ; Makis, V; Deng, C</t>
  </si>
  <si>
    <t>Duan, Chaoqun; Makis, Viliam; Deng, Chao</t>
  </si>
  <si>
    <t>A two-level Bayesian early fault detection for mechanical equipment subject to dependent failure modes</t>
  </si>
  <si>
    <t>Early fault detection; Multivariate Bayesian control policy; Prognostics and health management; Mean residual life; Dependent failure modes</t>
  </si>
  <si>
    <t>PARTIALLY OBSERVABLE SYSTEM; CONDITION-BASED MAINTENANCE; INTEGRATED FRAMEWORK; POLICY; RELIABILITY; PREDICTION</t>
  </si>
  <si>
    <t>A two-level Bayesian control approach is presented to detect early fault for mechanical equipment subject to dependent degradation and catastrophic failures. The system degradation process is modeled using a continuous time stochastic process with three states. To model the dependence of two failure modes, we assume that the joint distribution of the time to catastrophic failure and sojourn time in the healthy state follows Marshall-Olkin bivariate exponential distribution. To avoid unnecessary sampling cost and to effectively detect impending failure, a two-level control policy, where longer sampling interval is applied for healthier state and shorter sampling interval is used in severe degradation state is proposed in Bayesian control chart framework for a multivariate observation process considering dependent failure modes. The optimization problem is formulated and solved in the semi-Markov decision process (SMDP) framework. A formula for the mean residual life (MRL) is also derived using the Bayesian approach. The validation of the proposed methodologies is carried out using real multivariate degradation data obtained from a milling machine. A comparison with the multivariate Bayesian control chart with a single sampling interval and a single control limit is given, which illustrates the effectiveness of the proposed approach.</t>
  </si>
  <si>
    <t>[Duan, Chaoqun] Shanghai Univ, Sch Mechatron Engn &amp; Automat, Shanghai 200444, Peoples R China; [Duan, Chaoqun; Makis, Viliam] Univ Toronto, Dept Mech &amp; Ind Engn, 5 Kings Coll Rd, Toronto, ON M5S 3G8, Canada; [Duan, Chaoqun; Deng, Chao] Huazhong Univ Sci &amp; Technol, Sch Mech Sci &amp; Engn, Wuhan 430074, Hubei, Peoples R China</t>
  </si>
  <si>
    <t>Shanghai University; University of Toronto; Huazhong University of Science &amp; Technology</t>
  </si>
  <si>
    <t>makis@mie.utoronto.ca</t>
  </si>
  <si>
    <t>China Scholarship Council (CSC) [201506160096]; Shanghai Sail Plan for Talents Development [19YF1416000]; National Natural Science Foundation of China [51905330]; National Key Research and Development Program of China [2016YFE0121700]</t>
  </si>
  <si>
    <t>China Scholarship Council (CSC)(China Scholarship Council); Shanghai Sail Plan for Talents Development; National Natural Science Foundation of China(National Natural Science Foundation of China (NSFC)); National Key Research and Development Program of China(National Key Research &amp; Development Program of China)</t>
  </si>
  <si>
    <t>This research was supported by the China Scholarship Council (CSC) (Grant no. 201506160096), the Shanghai Sail Plan for Talents Development (Grant no. 19YF1416000), the National Natural Science Foundation of China (Grant no. 51905330), and by the National Key Research and Development Program of China (Grant no. 2016YFE0121700).</t>
  </si>
  <si>
    <t>10.1016/j.ress.2019.106676</t>
  </si>
  <si>
    <t>WOS:000501641400073</t>
  </si>
  <si>
    <t>Okafor, EG; Wang, X; Nafis, BM; Leda, A; Huitink, DR; Meng, XB</t>
  </si>
  <si>
    <t>Okafor, Ekene Gabriel; Wang, Xin; Nafis, Bahktiyar Mohammed; Leda, Andrew; Huitink, David Ryan; Meng, Xiangbo</t>
  </si>
  <si>
    <t>Reliability evaluation of a novel metal oxide-aluminum glycerol film capacitor using nonlinear degradation modeling with dependency considerations</t>
  </si>
  <si>
    <t>copula-based dependence; degradation modeling; hybrid capacitor; reliability evaluation</t>
  </si>
  <si>
    <t>Capacitors are components predominantly used to stabilize voltage, store energy, and lower electrical ripples. To improve the flexibility and capacitance of capacitors, we were motivated to develop hybrid film capacitors using two emerging thin film techniques, atomic and molecular layer deposition (ALD and MLD). Validation of its operational reliability in a power module or an electrical system is critical to facilitate its adoption. Equivalent series resistance (ESR) and capacitance are key performance characteristics (PC) of a capacitor, whose degradation path and process are nonlinear and dependent. Few studies have implemented the Wiener process (WP), to capture the dependency between the PC, based on the assumption of a normally distributed performance loss, notwithstanding that the performance loss may not be normally distributed. To address this concern as well as improve the accuracy of reliability prediction, a reliability framework is proposed. The gamma distribution is found to better fit the incremental PC degradation used in this work. The derived reliability model captured the non-linearity in the PC degradation path as well as its dependency using a selected Copula function. Akaike information criterion (AIC) was used to determine the most suitable Copula. Reliability estimation based on dependency consideration shows the least mean square error (MSE) compared to reliability estimate using a model that considers only one PC or assumes independent PCs. In addition, the hybrid capacitor was compared with an aluminum oxide dielectric layer capacitor, and the result was discussed.</t>
  </si>
  <si>
    <t>[Okafor, Ekene Gabriel; Wang, Xin; Nafis, Bahktiyar Mohammed; Leda, Andrew; Huitink, David Ryan; Meng, Xiangbo] Univ Arkansas, Dept Mech Engn, Fayetteville, AR 72701 USA</t>
  </si>
  <si>
    <t>University of Arkansas System; University of Arkansas Fayetteville</t>
  </si>
  <si>
    <t>Okafor, EG; Huitink, DR; Meng, XB (corresponding author), Univ Arkansas, Dept Mech Engn, Fayetteville, AR 72701 USA.</t>
  </si>
  <si>
    <t>okafor@uark.edu; dhuitin@uark.edu; xbmeng@uark.edu</t>
  </si>
  <si>
    <t>Okafor, Ekene/AAQ-2678-2021</t>
  </si>
  <si>
    <t>Engineering Research and Innovation Seed Funding; Ahmadu Bello University Nigeria; Nanjing University of Aeronautics and Astronautics, China; University of Arkansas Mechanical Engineering Department; Air Force Institute of Technology, Nigeria; His research interest includes system safety and reliability, maintenance, electric vehicle design, thermal management, optimization</t>
  </si>
  <si>
    <t>Engineering Research and Innovation Seed Funding; Ahmadu Bello University Nigeria; Nanjing University of Aeronautics and Astronautics, China(Nanjing University of Aeronautics &amp; Astronautics); University of Arkansas Mechanical Engineering Department; Air Force Institute of Technology, Nigeria; His research interest includes system safety and reliability, maintenance, electric vehicle design, thermal management, optimization</t>
  </si>
  <si>
    <t>Okafor Ekene Gabriel received B.Eng. and M.S. degrees in metallurgical engineering from Ahmadu Bello University Nigeria in 2004 and 2009, respectively. He also received a Ph.D. in vehicle operation engineering from the Nanjing University of Aeronautics and Astronautics, China 2012. Prior to joining the University of Arkansas Mechanical Engineering Department as a Research Scholar, he worked in many organizations, which include the National Research Institute for Chemical Technology, Nigeria as a Principal Research Officer from 2008 to 2014, as well as the Air Force Institute of Technology, Nigeria as the Director Center for Innovation and Research from 2019 to 2020. His research interest includes system safety and reliability, maintenance, electric vehicle design, thermal management, optimization, and material development.</t>
  </si>
  <si>
    <t>2023 NOV 20</t>
  </si>
  <si>
    <t>10.1080/08982112.2023.2285298</t>
  </si>
  <si>
    <t>Z3RN1</t>
  </si>
  <si>
    <t>WOS:001111280100001</t>
  </si>
  <si>
    <t>Liu, JM; Li, PZ; Liu, XW</t>
  </si>
  <si>
    <t>Liu, Jieming; Li, Peizhao; Liu, Xiaowei</t>
  </si>
  <si>
    <t>Patent lifetime prediction using LightGBM with a customized loss</t>
  </si>
  <si>
    <t>Machine learning; Patent lifetime; Prediction; LightGBM; Data science</t>
  </si>
  <si>
    <t>INDICATORS</t>
  </si>
  <si>
    <t>Patent lifespan is commonly used as a quantitative measure in patent assessments. Patent holders maintain exclusive rights by paying significant maintenance fees, suggesting a strong correlation between a patent's lifespan and its business potential or economic value. Therefore, accurately forecasting the duration of a patent is of great significance. This study introduces a highly effective method that combines LightGBM, a sophisticated machine learning algorithm, with a customized loss function derived from Focal Loss. The purpose of this approach is to accurately predict the probability of a patent remaining valid until its maximum expiration date. This research differs from previous studies that have examined the various stages and phases of patents. Instead, it assesses the commercial viability of individual patents by considering their lifespan. The evaluation process utilizes a dataset consisting of 200,000 patents. The experimental results show a significant improvement in the performance of the model by combining Focal Loss with LightGBM. By incorporating Focal Loss into LightGBM, its ability to give priority to difficult instances during training is enhanced, resulting in an overall improvement in performance. This targeted approach enhances the model's ability to distinguish between different samples and its ability to recover from challenges by giving priority to difficult samples. As a result, it improves the model's accuracy in making predictions and its ability to apply those predictions to new data.</t>
  </si>
  <si>
    <t>[Liu, Jieming] Wuhan Univ Technol, Sch Law Humanities &amp; Sociol, Wuhan, Hubei, Peoples R China; [Li, Peizhao] Wuhan Univ Technol, Sch Management, Wuhan, Hubei, Peoples R China; [Liu, Xiaowei] Wuhan Univ Technol, Hubei Intellectual Property Res Ctr, Wuhan, Hubei, Peoples R China</t>
  </si>
  <si>
    <t>Wuhan University of Technology; Wuhan University of Technology; Wuhan University of Technology</t>
  </si>
  <si>
    <t>Liu, XW (corresponding author), Wuhan Univ Technol, Hubei Intellectual Property Res Ctr, Wuhan, Hubei, Peoples R China.</t>
  </si>
  <si>
    <t>wutipteam@126.com</t>
  </si>
  <si>
    <t>Liu, Xiaowei/HPG-4657-2023</t>
  </si>
  <si>
    <t>MAY 10</t>
  </si>
  <si>
    <t>e2044</t>
  </si>
  <si>
    <t>10.7717/peerj-cs.2044</t>
  </si>
  <si>
    <t>RC1G6</t>
  </si>
  <si>
    <t>WOS:001225375600001</t>
  </si>
  <si>
    <t>Hu, JW; Sun, QZ; Ye, ZS; Ling, XL</t>
  </si>
  <si>
    <t>Hu, Jiawen; Sun, Qiuzhuang; Ye, Zhi-Sheng; Ling, Xiaoliang</t>
  </si>
  <si>
    <t>Sequential degradation-based burn-in test with multiple periodic inspections</t>
  </si>
  <si>
    <t>burn-in; degradation; multiple inspections; Wiener process; partially observed Markov decision process</t>
  </si>
  <si>
    <t>MAINTENANCE POLICY; SYSTEMS SUBJECT; OPTIMAL-DESIGN; MODEL</t>
  </si>
  <si>
    <t>Burn-in has been proven effective in identifying and removing defective products before they are delivered to customers. Most existing burn-in models adopt a one-shot scheme, which may not be sufficient enough for identification. Borrowing the idea from sequential inspections for remaining useful life prediction and accelerated lifetime test, this study proposes a sequential degradation-based burn-in model with multiple periodic inspections. At each inspection epoch, the posterior probability that a product belongs to a normal one is updated with the inspected degradation level. Based on the degradation level and the updated posterior probability, a product can be disposed, put into field use, or kept in the test till the next inspection epoch. We cast the problem into a partially observed Markov decision process to minimize the expected total burn-in cost of a product, and derive some interesting structures of the optimal policy. Then, algorithms are provided to find the joint optimal inspection period and number of inspections in steps. A numerical study is also provided to illustrate the effectiveness of our proposed model.</t>
  </si>
  <si>
    <t>[Hu, Jiawen; Sun, Qiuzhuang; Ye, Zhi-Sheng] Natl Univ Singapore, Dept Ind Syst Engn &amp; Management, Singapore 119077, Singapore; [Hu, Jiawen] Univ Elect Sci &amp; Technol China, Sch Aeronaut &amp; Astronaut, Chengdu 611731, Peoples R China; [Sun, Qiuzhuang; Ye, Zhi-Sheng] Natl Univ Singapore, Suzhou Res Inst, Suzhou 215000, Peoples R China; [Ling, Xiaoliang] Hebei Univ Sci &amp; Technol, Coll Sci, Shijiazhuang 050018, Hebei, Peoples R China</t>
  </si>
  <si>
    <t>National University of Singapore; University of Electronic Science &amp; Technology of China; National University of Singapore; Hebei University of Science &amp; Technology</t>
  </si>
  <si>
    <t>Sun, QZ (corresponding author), Natl Univ Singapore, Dept Ind Syst Engn &amp; Management, Singapore 119077, Singapore.;Sun, QZ (corresponding author), Natl Univ Singapore, Suzhou Res Inst, Suzhou 215000, Peoples R China.</t>
  </si>
  <si>
    <t>qiuzhuang.sun@u.nus.edu</t>
  </si>
  <si>
    <t>Ye, Zhisheng/F-6635-2011; Sun, Qiuzhuang/N-8864-2019</t>
  </si>
  <si>
    <t>National Natural Science Foundation of China [71801168, 72071138, 72071071]; Young Talent Support Plan of Hebei Province</t>
  </si>
  <si>
    <t>National Natural Science Foundation of China(National Natural Science Foundation of China (NSFC)); Young Talent Support Plan of Hebei Province</t>
  </si>
  <si>
    <t>The research is supported by the National Natural Science Foundation of China (Grant Nos. 71801168, 72071138 and 72071071), and the Young Talent Support Plan of Hebei Province.</t>
  </si>
  <si>
    <t>10.1007/s42524-021-0166-0</t>
  </si>
  <si>
    <t>WS2UI</t>
  </si>
  <si>
    <t>WOS:000683645900001</t>
  </si>
  <si>
    <t>Lin, S; Jia, LM; Zhang, HR; Zhang, PZ</t>
  </si>
  <si>
    <t>Lin, Shuai; Jia, Limin; Zhang, Hengrun; Zhang, Pengzhu</t>
  </si>
  <si>
    <t>Reliability of high-speed electric multiple units in terms of the expanded multi-state flow network</t>
  </si>
  <si>
    <t>System reliability; Multi -state flow network (MFN); Multi-layer; Multi-commodity; Multi -source; High -speed electric multiple units (HSEMUs)</t>
  </si>
  <si>
    <t>RISK-ASSESSMENT; SYSTEMS; BOGIE</t>
  </si>
  <si>
    <t>This paper proposes a new reliability assessment method for a high-speed electric multiple unit (HSEMU) system based on the expanded multi-state flow network. An HSEMU system is abstracted as a multi-layer multi-source multi-commodity multi-state flow network (M-LSCSFN), where minimum maintenance units (MMUs) and three types of connections form nodes and edges in different layers, and functional characteristics are regarded as network parameters. In the M-LSCSFN, multi layers describe different types of connections and their relation-ships; multi-source and multi-commodity reflect system features; whereas multi-state flow indicates the dynamic realization of system functions. Considering that an HSEMU system can be divided into multiple independent holistic functions, each holistic function has a corresponding sub-M-LSCSFN, and each layer of this sub-M-LSCSFN is a multi-source multi-commodity multi-state flow network (M-SCSFN). In order to assess system reliability, layer reliability (i.e., the M-SCSFN reliability) is first defined as the probability that the amounts of each commodity transmitted successfully from source nodes to sink nodes will not be less than the required demands. A corresponding algorithm is proposed to calculate layer reliability in terms of minimal paths (MPs) using the quick inclusion-exclusion technique (QIE). The sub-M-LSCSFN reliability is subsequently calculated based on the layer reliability and the conditional relationships among different layers. Based on these, the HSEMU system reliability is defined as the ability of a system to complete specified multiple functions under stated conditions for a specified period of time, and can be evaluated using the reliability of sub-M-LSCSFNs via the proposed operator. Finally, a case study of the ???Fuxing??? HSEMU system is analyzed to demonstrate the applicability of the proposed method and algorithm the effectiveness of the proposed method is demonstrated in an HSEMU system reliability assessment case study.</t>
  </si>
  <si>
    <t>[Lin, Shuai] Shanghai Inst Technol, Sch Econ &amp; Management, Shanghai 200235, Peoples R China; [Lin, Shuai; Zhang, Pengzhu] Shanghai Jiao Tong Univ, Antai Coll Econ &amp; Management, Shanghai 200030, Peoples R China; [Zhang, Hengrun] George Mason Univ, Coll Engn &amp; Comp, Fairfax, VA 22030 USA; [Jia, Limin] Beijing Jiaotong Univ, State Key Lab Rail Traff Control &amp; Safety, Beijing 100044, Peoples R China</t>
  </si>
  <si>
    <t>Shanghai Institute of Technology; Shanghai Jiao Tong University; George Mason University; Beijing Jiaotong University</t>
  </si>
  <si>
    <t>Zhang, HR (corresponding author), George Mason Univ, Coll Engn &amp; Comp, Fairfax, VA 22030 USA.</t>
  </si>
  <si>
    <t>Youth Program of the National Natural Science Foundation of China [71901019]</t>
  </si>
  <si>
    <t>Youth Program of the National Natural Science Foundation of China</t>
  </si>
  <si>
    <t>This work was supported by the Youth Program of the National Natural Science Foundation of China (71901019) .</t>
  </si>
  <si>
    <t>10.1016/j.ress.2022.108608</t>
  </si>
  <si>
    <t>WOS:000809316300011</t>
  </si>
  <si>
    <t>Lin, YK; Huang, CF; Lin, JS; Li, SY</t>
  </si>
  <si>
    <t>Lin, Yi-Kuei; Huang, Cheng-Fu; Lin, Jsen-Shung; Li, Shin-Ying</t>
  </si>
  <si>
    <t>EVALUATION OF SYSTEM RELIABILITY FOR A FREEWAY SYSTEM WITH STOCHASTIC SPEED</t>
  </si>
  <si>
    <t>7th Asia-Pacific International Symposium on Advanced Reliability and Maintenance Modeling (APARM)</t>
  </si>
  <si>
    <t>Seoul, SOUTH KOREA</t>
  </si>
  <si>
    <t>system reliability; stochastic-flow freeway network (SFFN); stochastic speed; traffic flow; system time</t>
  </si>
  <si>
    <t>TRAVEL-TIME RELIABILITY; FLOW NETWORK; ROAD NETWORK; ALGORITHM; DESIGN</t>
  </si>
  <si>
    <t>The purpose of this study is to evaluate the service performance of a freeway system, in which the speed on each section is stochastic owing to user behavior, accidents, tunnels, road gradient, and road repairs. A stochastic-flow freeway network (SFFN) is constructed to model the freeway system with stochastic speed. System reliability is defined as the probability of a certain number of vehicles in a freeway system completing their journey smoothly within a restricted time. Two SFFN models were built to describe the relationships among traffic flow, system time and stochastic speed. After obtaining the probability distribution of speed by collecting historical data, two algorithms with respect to different models were proposed to generate all minimal speed vectors (MSVs). The system reliability can be subsequently computed in terms of MSVs. The Taiwan freeway system was considered as a case study to demonstrate the effectiveness of the proposed models and algorithms.</t>
  </si>
  <si>
    <t>[Lin, Yi-Kuei] Natl Chiao Tung Univ, Dept Ind Engn &amp; Management, Hsinchu, Taiwan; [Huang, Cheng-Fu] Feng Chia Univ, Dept Business Adm, Taichung, Taiwan; [Lin, Jsen-Shung] Cent Police Univ, Dept Informat Management, Taoyuan, Taiwan; [Li, Shin-Ying] Natl Taiwan Univ Sci &amp; Technol, Dept Ind Management, Taipei, Taiwan</t>
  </si>
  <si>
    <t>National Yang Ming Chiao Tung University; Feng Chia University; National Taiwan University of Science &amp; Technology</t>
  </si>
  <si>
    <t>Huang, CF (corresponding author), Feng Chia Univ, Dept Business Adm, Taichung, Taiwan.</t>
  </si>
  <si>
    <t>Lin, Yi-Kuei/N-8568-2013; Huang, Cheng-Fu/Q-4329-2018</t>
  </si>
  <si>
    <t>Huang, Cheng-Fu/0000-0002-9043-4675</t>
  </si>
  <si>
    <t>Ministry of Science and Technology (MOST) of Taiwan, ROC [MOST 107-2218-E-035-011-MY2, MOST 105-2221-E-009-188-MY3]</t>
  </si>
  <si>
    <t>This research was supported in part by the Ministry of Science and Technology (MOST) of Taiwan, ROC under grants MOST 107-2218-E-035-011-MY2 and MOST 105-2221-E-009-188-MY3.</t>
  </si>
  <si>
    <t>HY7HU</t>
  </si>
  <si>
    <t>WOS:000468305800002</t>
  </si>
  <si>
    <t>Chatenet, Q; Remy, E; Gagnon, M; Fouladirad, M; Tahan, AS</t>
  </si>
  <si>
    <t>Chatenet, Q.; Remy, E.; Gagnon, M.; Fouladirad, M.; Tahan, A. S.</t>
  </si>
  <si>
    <t>Modeling cavitation erosion using non-homogeneous gamma process</t>
  </si>
  <si>
    <t>Degradation modeling; Gamma process; Bootstrap; Estimation uncertainty; Delta method; Erosive cavitation; Lifetime estimation</t>
  </si>
  <si>
    <t>CONDITION-BASED MAINTENANCE; INVERSE GAUSSIAN PROCESS; BOOTSTRAP METHODS; FRANCIS TURBINE; DEGRADATION; POLICIES; TIME; WEAR</t>
  </si>
  <si>
    <t>Although hydroelectric generating units are highly reliable, being able to accurately model their degradation level represents a real asset in industrial and financial risk management. This paper presents and models a common degradation phenomenon observed on hydraulic Francis turbine runners: erosive cavitation. It gives an application of stochastic processes for degradation modeling framework in presence of real laboratory experimental data. For degradation modeling, a non homogeneous gamma process is proposed. The model calibration is explained and asymptotic confidence intervals for the model estimate are assessed. Because of the limited size of available dataset, bootstrap techniques are also used to evaluate statistical estimation uncertainties on the model parameters. These uncertainties on the degradation model are then propagated in order to analyze how they impact the distribution of the system lifetime, characterized by the hitting time for a given degradation threshold.</t>
  </si>
  <si>
    <t>[Chatenet, Q.; Tahan, A. S.] Ecole Technol Super, 1100 Rue Notre Dame Ouest, Montreal, PQ H3C 1K3, Canada; [Remy, E.] EDF R&amp;D, 6 Quai Watier, F-78401 Chatou, France; [Gagnon, M.] Inst Rech Hydro Quebec, 1800 Blvd Lionel Boulet, Varennes, PQ J3X 1S1, Canada; [Fouladirad, M.] Univ Technol Troyes, 12 Rue Marie Curie, F-10300 Troyes, France</t>
  </si>
  <si>
    <t>University of Quebec; Ecole de Technologie Superieure - Canada; Electricite de France (EDF); Hydro-Quebec; Universite de Technologie de Troyes</t>
  </si>
  <si>
    <t>Fouladirad, M (corresponding author), Univ Technol Troyes, 12 Rue Marie Curie, F-10300 Troyes, France.</t>
  </si>
  <si>
    <t>quentin.chatenet.1@etsmtl.net</t>
  </si>
  <si>
    <t>fouladirad, mitra/0000-0002-0482-5347; REMY, Emmanuel/0000-0003-3423-5919</t>
  </si>
  <si>
    <t>MITACS</t>
  </si>
  <si>
    <t>The work was supported by MITACS.</t>
  </si>
  <si>
    <t>10.1016/j.ress.2021.107671</t>
  </si>
  <si>
    <t>WOS:000663910500015</t>
  </si>
  <si>
    <t>Baptista, ML; Henriques, EMP; Goebel, K</t>
  </si>
  <si>
    <t>Baptista, Marcia Lourenco; Henriques, Elsa M. P.; Goebel, Kai</t>
  </si>
  <si>
    <t>A self-organizing map and a normalizing multi-layer perceptron approach to baselining in prognostics under dynamic regimes</t>
  </si>
  <si>
    <t>NEUROCOMPUTING</t>
  </si>
  <si>
    <t>Self-organizing map; Normalizing multi-layer perceptron; Prognostics; Baselining; Turbofan sensor data</t>
  </si>
  <si>
    <t>VARYING ENVIRONMENTAL-CONDITIONS; STRUCTURAL DAMAGE DIAGNOSIS; FAULT-DIAGNOSIS; MONITORING DATA; TEMPERATURE; MACHINERY; WORKING</t>
  </si>
  <si>
    <t>When the influence of changing operational and environmental conditions, such as temperature and external loading, is not factored out from sensor data it can be difficult to observe a clear deterioration path. This can significantly affect the task of engineering prognostics and other health management oper-ations. To address this problem of dynamic operating regimes, it is necessary to baseline the data, typi-cally by first finding the operating regimes and then normalizing the data within each regime. This paper describes a baselining solution based on neural networks. A self-organizing map is used to identify the regimes, and a multi-layer perceptron is used to normalize the sensor data according to the detected regimes. Tests are performed on public datasets from a turbofan simulator. The approach can produce similar results to classical methods without the need to specify in advance the number of regimes and the explicit computation of the statistical properties of a hold-out dataset. Importantly, the techniques can be integrated into a deep learning system to perform prognostics in a single pass. (c) 2021 The Author(s). Published by Elsevier B.V. This is an open access article under the CC BY license (http://creativecommons.org/licenses/by/4.0/).</t>
  </si>
  <si>
    <t>[Baptista, Marcia Lourenco] Delft Univ Technol, Fac Aerosp Engn, Air Transport &amp; Operat, Delft, Netherlands; [Henriques, Elsa M. P.] Univ Lisbon, Inst Super Tecn, IDMEC, LAETA, Av Rovisco Pais 1, P-1049001 Lisbon, Portugal; [Goebel, Kai] Lulea Tech Univ, Div Operat &amp; Maintenance Engn, Lulea, Sweden; [Goebel, Kai] Palo Alto Res Ctr, Palo Alto, CA 94304 USA</t>
  </si>
  <si>
    <t>Delft University of Technology; Universidade de Lisboa; Lulea University of Technology</t>
  </si>
  <si>
    <t>Baptista, ML (corresponding author), Delft Univ Technol, Fac Aerosp Engn, Air Transport &amp; Operat, Delft, Netherlands.</t>
  </si>
  <si>
    <t>m.lbaptista@tudelft.nl; elsa.henriques@flad.pt; kai.goebel@ltu.se</t>
  </si>
  <si>
    <t>Henriques, Elsa/B-3756-2013; Baptista, Marcia/HHS-9125-2022</t>
  </si>
  <si>
    <t>Henriques, Elsa/0000-0002-4947-101X; Baptista, Marcia/0000-0001-5168-2767</t>
  </si>
  <si>
    <t>0925-2312</t>
  </si>
  <si>
    <t>1872-8286</t>
  </si>
  <si>
    <t>Neurocomputing</t>
  </si>
  <si>
    <t>OCT 7</t>
  </si>
  <si>
    <t>10.1016/j.neucom.2021.05.031</t>
  </si>
  <si>
    <t>UA2MK</t>
  </si>
  <si>
    <t>WOS:000684998100007</t>
  </si>
  <si>
    <t>Masir, RN; Ataei, M; Sereshki, F; Qarahasanlou, AN</t>
  </si>
  <si>
    <t>Masir, Raziye Norouzi; Ataei, Mohammad; Sereshki, Farhang; Qarahasanlou, Ali Nouri</t>
  </si>
  <si>
    <t>Availability simulation and analysis of armored face conveyor machine in longwall mining</t>
  </si>
  <si>
    <t>RUDARSKO-GEOLOSKO-NAFTNI ZBORNIK</t>
  </si>
  <si>
    <t>Armored Face Conveyor (AFC); reliability; maintainability; Availability Simulation</t>
  </si>
  <si>
    <t>JAJARM-BAUXITE MINE; RELIABILITY-ANALYSIS; MAINTAINABILITY ANALYSIS; SYSTEM; MAINTENANCE; ALLOCATION</t>
  </si>
  <si>
    <t>Since coal mining production systems are very complex, repairing equipment is expensive. If a system failure occurs, it will cause disturbances such as inoperable equipment, reduced operating time, increased production costs, and reduced equipment performance. Therefore, it is necessary to consider the availability of the coal mining industry more than ever. For this purpose, the Armored Face Conveyor (AFC) machine failure data was gathered over a period of 29 months from the Tabas Coal Mine. Descriptive statistics, trends, and serial correlation tests of the data were calculated. Then, the system's mean and point availability were simulated. Based on the results, the mean availability (all events) and point availability (all events) at 360000 h are 96% and 95%, respectively. The mean time to first failure (MTTFF) of the AFC machine was about 23.61 h. The ReliaSoft Failure Criticality Index, ReliaSoft Downing Event Criticality Index, and ReliaSoft Downtime Criticality Index electrical equipping have the largest effect, whereas the main drive subsystem is the least important. Analysis showed that availability has a direct correlation to activity management and improvements in the quality, efficiency, and the product extraction.</t>
  </si>
  <si>
    <t>[Masir, Raziye Norouzi; Ataei, Mohammad; Sereshki, Farhang] Shahrood Univ Technol, Fac Min Petr &amp; Geophys Engn, Shahrood, Iran; [Qarahasanlou, Ali Nouri] Imam Khomeini Int Univ, Fac Tech &amp; Engn, Qazvin, Iran</t>
  </si>
  <si>
    <t>Shahrood University of Technology; Imam Khomeini International University</t>
  </si>
  <si>
    <t>Masir, RN (corresponding author), Shahrood Univ Technol, Fac Min Petr &amp; Geophys Engn, Shahrood, Iran.</t>
  </si>
  <si>
    <t>Raziye_Norouzi@shahroodut.ac.ir; Ataei@shahroodut.ac.ir; farhang-sereshki@shahroodut.ac.ir; Ali_Nouri@eng.ikiu.ac.ir</t>
  </si>
  <si>
    <t>UNIV ZAGREB, FAC MINING, GEOLOGY &amp; PETROLEUM ENGINEERING</t>
  </si>
  <si>
    <t>ZAGREB</t>
  </si>
  <si>
    <t>PIEROTTIJEVA 6, ZAGREB, 10000, CROATIA</t>
  </si>
  <si>
    <t>0353-4529</t>
  </si>
  <si>
    <t>1849-0409</t>
  </si>
  <si>
    <t>RUD-GEOL-NAFT ZB</t>
  </si>
  <si>
    <t>Rud.-Geol.-Naft. Zb.</t>
  </si>
  <si>
    <t>10.17794/rgn.2021.2.7</t>
  </si>
  <si>
    <t>Geosciences, Multidisciplinary; Mining &amp; Mineral Processing</t>
  </si>
  <si>
    <t>Geology; Mining &amp; Mineral Processing</t>
  </si>
  <si>
    <t>SV5BJ</t>
  </si>
  <si>
    <t>WOS:000663835500007</t>
  </si>
  <si>
    <t>Mizutani, S; Zhao, XF; Nakagawa, T</t>
  </si>
  <si>
    <t>Mizutani, Satoshi; Zhao, Xufeng; Nakagawa, Toshio</t>
  </si>
  <si>
    <t>Age and periodic replacement policies with two failure modes in general replacement models</t>
  </si>
  <si>
    <t>Age replacement; Minimal repair; Replacement last; Random replacement; Hazard rate</t>
  </si>
  <si>
    <t>MAINTENANCE; 1ST</t>
  </si>
  <si>
    <t>This paper studies age and periodic replacement policies in general replacement models by considering major failures and minor failures, meanwhile, random replacement policies are applied as alternatives for regular policies into replacement first and last models. We obtain the expected cost rates for each planned replacement policies. Optimal regular replacement and random replacement policies are discussed and compared from the point of cost in analytical ways. Furthermore, exponential minor failure, exponential major failure, and Weibull major failure with an increasing hazard rate of minor failure are illustrated in numerical analyses.</t>
  </si>
  <si>
    <t>[Mizutani, Satoshi; Nakagawa, Toshio] Aichi Inst Technol, Dept Business Adm, Toyota 4700392, Japan; [Zhao, Xufeng] Nanjing Univ Aeronaut &amp; Astronaut, Coll Econ &amp; Management, Nanjing, Peoples R China</t>
  </si>
  <si>
    <t>Zhao, XF (corresponding author), Nanjing Univ Aeronaut &amp; Astronaut, Coll Econ &amp; Management, Nanjing, Peoples R China.</t>
  </si>
  <si>
    <t>Mizutani, Satoshi/JFS-6475-2023</t>
  </si>
  <si>
    <t>Mizutani, Satoshi/0000-0001-8982-7407</t>
  </si>
  <si>
    <t>Japan Society for the Promotion of Science KAKENHI [18K01713, 20K04992]; National Natural Science Foundation of China [71801126]; Natural Science Foundation of Jiangsu Province [BK20180412]; Aeronautical Science Foundation of China [2018ZG52080]; Grants-in-Aid for Scientific Research [18K01713, 20K04992] Funding Source: KAKEN</t>
  </si>
  <si>
    <t>Japan Society for the Promotion of Science KAKENHI(Ministry of Education, Culture, Sports, Science and Technology, Japan (MEXT)Japan Society for the Promotion of ScienceGrants-in-Aid for Scientific Research (KAKENHI)); National Natural Science Foundation of China(National Natural Science Foundation of China (NSFC)); Natural Science Foundation of Jiangsu Province(Natural Science Foundation of Jiangsu Province); Aeronautical Science Foundation of China; Grants-in-Aid for Scientific Research(Ministry of Education, Culture, Sports, Science and Technology, Japan (MEXT)Japan Society for the Promotion of ScienceGrants-in-Aid for Scientific Research (KAKENHI))</t>
  </si>
  <si>
    <t>This work is supported by Japan Society for the Promotion of Science KAKENHI (NO. 18K01713, NO. 20K04992), National Natural Science Foundation of China (NO. 71801126), Natural Science Foundation of Jiangsu Province (NO. BK20180412), Aeronautical Science Foundation of China (NO. 2018ZG52080).</t>
  </si>
  <si>
    <t>10.1016/j.ress.2021.107754</t>
  </si>
  <si>
    <t>WOS:000663912500033</t>
  </si>
  <si>
    <t>Kang, FM; Cui, LR</t>
  </si>
  <si>
    <t>Kang, Fengming; Cui, Lirong</t>
  </si>
  <si>
    <t>Reliability analysis for systems with self-healing mechanism under two different types of cumulative shocks</t>
  </si>
  <si>
    <t>Self-healing mechanism; cumulative shocks; damage effect; system reliability; lifetime</t>
  </si>
  <si>
    <t>COMPETING FAILURE PROCESSES; IMPERFECT PREVENTIVE MAINTENANCE; REPLACEMENT POLICY; 2-UNIT SYSTEM; DAMAGE MODEL; SUBJECT; DEGRADATION; DATABASE</t>
  </si>
  <si>
    <t>System with self-healing mechanism has been successfully applied in many practical engineering fields. When we discuss the reliability performance of system subject to shocks, cumulative shocks have the greatest impact on most systems fields such as high-speed railway systems or civil structural components. In the present paper, we deal with two different types of cumulative shock models in discrete time with self-healing effect. We study a system with self-healing mechanism from a reliability point of view under these two shock models. The self-healing system will fail when the cumulative damage effect exceeds the given threshold. In the first model, there are shock events at instant of time i (i = 1, 2, ...), while in the second model at some time point there was no shock occurring event. Along with the work in this article, the system reliability formulas and the means and variances of their lifetimes are given under two different types shock models proposed, then simulation methods are adopted to analyze the reliability of the system for the second cumulative model. Finally, numerical examples and future researches are discussed.</t>
  </si>
  <si>
    <t>[Kang, Fengming; Cui, Lirong] Beijing Inst Technol, Sch Management &amp; Econ, Beijing, Peoples R China</t>
  </si>
  <si>
    <t>Kang, FM (corresponding author), Beijing Inst Technol, Sch Management &amp; Econ, Beijing, Peoples R China.</t>
  </si>
  <si>
    <t>kangfengm@163.com</t>
  </si>
  <si>
    <t>National Natural Science Foundation of China [71871021, 71631001]</t>
  </si>
  <si>
    <t>This work is supported by the National Natural Science Foundation of China under grants 71871021 and 71631001.</t>
  </si>
  <si>
    <t>10.1080/16843703.2021.2021616</t>
  </si>
  <si>
    <t>WOS:000743795400001</t>
  </si>
  <si>
    <t>Wang, FF</t>
  </si>
  <si>
    <t>Wang, Fong Fan</t>
  </si>
  <si>
    <t>Joint replacement and production control for a queueing system with different failures</t>
  </si>
  <si>
    <t>JOURNAL OF INDUSTRIAL AND PRODUCTION ENGINEERING</t>
  </si>
  <si>
    <t>Minimal repair; queueing; Laplace transform; probability generating function; matrix geometric method</t>
  </si>
  <si>
    <t>SERVICE SYSTEMS; MAINTENANCE; OPTIMIZATION; QUALITY</t>
  </si>
  <si>
    <t>We propose a new integrated queueing-inventory and reliability model. First, we obtained time-dependent performance measures by using the Laplace transform method. Then, we derived stationary performance measures by using alternative solution methods, including the probability generating function and matrix geometric method. Optimization procedures were developed for both make-to-order and make-to-stock cases. Performance evaluation of the derived time-dependent and stationary performance measures were reviewed first. Then we compared joint replacement and production-inventory control with separate optimization for respective production modes. Finally, the impact of deteriorated services under different demand rates and parameter settings was investigated. Prior studies are neglecting the mutual interaction between production and reliability. This study contributes to filling the gap. In our proposed numerical example, a cost reduction of more than one-third was achieved by joint optimization. The result shows that decision-maker should make his decisions in an integrated manner otherwise the price paid may be significant.</t>
  </si>
  <si>
    <t>[Wang, Fong Fan] Hsiuping Univ Sci &amp; Technol, Ind Engn &amp; Management, Taichung, Taiwan</t>
  </si>
  <si>
    <t>Wang, FF (corresponding author), Hsiuping Univ Sci &amp; Technol, Ind Engn &amp; Management, Taichung, Taiwan.</t>
  </si>
  <si>
    <t>frank@hust.edu.tw</t>
  </si>
  <si>
    <t>wang, fong-fan/AGO-3361-2022</t>
  </si>
  <si>
    <t>Ministry of Science and Technology, Taiwan [103-2622-E-164-001-CC3]</t>
  </si>
  <si>
    <t>Ministry of Science and Technology, Taiwan(Ministry of Science and Technology, Taiwan)</t>
  </si>
  <si>
    <t>This work was supported by the Ministry of Science and Technology, Taiwan [103-2622-E-164-001-CC3].</t>
  </si>
  <si>
    <t>2168-1015</t>
  </si>
  <si>
    <t>2168-1023</t>
  </si>
  <si>
    <t>J IND PROD ENG</t>
  </si>
  <si>
    <t>J. IND. PROD. ENG.</t>
  </si>
  <si>
    <t>10.1080/21681015.2021.1969456</t>
  </si>
  <si>
    <t>ZT7ZF</t>
  </si>
  <si>
    <t>WOS:000690862600001</t>
  </si>
  <si>
    <t>Cao, YS; Liu, SF; Fang, ZG; Dong, WJ</t>
  </si>
  <si>
    <t>Cao, Yingsai; Liu, Sifeng; Fang, Zhigeng; Dong, Wenjie</t>
  </si>
  <si>
    <t>Modeling ageing effects for multi-state systems with multiple components subject to competing and dependent failure processes</t>
  </si>
  <si>
    <t>Ageing effect; Multi-state system; Multiple multi-state components; Reliability modeling; Semi-Markov; Competing failure processes</t>
  </si>
  <si>
    <t>RELIABILITY; DEGRADATION; MAINTENANCE; DISTRIBUTIONS; SHOCKS</t>
  </si>
  <si>
    <t>This paper explores how the ageing process affects the two dependent and competing failure processes in the context of multi-state systems with multiple components. Ageing process is assumed to result in the decline of the product's intrinsic capacity to resist the exposed stresses. The state residence time is explicitly modeled with the consideration of the potential transition gap (the total number of states that the state transition process needs to stride across) and the cumulative ageing probability which is a measure of the likelihood that the product strength degrades. The random shock is assumed to cause abrupt changes in the one-step transition probabilities. The damage size is jointly determined by the shock magnitude and the cumulative ageing probability. Reliability analysis is conducted based on the continuous-time semi-Markov chain. Reliability functions for the degradation, abrupt failure, and competing failure processes are obtained respectively. An illustrative example of a multi-state transformer with four multi-state components is studied to demonstrate how the proposed method can be applied to the engineering practice.</t>
  </si>
  <si>
    <t>[Cao, Yingsai] Jiangsu Univ, Coll Management, Zhenjiang 212013, Jiangsu, Peoples R China; [Liu, Sifeng; Fang, Zhigeng; Dong, Wenjie] Nanjing Univ Aeronaut &amp; Astronaut, Coll Econ &amp; Management, Nanjing 210016, Jiangsu, Peoples R China</t>
  </si>
  <si>
    <t>Jiangsu University; Nanjing University of Aeronautics &amp; Astronautics</t>
  </si>
  <si>
    <t>Cao, YS (corresponding author), Jiangsu Univ, Coll Management, Zhenjiang 212013, Jiangsu, Peoples R China.</t>
  </si>
  <si>
    <t>caoys2016@nuaa.edu.cn; sfliu@nuaa.edu.cn; zhigengfang@163.com; dongwenjie@nuaa.edu.cn</t>
  </si>
  <si>
    <t>China Scholarship Council [201806830056]; National Natural Science Foundation of China [71671091, 71701098, 71801127]; Fundation of Basic Scientific Researches of Central Universities [NP2019104, NC 2019003]</t>
  </si>
  <si>
    <t>China Scholarship Council(China Scholarship Council); National Natural Science Foundation of China(National Natural Science Foundation of China (NSFC)); Fundation of Basic Scientific Researches of Central Universities</t>
  </si>
  <si>
    <t>The authors gratefully acknowledge the financial supports for this research from the China Scholarship Council (No. 201806830056), the National Natural Science Foundation of China (Nos. 71671091, 71701098 and 71801127) Fundation of Basic Scientific Researches of Central Universities (Nos. NC 2019003 and NP2019104).</t>
  </si>
  <si>
    <t>10.1016/j.ress.2020.106890</t>
  </si>
  <si>
    <t>WOS:000534159800020</t>
  </si>
  <si>
    <t>Brown, B; Liu, B; McIntyre, S; Revie, M</t>
  </si>
  <si>
    <t>Brown, Bodunrin; Liu, Bin; McIntyre, Stuart; Revie, Matthew</t>
  </si>
  <si>
    <t>Reliability analysis of load-sharing systems with spatial dependence and proximity effects</t>
  </si>
  <si>
    <t>Reliability analysis; Load-sharing; Multi-component systems; Proximity model; Spatial dependence</t>
  </si>
  <si>
    <t>MODEL; OPTIMIZATION; MAINTENANCE; STRENGTH</t>
  </si>
  <si>
    <t>In the operating process of multi-component systems, components may interact with each other in a way that the load of a failed component is taken up by its nearby components at varying proportions. As a result, the failure rates of the proximate components are accelerated while distant components are not affected. This paper develops a novel spatial model for estimating the reliability of a load-sharing system considering spatial dependence and proximity effects. The spatial model is applicable to systems with heterogeneous or homogeneous components and is suitable for systems with or without distance information. To investigate the importance and significance of the spatial effect, we compare our spatial model with an equal load-sharing through numerical examples. Our results demonstrate that our model is more accurate than standard load sharing models in evaluating system reliability when spatial effects exist.</t>
  </si>
  <si>
    <t>[Brown, Bodunrin; Liu, Bin; Revie, Matthew] Univ Strathclyde, Dept Management Sci, Glasgow G1 1XQ, Lanark, Scotland; [McIntyre, Stuart] Univ Strathclyde, Dept Econ, Glasgow G1 1XQ, Lanark, Scotland</t>
  </si>
  <si>
    <t>University of Strathclyde; University of Strathclyde</t>
  </si>
  <si>
    <t>Revie, M (corresponding author), Univ Strathclyde, Dept Management Sci, Glasgow G1 1XQ, Lanark, Scotland.</t>
  </si>
  <si>
    <t>matthew.j.revie@strath.ac.uk</t>
  </si>
  <si>
    <t>Liu, Bin/GZM-0167-2022; Revie, Matthew/H-5946-2016</t>
  </si>
  <si>
    <t>Brown, Bodunrin/0000-0001-6160-5757; McIntyre, Stuart/0000-0002-0640-7544</t>
  </si>
  <si>
    <t>10.1016/j.ress.2021.108284</t>
  </si>
  <si>
    <t>WOS:000771556500004</t>
  </si>
  <si>
    <t>Coit, DW; Zio, E</t>
  </si>
  <si>
    <t>Coit, David W.; Zio, Enrico</t>
  </si>
  <si>
    <t>The evolution of system reliability optimization</t>
  </si>
  <si>
    <t>SERIES-PARALLEL SYSTEMS; GUIDED GENETIC SEARCH; REDUNDANCY OPTIMIZATION; COMMUNICATION-NETWORKS; MULTISTATE SYSTEMS; MULTIOBJECTIVE OPTIMIZATION; MULTICOMPONENT SYSTEMS; OPTIMAL ALLOCATION; STANDBY SYSTEMS; MAINTENANCE</t>
  </si>
  <si>
    <t>System reliability optimization is a living problem, with solutions methodologies that have evolved with the advancements of mathematics, development of new engineering technology, and changes in management perspectives. In this paper, we consider the different types of system reliability optimization problems, including as examples, the redundancy allocation problem (RAP), the reliability allocation problem and the reliability-redundancy allocation problem (RRAP), and provide a flow of discussion and analysis on the evolution of the approaches for their solutions. We consider the development and advancement in the fields of operations research and optimization theory, which have allowed the formalization and continuous improvement of the methods and techniques to address reliability design problems of even very complex systems in different technological domains. Technological advances have naturally brought changes of perspectives in response to the needs, interests and priorities of the practical engineering world. The flow is organized in a structure of successive Eras of Evolution, namely the Era of Mathematical Programming, the Era of Pragmatism, the Era of Active Reliability Improvement. Insights, challenges and opportunities are highlighted.</t>
  </si>
  <si>
    <t>[Coit, David W.] Rutgers State Univ, Dept Ind &amp; Syst Engn, Piscataway, NJ 08854 USA; [Zio, Enrico] Univ Paris Saclay, EDF Fdn, Chair Syst Sci &amp; Energet Challenge, Lab Genie Ind,CentraleSupelec, Paris, France; [Zio, Enrico] Politecn Milan, Energy Dept, Milan, Italy; [Zio, Enrico] Kyung Hee Univ, Coll Engn, Dept Nucl Engn, Seoul, South Korea</t>
  </si>
  <si>
    <t>Rutgers University System; Rutgers University New Brunswick; Universite Paris Saclay; Polytechnic University of Milan; Kyung Hee University</t>
  </si>
  <si>
    <t>Coit, DW (corresponding author), Rutgers State Univ, Dept Ind &amp; Syst Engn, Piscataway, NJ 08854 USA.</t>
  </si>
  <si>
    <t>coit@soe.rutgers.edu</t>
  </si>
  <si>
    <t>10.1016/j.ress.2018.09.008</t>
  </si>
  <si>
    <t>JW5JY</t>
  </si>
  <si>
    <t>WOS:000503089400002</t>
  </si>
  <si>
    <t>Zhu, XY; Fu, YQ; Yuan, T</t>
  </si>
  <si>
    <t>Zhu, Xiaoyan; Fu, Yuqiang; Yuan, Tao</t>
  </si>
  <si>
    <t>Optimum reassignment of degrading components for non-repairable systems</t>
  </si>
  <si>
    <t>Component reassignment problem; degradation; mixed binary nonlinear programming; functionally-exchangeable components; k-out-of-n systems</t>
  </si>
  <si>
    <t>DEGRADATION; MAINTENANCE; MODEL; HEURISTICS</t>
  </si>
  <si>
    <t>The components in a system can degrade differently, due to the operational loads or environmental conditions, or both, in their positions being different. Therefore, reassignment of the functionally exchangeable components to the positions at appropriate time can increase system reliability and extend system lifetime. In this article, a new component reassignment problem is proposed, and a mixed binary nonlinear programming model is built to determine the optimal reassignment time and optimal reassignment of degrading components with the objective of maximizing system lifetime. The model integrates continuous optimization and combinatorial optimization, and provides a framework for optimizing the component reassignment decisions for various degradation models and system structures. Furthermore, the optimization model and analytical results are derived for k-out-of-n systems of linearly degrading components or exponentially degrading components. The analytical results reduce the complexity of solving the optimization model and are used to design an efficient solution method. Finally, numerical examples in a power supply system demonstrate applications of the optimization model and further provide managerial insights for the component reassignment problem of degrading components.</t>
  </si>
  <si>
    <t>[Zhu, Xiaoyan; Fu, Yuqiang] Univ Chinese Acad Sci, Sch Econ &amp; Management, Beijing, Peoples R China; [Yuan, Tao] Ohio Univ, Dept Ind &amp; Syst Engn, Athens, OH 45701 USA</t>
  </si>
  <si>
    <t>10.1080/24725854.2019.1628373</t>
  </si>
  <si>
    <t>OY6XV</t>
  </si>
  <si>
    <t>WOS:000479393200001</t>
  </si>
  <si>
    <t>Cao, YS; Lu, C; Dong, WJ</t>
  </si>
  <si>
    <t>Cao, Yingsai; Lu, Chen; Dong, Wenjie</t>
  </si>
  <si>
    <t>Importance measures for multi-state systems with multiple components under hierarchical dependences</t>
  </si>
  <si>
    <t>Hierarchical dependences; Importance measure; Multi-state degradation; Random shock; Multiple multi-state components</t>
  </si>
  <si>
    <t>CONDITION-BASED MAINTENANCE; RELIABILITY; OPTIMIZATION; SHOCKS</t>
  </si>
  <si>
    <t>This paper explicitly modeled the hierarchical dependences existing in multi-state systems (MSSs) and proposed novel importance measures (IMs) to rank the criticality of failure-induced factors in different levels. Dependence existing within the component is specified as that arrived shocks make the components become more susceptible to the inherent multi-state degradation. The interaction among components refers to the fact that the degradation of a particular component can be accelerated by others. A comprehensive framework based on Semi-Markov process is constructed to jointly analyze the dependences above. By using the proposed IMs, contributions of each comprising component are firstly measured under hierarchical dependences. Secondly, influences brought by the triggering components on the influenced component are ranked so that the dependence strength among components can be measured. Then, criticality analysis for the suffered failure processes is conducted to specify how the failure processes affect the component reliability level. At last, an illustrative example about a wind turbine generator is presented to show how the proposed IMs can be applied for identifying the key component and its critical failure process.</t>
  </si>
  <si>
    <t>[Cao, Yingsai; Lu, Chen] Jiangsu Univ, Sch Management, Zhenjiang 212013, Jiangsu, Peoples R China; [Dong, Wenjie] Nanjing Univ Aeronaut &amp; Astronaut, Coll Econ &amp; Management, Nanjing 210016, Jiangsu, Peoples R China</t>
  </si>
  <si>
    <t>Cao, YS (corresponding author), Jiangsu Univ, Sch Management, Zhenjiang 212013, Jiangsu, Peoples R China.</t>
  </si>
  <si>
    <t>caoyingsai@foxmail.com; lc15373671582@163.com; dongwenjie@nuaa.edu.cn</t>
  </si>
  <si>
    <t>China Postdoctoral Science Foundation [2021M691300]; Natural Science Foundation of Jiangsu Province [BK20210739]; Natural Science Foundation of colleges and uni-versities in Jiangsu Province [21KJB410002]; Philosophy and Social Science Foundation of colleges and Universities in Jiangsu Province [2021SJA2049]</t>
  </si>
  <si>
    <t>China Postdoctoral Science Foundation(China Postdoctoral Science Foundation); Natural Science Foundation of Jiangsu Province(Natural Science Foundation of Jiangsu Province); Natural Science Foundation of colleges and uni-versities in Jiangsu Province; Philosophy and Social Science Foundation of colleges and Universities in Jiangsu Province</t>
  </si>
  <si>
    <t>The authors gratefully acknowledge the financial supports for this research from the China Postdoctoral Science Foundation funded project (No. 2021M691300) , Natural Science Foundation of Jiangsu Province (No. BK20210739) , Natural Science Foundation of colleges and uni-versities in Jiangsu Province (No. 21KJB410002) , Philosophy and Social Science Foundation of colleges and Universities in Jiangsu Province (No. 2021SJA2049) .</t>
  </si>
  <si>
    <t>10.1016/j.ress.2024.110142</t>
  </si>
  <si>
    <t>H7S6T</t>
  </si>
  <si>
    <t>WOS:001325408900001</t>
  </si>
  <si>
    <t>Modeling ageing effects in the context of continuous degradation and random shock</t>
  </si>
  <si>
    <t>Ageing effect; Reliability modeling; Dependent failure processes; Competing failure processes</t>
  </si>
  <si>
    <t>COMPETING FAILURE PROCESSES; RELIABILITY; SYSTEMS; MAINTENANCE</t>
  </si>
  <si>
    <t>This paper explores how the product's intrinsic capacity to resist the exposed failure processes ages with operation. Ageing effects on continuous degradation and random shock are specified respectively. The degradation process is modeled by a Gamma process with a monotonically increasing shape function of which increase rate is determined by the ageing intensity. Ageing impact on the hard failure is also considered by assuming that the critical threshold decreases with operation and the decrease rate is the function of ageing intensity function. The dependence strength between the degradation process and the ransom shock is developed based on the shock magnitude and the cumulative ageing probability. Reliability functions for soft, hard and competing failure processes are computed respectively with the consideration of ageing effects. An engineering example with regard to cylinder in the engine system is studied to demonstrate how the proposed method can be applied to the engineering practice.</t>
  </si>
  <si>
    <t>[Cao, Yingsai] Jiangsu Univ, Sch Management, Zhenjiang 212013, Jiangsu, Peoples R China; [Liu, Sifeng; Fang, Zhigeng; Dong, Wenjie] Nanjing Univ Aeronaut &amp; Astronaut, Coll Econ &amp; Management, Nanjing 210016, Jiangsu, Peoples R China</t>
  </si>
  <si>
    <t>caoys2016@nuaa.edu.cn; sfliu@nuaa.edu.cn; zhigengfang@163.com; wenjiedong@nuaa.edu.cn</t>
  </si>
  <si>
    <t>China Scholarship Council [201806830056]; National Natural Science Foundation of China [71671091, 71701098, 71801127]; Foundation of Basic Scientific Researches of Central Universities</t>
  </si>
  <si>
    <t>China Scholarship Council(China Scholarship Council); National Natural Science Foundation of China(National Natural Science Foundation of China (NSFC)); Foundation of Basic Scientific Researches of Central Universities</t>
  </si>
  <si>
    <t>The authors gratefully acknowledge the financial supports for this research from the China Scholarship Council (No. 201806830056), the National Natural Science Foundation of China (No. 71671091, No. 71701098 and No. 71801127), the Foundation of Basic Scientific Researches of Central Universities (No. NC 2019003, No. NP2019104).</t>
  </si>
  <si>
    <t>10.1016/j.cie.2020.106539</t>
  </si>
  <si>
    <t>WOS:000542180000043</t>
  </si>
  <si>
    <t>Wu, CS; Zhao, X; Wang, SQ; Song, YB</t>
  </si>
  <si>
    <t>Wu, Congshan; Zhao, Xian; Wang, Siqi; Song, Yanbo</t>
  </si>
  <si>
    <t>Reliability analysis of consecutive-k-out-of-r-from-n subsystems: F balanced systems with load sharing</t>
  </si>
  <si>
    <t>Balanced systems; Consecutive; k -out -of; r -from; n systems; Load sharing; Markov process; Finite Markov chain imbedding approach</t>
  </si>
  <si>
    <t>SLIDING WINDOW SYSTEMS; PREVENTIVE MAINTENANCE</t>
  </si>
  <si>
    <t>In this paper, a consecutive -k-out-of -r-from -n subsystems: F balanced system with load sharing is proposed, which takes both linear and circular structures into consideration. Such a system has n subsystems and each subsystem consists of several sectors that have multiple components. Each subsystem should keep balance when it works and the concept of balance means that the number of working components should be the same in any sector belonging to the same subsystem. The system maintains balance by forcing down working components to standby or resuming standby components to operate. The failure or standby of a component will result in a higher load on each remaining working component, thereby inducing a higher hazard rate for them. The whole system fails if it contains a set of r consecutive subsystems in which at least k subsystems break down. The Markov process method and finite Markov chain imbedding approach are applied to analyze the system reli-ability. Numerical examples are presented to show the effectiveness of the studied model and proposed method.</t>
  </si>
  <si>
    <t>[Wu, Congshan] Beijing Informat Sci &amp; Technol Univ, Sch Econ &amp; Management, Beijing 100192, Peoples R China; [Zhao, Xian; Song, Yanbo] Beijing Inst Technol, Sch Management &amp; Econ, Beijing 100081, Peoples R China; [Wang, Siqi] Beijing Technol &amp; Business Univ, Sch Ebusiness &amp; Logist, Beijing 100048, Peoples R China</t>
  </si>
  <si>
    <t>Beijing Information Science &amp; Technology University; Beijing Institute of Technology; Beijing Technology &amp; Business University</t>
  </si>
  <si>
    <t>Wang, Siqi/ABE-3341-2020; song, yanbo/GSE-0862-2022</t>
  </si>
  <si>
    <t>National Natural Science Foundation of China; Science and Technol- ogy Innovation Project of Beijing Institute of Technology; [72131002]; [71971026]; [2021CX01022]; [LY2022-23]</t>
  </si>
  <si>
    <t>National Natural Science Foundation of China(National Natural Science Foundation of China (NSFC)); Science and Technol- ogy Innovation Project of Beijing Institute of Technology; ; ; ;</t>
  </si>
  <si>
    <t>This work was supported by the National Natural Science Foundation of China [Grant Nos. 72131002, 71971026] , and Science and Technol- ogy Innovation Project of Beijing Institute of Technology (Grant Nos. 2021CX01022 and LY2022-23) .</t>
  </si>
  <si>
    <t>10.1016/j.ress.2022.108776</t>
  </si>
  <si>
    <t>4Z9TB</t>
  </si>
  <si>
    <t>WOS:000862540300006</t>
  </si>
  <si>
    <t>Wu, D; Chi, YY; Peng, R; Sun, MY</t>
  </si>
  <si>
    <t>Wu Di; Chi Yuanying; Peng Rui; Sun Mengyao</t>
  </si>
  <si>
    <t>Reliability of capacitated systems with performance sharing mechanism</t>
  </si>
  <si>
    <t>Reliability; Capacitated system; Universal generating function; Performance sharing; Performance redistribution; Deficiency</t>
  </si>
  <si>
    <t>MULTISTATE SYSTEMS; ALLOCATION; MODEL; MAINTENANCE; ELEMENTS</t>
  </si>
  <si>
    <t>Studies have been done on the reliability modelling of systems with performance sharing mechanism, which is applicable in energy systems, computing systems, pollution treatment systems, etc. Most existing researches share a common assumption that every component must satisfy its demand after proper performance redistribution, i.e., performance sharing. However, some systems may allow certain extent of performance deficiency. In this paper, we consider a system with performance sharing mechanism where the system works as long as the summed weighted deficiency is smaller than the reliable threshold (pre-set value) after two types of performance sharing: surplus redistribution and maximal redistribution. The amount of shared performance is limited by the capacity of bandwidth. A universal generating function technique is adopted to evaluate the system reliability, and numerical examples are presented to illustrate the applications.</t>
  </si>
  <si>
    <t>[Wu Di] Xi An Jiao Tong Univ, Sch Management, Minist Educ Proc Control &amp; Efficiency Engn, State Key Lab Mfg Syst Engn,Key Lab, Xian, Shaanxi, Peoples R China; [Chi Yuanying; Peng Rui] Beijing Univ Technol, Sch Econ &amp; Management, Beijing, Peoples R China; [Sun Mengyao] Meituan Dianping Inc, Beijing, Peoples R China; [Peng Rui] Univ Sci &amp; Technol Beijing, Donlinks Sch Econ &amp; Management, Beijing, Peoples R China</t>
  </si>
  <si>
    <t>Xi'an Jiaotong University; Beijing University of Technology; University of Science &amp; Technology Beijing</t>
  </si>
  <si>
    <t>Chi, YY (corresponding author), Beijing Univ Technol, Sch Econ &amp; Management, Beijing, Peoples R China.</t>
  </si>
  <si>
    <t>goodcyy@bjut.edu.cn</t>
  </si>
  <si>
    <t>Peng, Rui/AAL-7506-2020; Wu, Di/AAE-3581-2020</t>
  </si>
  <si>
    <t>Wu, Di/0000-0002-4996-587X</t>
  </si>
  <si>
    <t>National Natural Science Foundation of China [71671016, 71832011, 91646201]; National Key R&amp;D Program of China [2016YFB0901200, 2017YFC0803300]; Key Project of Beijing Municipal Education Commission [SZ201510005002]; State Grid Science and Technology Project [52272216002B, JS71-16-005]</t>
  </si>
  <si>
    <t>National Natural Science Foundation of China(National Natural Science Foundation of China (NSFC)); National Key R&amp;D Program of China; Key Project of Beijing Municipal Education Commission; State Grid Science and Technology Project</t>
  </si>
  <si>
    <t>The research was supported by the National Natural Science Foundation of China (71671016, 71832011, 91646201), National Key R&amp;D Program of China (2016YFB0901200, 2017YFC0803300), the Key Project of Beijing Municipal Education Commission (SZ201510005002), and the State Grid Science and Technology Project (52272216002B, JS71-16-005).</t>
  </si>
  <si>
    <t>10.1016/j.ress.2019.05.007</t>
  </si>
  <si>
    <t>WOS:000474493000028</t>
  </si>
  <si>
    <t>Qiu, QA; Cui, LR</t>
  </si>
  <si>
    <t>Gamma process based optimal mission abort policy</t>
  </si>
  <si>
    <t>Risk analysis; Mission abort; System survivability; Mission reliability; Gamma process; UAV</t>
  </si>
  <si>
    <t>PREVENTIVE MAINTENANCE; SYSTEMS; RELIABILITY; OPTIMIZATION; FAILURES; SUBJECT</t>
  </si>
  <si>
    <t>Various safety-critical systems such as aircrafts, submarines and space stations are required to perform missions continually in harsh environment. To enhance the survivability of such systems, a mission can be aborted when the mission completion becomes problematic and a rescue procedure is immediately initiated. This paper investigates the optimal mission abort policy based on a two-stage Gamma process which can be separated into normal and defective stages. Degradation-based abort policy where a mission is aborted if the system degradation level is higher than a threshold and duration-based abort policy where a mission is aborted if the duration in defective stage is larger than a threshold are considered. The mission success probability and system survivability under these two policies are evaluated and the optimal mission abort thresholds balancing the tradeoff between the mission success probability and system survivability are investigated. A numerical example on an unmanned aerial vehicle (UAV) is presented to illustrate the applicability of the proposed abort policies.</t>
  </si>
  <si>
    <t>[Qiu, Qingan; Cui, Lirong] Beijing Inst Technol, Sch Management &amp; Econ, Beijing, Peoples R China</t>
  </si>
  <si>
    <t>National Natural Science Foundation of China [71631001]; China Scholarship Council</t>
  </si>
  <si>
    <t>The authors are grateful to the editor and reviewers for their insightful comments which led to the improvement of this paper. This work is supported by National Natural Science Foundation of China (Grant No. 71631001). Qingan Qiu is supported by China Scholarship Council to study in University of Pittsburgh as a visiting scholar from Sep. 2018 to Sep. 2019.</t>
  </si>
  <si>
    <t>10.1016/j.ress.2019.106496</t>
  </si>
  <si>
    <t>WOS:000474497100003</t>
  </si>
  <si>
    <t>Zhao, X; Li, ZY; Wang, XY; Guo, B</t>
  </si>
  <si>
    <t>Zhao, Xian; Li, Ziyue; Wang, Xiaoyue; Guo, Bin</t>
  </si>
  <si>
    <t>Reliability of performance-based system containing multiple load-sharing subsystems with protective devices considering protection randomness</t>
  </si>
  <si>
    <t>Performance-based system with load-sharing subsystems; Protective device; Reliability analysis; Markov process imbedding approach; Universal generating function technique</t>
  </si>
  <si>
    <t>MAINTENANCE; SUBJECT</t>
  </si>
  <si>
    <t>Existing studies on the systems with protective devices (PDs) all consider that the components are independent, and the PDs are activated to work in a perfect state and always realize their functions successfully until failures. However, it can be found that the above assumptions have some limitations, motivated by actual engineering cases. To fill the research gaps, this paper proposes a new system which contains multiple load-sharing subsystems with PDs. The PDs are subject to internal degradation with a lower rate before working, and may be unable to protect the components in poor states. The PD in each subsystem is triggered when the internal degradation rate of the working components reaches the preset value. The PDs can decrease the probability of the valid shocks and the internal degradation rate of the components. Each subsystem has multiple states, determined by the number of failed components and the subsystem in each state takes certain performance. The state of entire system is divided into multiple levels according to the total performance of subsystems. The Markov process imbedding approach and universal generating function technique is combined to analyze the system reliability. Finally, the applicability of the proposed model is validated using numerical examples.</t>
  </si>
  <si>
    <t>[Zhao, Xian; Li, Ziyue; Guo, Bin] Beijing Inst Technol, Sch Management &amp; Econ, Beijing 100081, Peoples R China; [Wang, Xiaoyue] Beijing Technol &amp; Business Univ, Sch Ebusiness &amp; Logist, Beijing 100048, Peoples R China</t>
  </si>
  <si>
    <t>Wang, XY (corresponding author), Beijing Technol &amp; Business Univ, Sch Ebusiness &amp; Logist, Beijing 100048, Peoples R China.</t>
  </si>
  <si>
    <t>National Natural Science Foundation of China [72131002, 72001006, 71971026]; Beijing Social Science Foundation [20GLC052]; Young Elite Scientist Sponsorship Program by Beijing Association for Science and Technology [BYESS2023054]; Science and Technology Innovation Project of Beijing Institute of Technology [2021CX01022, LY2022-23]</t>
  </si>
  <si>
    <t>National Natural Science Foundation of China(National Natural Science Foundation of China (NSFC)); Beijing Social Science Foundation; Young Elite Scientist Sponsorship Program by Beijing Association for Science and Technology; Science and Technology Innovation Project of Beijing Institute of Technology</t>
  </si>
  <si>
    <t>This work is supported by the National Natural Science Foundation of China (Grant Nos. 72131002, 72001006 and 71971026) , the Beijing Social Science Foundation (Grant No. 20GLC052) , Young Elite Scientist Sponsorship Program by Beijing Association for Science and Technology (Grant No. BYESS2023054) , and Science and Technology Innovation Project of Beijing Institute of Technology (Grant Nos. 2021CX01022 and LY2022-23) .</t>
  </si>
  <si>
    <t>10.1016/j.ress.2023.109508</t>
  </si>
  <si>
    <t>P6BQ1</t>
  </si>
  <si>
    <t>WOS:001051511800001</t>
  </si>
  <si>
    <t>Reliability evaluation of Markov renewal shock models with multiple failure mechanisms</t>
  </si>
  <si>
    <t>Shock model; Markov renewal process; Competing risk; Reliability function; Mean time to failure; Multi-state system</t>
  </si>
  <si>
    <t>STATISTICAL-INFERENCE; MAINTENANCE MODEL; SYSTEM; BEHAVIOR; TIME</t>
  </si>
  <si>
    <t>In this article, two Markov renewal shock models with multiple failure mechanisms are developed based on the extreme shock model and cumulative shock model respectively. The shock size and interarrival time dependency is studied by assuming the sizes and interarrival times of shocks are governed by an absorbing Markov chain with finite state space. Under the competing risk extreme shock model, the system fails when a single shock of a large size occurs or when it enters the absorbing state whichever occurs first. Under the competing risk cumulative shock model, the system fails when it transfers to the absorbing state, or when the accumulation of sizes of the previous shocks exceeds a prespecified critical level, whichever occurs first. The methods to calculate the reliability functions and other reliability indexes under the proposed two Markov renewal shock models are provided. A special case that the shock arrival process is independent of the current state of the system is considered. The limiting behavior of the mean time to failure of the system under two models is discussed. Finally, a study case of lithium-ion battery systems is conducted to illustrate the proposed models and obtained results.</t>
  </si>
  <si>
    <t>[Wu, Bei; Cui, Lirong] Beijing Inst Technol, Sch Management &amp; Econ, Beijing, Peoples R China</t>
  </si>
  <si>
    <t>This work was supported by the National Natural Science Foundation of China under grant 71631001.</t>
  </si>
  <si>
    <t>10.1016/j.ress.2020.107051</t>
  </si>
  <si>
    <t>WOS:000564277900044</t>
  </si>
  <si>
    <t>Chen, ZX; Chen, Z; Zhou, D; Shao, C; Pan, ES</t>
  </si>
  <si>
    <t>Chen, Zhaoxiang; Chen, Zhen; Zhou, Di; Shao, Chi; Pan, Ershun</t>
  </si>
  <si>
    <t>Optimal replacement policy for multi-state manufacturing system with economic and resource dependence under epistemic uncertainty</t>
  </si>
  <si>
    <t>Multi-state manufacturing system; replacement policy; epistemic uncertainty; economic and resource dependence; fuzzy stochastic flow manufacturing network</t>
  </si>
  <si>
    <t>CONDITION-BASED MAINTENANCE; RELIABILITY ASSESSMENT; SELECTIVE MAINTENANCE; NETWORK; MULTICOMMODITY; COMPONENTS</t>
  </si>
  <si>
    <t>This paper develops an optimal replacement policy V* for a multi-state manufacturing system. The manufacturing system would be repaired imperfectly once its performance cannot meet the production demand, and would be replaced when the production demand is not met for the V*-th time. Due to imprecise state assignments and unpredictable external working conditions, the performance and transition intensity of the multi-state machine cannot be accurately identified and then inevitably lead to epistemic uncertainty. In addition, the economic dependence and resource dependence that prevailed in the manufacturing system should be considered. In this paper, economic dependence is described as the time and cost saved by simultaneously repairing multiple identical machines, and resource dependence is caused by finite capacity buffers. To take these into account, the fuzzy Markov model and fuzzy stochastic flow manufacturing network (FSFMN) are tailored to evaluate the fuzzy reliability of machines and manufacturing systems, respectively. To obtain the optimal replacement policy V*, we derive the expression of the long run fuzzy profit rate under epistemic uncertainty. The replacement policy is demonstrated on the ferrite phase shifting unit manufacturing system, and the results of the subsequent comparative study and sensitivity analysis show that this policy is more effective.</t>
  </si>
  <si>
    <t>[Chen, Zhaoxiang; Chen, Zhen; Shao, Chi; Pan, Ershun] Shanghai Jiao Tong Univ, Dept Ind Engn &amp; Management, State Key Lab Mech Syst &amp; Vibrat, Shanghai, Peoples R China; [Zhou, Di] Donghua Univ, Sch Mech Engn, Shanghai, Peoples R China; [Shao, Chi] Aecc Commercial Aircraft Engine Co Ltd, Shanghai, Peoples R China</t>
  </si>
  <si>
    <t>Pan, ES (corresponding author), Shanghai Jiao Tong Univ, Dept Ind Engn &amp; Management, State Key Lab Mech Syst &amp; Vibrat, Shanghai 200240, Peoples R China.</t>
  </si>
  <si>
    <t>National Natural Science Foundation of China [52005327,72001138]; National Key Research and Development Program of China [2020YFB1711100]</t>
  </si>
  <si>
    <t>This work was supported by National Natural Science Foundation of China: [Grant Number 52005327,72001138]; National Key Research and Development Program of China: [Grant Number 2020YFB1711100].</t>
  </si>
  <si>
    <t>OCT 18</t>
  </si>
  <si>
    <t>10.1080/00207543.2022.2137595</t>
  </si>
  <si>
    <t>P1OC1</t>
  </si>
  <si>
    <t>WOS:000874722500001</t>
  </si>
  <si>
    <t>Gao, HD; Tu, TF; Qiu, QA</t>
  </si>
  <si>
    <t>Gao, Hongda; Tu, Tengfei; Qiu, Qingan</t>
  </si>
  <si>
    <t>Reliability analysis for a generalized sparse connection multi-state consecutive-k-out-of-n linear system</t>
  </si>
  <si>
    <t>Reliability; Multi -unit system; Consecutive-K : G systems; Sparse connection; FMCI method</t>
  </si>
  <si>
    <t>MAINTENANCE; PERFORMANCE; ALLOCATION; ALGORITHM</t>
  </si>
  <si>
    <t>The utilization of binary states is a common practice in reliability analysis. However, in complex systems such as aviation, spaceflight, and watercraft, the prevalence of multi-state systems and units is more pronounced. Consequently, extensive research has been undertaken to explore reliability analysis with a focus on multi-state consecutive-k models across various disciplines. Notably, the concept of sparse connection has received considerable attention due to its relevance in practical applications like wireless communication, cloud computing networks, and oil pipeline systems. This paper aims to propose a generalized multi-state consecutivek: G system model that incorporates sparse connection. Both the system and the units are allowed to be in one of the (M + 1) possible states, wherein the order numbers 0, 1, 2, ..., M indicate the performance measurement of the system or the units, i.e., 0 denotes the worst performance state while M denotes the best performance state. We classify the model into increasing, decreasing and non-monotonic consecutive-k systems corresponding to different mission requirements in practical applications. This paper utilizes the finite Markov chain imbedding (FMCI) method to derive explicit system state distributions for three types of multi-state consecutive-k-out-of-n: G systems. Subsequently, numerical examples are provided to demonstrate the proposed models and the corresponding results.</t>
  </si>
  <si>
    <t>[Gao, Hongda] Beijing Univ Posts &amp; Telecommun, Sch Modern Post, Sch Automat, Beijing 100876, Peoples R China; [Tu, Tengfei] Beijing Univ Posts &amp; Telecommun, Sch Cyberspace Secur, Beijing 100876, Peoples R China; [Qiu, Qingan] Beijing Inst Technol, Sch Management &amp; Econ, Beijing 100081, Peoples R China</t>
  </si>
  <si>
    <t>Beijing University of Posts &amp; Telecommunications; Beijing University of Posts &amp; Telecommunications; Beijing Institute of Technology</t>
  </si>
  <si>
    <t>National Natural Science Foundation of China [72201039, 72371030]; Fundamental Research Funds for the Central Universities [2023RC36, 2023RC29]</t>
  </si>
  <si>
    <t>This work is supported by the National Natural Science Foundation of China under Grants 72201039, 72371030 and the Fundamental Research Funds for the Central Universities 2023RC36, 2023RC29.</t>
  </si>
  <si>
    <t>10.1016/j.ress.2024.110056</t>
  </si>
  <si>
    <t>PA6F3</t>
  </si>
  <si>
    <t>WOS:001211391300001</t>
  </si>
  <si>
    <t>Chen, ZX; Chen, Z; Zhou, D; Xia, TB; Pan, ES</t>
  </si>
  <si>
    <t>Reliability evaluation for multi-state manufacturing systems with quality-reliability dependency</t>
  </si>
  <si>
    <t>Multi-state manufacturing systems; Reliability evaluation; Quality-reliability dependency; Buffer; Stochastic-flow manufacturing network</t>
  </si>
  <si>
    <t>NETWORKS; MAINTENANCE; ALGORITHM; DESIGN; POLICY</t>
  </si>
  <si>
    <t>As multi-state reliability models and the dependency theory can characterize the polymorphism of manufacturing systems during degradation, they have been discussed in depth over the past few decades. However, most studies on the dependence of manufacturing systems ignored the dynamic characteristics (the production rhythm). Therefore, a reliability evaluation method that considers quality-reliability (Q-R) dependency of a multi-state manufacturing system is proposed in this paper. Q-R dependency contains two main characteristics: quality deviation and production rhythm. The stochastic-flow manufacturing network (SFMN) model is constructed to describe the interaction among machines, products, and buffers in a manufacturing system. Moreover, the quality state-space model and the usage of buffers are used to quantify the quality deviation and the production rhythm, respectively. Reliability evaluation method for multi-state manufacturing systems with Q-R dependency is proposed. Finally, an illustrative example is presented to demonstrate the effectiveness of the proposed method.</t>
  </si>
  <si>
    <t>[Chen, Zhaoxiang; Chen, Zhen; Zhou, Di; Xia, Tangbin; Pan, Ershun] Shanghai Jiao Tong Univ, Dept Ind Engn &amp; Management, State Key Lab Mech Syst &amp; Vibrat, Shanghai 200240, Peoples R China</t>
  </si>
  <si>
    <t>National Natural Science Foundation of China [72071127, 72001138, 51875359]; National Key Research and Development Program of China [2020YFB1711100]</t>
  </si>
  <si>
    <t>This study was supported by the National Natural Science Foundation of China [grant number 72071127], [grant number 72001138] [grant number 51875359], and the National Key Research and Development Program of China [grant number 2020YFB1711100].</t>
  </si>
  <si>
    <t>10.1016/j.cie.2021.107166</t>
  </si>
  <si>
    <t>WOS:000632964300049</t>
  </si>
  <si>
    <t>Chien, YH</t>
  </si>
  <si>
    <t>Chien, Yu-Hung</t>
  </si>
  <si>
    <t>Optimal periodic replacement policy for a GPP repairable product under the free-repair warranty</t>
  </si>
  <si>
    <t>Generalized polya process; non-homogeneous poisson process; GPP repair; minimal repair; periodic replacement; free-repair warranty</t>
  </si>
  <si>
    <t>This article provides an extension study on the optimal periodic replacement policy for repairable products under the free-repair warranty. A new and more general type of repair, called the 'GPP repair', is applied in this study, which is defined based on the Generalized Polya Process and which is more close to practical situations than the 'minimal repair'. Under the GPP repair assumption, the future reliability performance of a product becomes worse as the number of system failures that occurred in the past increases. Cost models from the user's perspective are developed for both a GPP repairable product with free-repair warranty and without warranty, and the corresponding optimal replacement periods are derived such that the long-run expected cost rate is minimized. The difference and relationship between GPP repairable and minimal repairable products on the optimal replacement policies are analytically presented. Numerical examples are demonstrated for illustration and verification. Finally, a practical case is provided to explain the potential application areas of this study, and managerial implications and insights are addressed.</t>
  </si>
  <si>
    <t>[Chien, Yu-Hung] Natl Taichung Univ Sci &amp; Technol, Dept Appl Stat, Taichung, Taiwan</t>
  </si>
  <si>
    <t>Ministry of Science and Technology of Taiwan [MOST 105-2221-E-025-004-MY3]</t>
  </si>
  <si>
    <t>Ministry of Science and Technology of Taiwan(Ministry of Science and Technology, Taiwan)</t>
  </si>
  <si>
    <t>This work was supported in part by the Ministry of Science and Technology of Taiwan [grant number MOST 105-2221-E-025-004-MY3].</t>
  </si>
  <si>
    <t>10.1080/16843703.2017.1422218</t>
  </si>
  <si>
    <t>HW6EZ</t>
  </si>
  <si>
    <t>WOS:000466782700007</t>
  </si>
  <si>
    <t>Wang, X; Ke, YW; Cai, ZQ; Ye, ZG</t>
  </si>
  <si>
    <t>Wang, Xin; Ke, Yongwei; Cai, Zhiqiang; Ye, Zhenggeng</t>
  </si>
  <si>
    <t>Operation risk assessment of Flexible Manufacturing Networks subject to quality-reliability coupling</t>
  </si>
  <si>
    <t>Flexible manufacturing networks; Quality; Reliability; Connectivity; Risk assessment</t>
  </si>
  <si>
    <t>MAINTENANCE; PREDICTION; SYSTEMS</t>
  </si>
  <si>
    <t>In flexible manufacturing network (FMN), the growth of product types increases the diversity of interacting behaviors between machine reliability and product quality, and the product diversity and machine flexibility promote the explosion of processing routes and processing sequences, increasing the gap between current risk evaluation of manufacturing systems and engineering practice. To fill this gap, a novel operation risk assessment framework is constructed for the complex FMN. In detail, to model the reliability-quality interactions, a mathematical framework describing a complete manufacturing process involving feedstock quality (Q1) - machine degradation (R) - product processing quality (Q2) - quality inspection status (I) is proposed for complex FMN, solving the measurement of interacting behaviors between machine reliability and product quality in an FMN that suffers from both multiple process routes and multi-type products. Then, an effective evaluation framework is proposed to evaluate the connectivity risk of multiple process routes and the quality risk of multiple product types in a complex FMN, providing a concurrent solution for risk evaluation under both complex system structures and complex quality-reliability interrelationships. At last, a simulation experiment verifies the effectiveness of our proposed methods and reveals differences in the operation risk of different product types in an FMN.</t>
  </si>
  <si>
    <t>[Wang, Xin; Ke, Yongwei; Cai, Zhiqiang] Northwestern Polytech Univ, Dept Ind Engn, Xian 710072, Peoples R China; [Wang, Xin; Ke, Yongwei; Cai, Zhiqiang] Northwestern Polytech Univ, Key Lab Ind Engn &amp; Intelligent Mfg, Minist Ind &amp; Informat Technol, Xian 710072, Peoples R China; [Wang, Xin; Ke, Yongwei; Cai, Zhiqiang] Northwestern Polytech Univ, Key Lab Ind Engn &amp; Intelligent Mfg MIT, Xian 710072, Peoples R China; [Ye, Zhenggeng] Zhengzhou Univ, Sch Management, Dept Ind Engn, Zhengzhou 450001, Peoples R China</t>
  </si>
  <si>
    <t>Northwestern Polytechnical University; Northwestern Polytechnical University; Northwestern Polytechnical University; Zhengzhou University</t>
  </si>
  <si>
    <t>ZHENGGENG, YE/AAO-7424-2020; Cai, Zhiqiang/GLS-3354-2022</t>
  </si>
  <si>
    <t>National Natural Science Foundation of China [72201250, 72271200, 72231008]; Natural Science Basic Research Program of Shaanxi Province [2022JQ-734]; Distinguished Young Scholar Program of Shaanxi Province [2023-JQ-JC-10]</t>
  </si>
  <si>
    <t>National Natural Science Foundation of China(National Natural Science Foundation of China (NSFC)); Natural Science Basic Research Program of Shaanxi Province; Distinguished Young Scholar Program of Shaanxi Province</t>
  </si>
  <si>
    <t>This work was supported by the National Natural Science Foundation of China [72201250, 72271200, 72231008] , the Natural Science Basic Research Program of Shaanxi Province [2022JQ-734] and Distinguished Young Scholar Program of Shaanxi Province [2023-JQ-JC-10] .</t>
  </si>
  <si>
    <t>10.1016/j.ress.2024.110282</t>
  </si>
  <si>
    <t>J5W2X</t>
  </si>
  <si>
    <t>WOS:001337760900001</t>
  </si>
  <si>
    <t>Xia, YX; Dong, WJ; Fang, ZG</t>
  </si>
  <si>
    <t>Xia, Yuexin; Dong, Wenjie; Fang, Zhigeng</t>
  </si>
  <si>
    <t>Reliability analysis for systems subject to dependent and competing failure processes with random failure thresholds</t>
  </si>
  <si>
    <t>Dependent and competing failure processes (DCFPs); reliability analysis; random failure thresholds; parameter estimation</t>
  </si>
  <si>
    <t>REPLACEMENT POLICIES; DEGRADATION; MODEL; MAINTENANCE; GROWTH</t>
  </si>
  <si>
    <t>This paper intends to investigate the reliability model for competing failure systems under the influence of random failure thresholds. The random threshold distribution function of hard failure is developed incorporating parameter estimation and goodness-of-fit analysis while the soft failure threshold is assumed to be normally distributed. Specifically, the competing failure result is composed of a degradation process and a shock process, in which the former is simultaneously affected by random shocks and the latter is concurrently influenced by cumulative degradation. For the degradation process, a normal distribution is adopted for soft failure threshold to reflect the randomness of threshold level, and the soft failure survival function is developed subsequently. While for the shock process, the initial random hard failure threshold is regarded as the intensity distribution and a time-varying hard failure threshold function is developed, which describes the dependent strength between the hard failure process and the soft failure process. System reliability function is finally constructed based on the competing and dependent result of these two processes. An illustrative example of a micro-electro-mechanical system (MEMS) is analyzed to examine the developed reliability model, demonstrating that the dependence between degradation and shocks has a greater impact on reliability and overestimation may be caused without considering random characteristics of failure thresholds.</t>
  </si>
  <si>
    <t>[Xia, Yuexin; Dong, Wenjie; Fang, Zhigeng] Nanjing Univ Aeronaut &amp; Astronaut, Coll Econ &amp; Management, Nanjing 211106, Peoples R China; [Dong, Wenjie] Jiangsu Prov Key Lab Aerosp Power Syst, Nanjing, Peoples R China</t>
  </si>
  <si>
    <t>National Natural Science Foundation of China [72271124, 72071111, 71671091]; Talent Research Start-up Fund in NUAA [1009-YAH21001]; Guiding Project by the Ministry of Industry and Information Technology of PRC [GXZK2022-36]; Jiangsu Funding Program for Excellent Postdoctoral Talent [2022ZB222]; Open Fund of Jiangsu Province Key Laboratory of Aerospace Power System [CEPE2022002]</t>
  </si>
  <si>
    <t>National Natural Science Foundation of China(National Natural Science Foundation of China (NSFC)); Talent Research Start-up Fund in NUAA; Guiding Project by the Ministry of Industry and Information Technology of PRC; Jiangsu Funding Program for Excellent Postdoctoral Talent; Open Fund of Jiangsu Province Key Laboratory of Aerospace Power System</t>
  </si>
  <si>
    <t>The authors appreciate the insightful suggestions from the associate editor and anonymous reviewers which greatly improve the quality of the original paper. This work was partially supported by the National Natural Science Foundation of China [grant numbers 72271124, 72071111, 71671091], the Talent Research Start-up Fund in NUAA [grant number 1009-YAH21001], the Guiding Project by the Ministry of Industry and Information Technology of PRC [grant number GXZK2022-36], Jiangsu Funding Program for Excellent Postdoctoral Talent [grant number 2022ZB222], and an Open Fund of Jiangsu Province Key Laboratory of Aerospace Power System under [grant number CEPE2022002].</t>
  </si>
  <si>
    <t>10.1080/08982112.2022.2151369</t>
  </si>
  <si>
    <t>I7TK3</t>
  </si>
  <si>
    <t>WOS:000893638400001</t>
  </si>
  <si>
    <t>Wu, CS; Pan, R; Zhao, X; Cao, S</t>
  </si>
  <si>
    <t>Wu, Congshan; Pan, Rong; Zhao, Xian; Cao, Shuai</t>
  </si>
  <si>
    <t>Reliability evaluation of consecutive-k-out-of-n: F systems with two performance sharing groups</t>
  </si>
  <si>
    <t>Consecutive-k-out-of-n systems; Performance sharing systems; Universal generating function technique; Two performance sharing groups</t>
  </si>
  <si>
    <t>MULTISTATE SERIES SYSTEMS; MAINTENANCE; PROTECTION; ALLOCATION</t>
  </si>
  <si>
    <t>From previous studies on performance sharing systems, the system structure is considered to be either series, or series-parallel, or k-out-of-n structure. To enrich the research and extend application on performance sharing systems, the consecutive-k-out-of-n: F system with two performance sharing groups is investigated in this paper. Such systems consist of n units and two common buses, and each unit has a random performance to satisfy its random demand. Units connected by the same common bus make up one performance sharing group. If a unit has surplus performance, the surplus performance can be transmitted to the units which are experiencing performance deficiency and belonging to the same performance sharing group via the common bus. If the demand of one unit is not satisfied, the unit has to be shut down. The system fails due to at least k consecutive shut-down units. The universal generating function technique is used to analyze the system reliability. Analytical and numerical examples of the heating system are presented to demonstrate the new model under study.</t>
  </si>
  <si>
    <t>[Wu, Congshan; Zhao, Xian; Cao, Shuai] Beijing Inst Technol, Sch Management &amp; Econ, Beijing 100081, Peoples R China; [Pan, Rong] Arizona State Univ, Sch Comp Informat &amp; Decis Syst Engn, Tempe, AZ 85281 USA</t>
  </si>
  <si>
    <t>Beijing Institute of Technology; Arizona State University; Arizona State University-Tempe</t>
  </si>
  <si>
    <t>National Natural Science Foundation of China [71971026, 71572014]; China Scholarship Council</t>
  </si>
  <si>
    <t>This work was supported by the National Natural Science Foundation of China [grant numbers 71971026, 71572014]. Congshan Wu is supported by China Scholarship Council to study in Arizona State University as a visiting scholar from Sep. 2019 to Sep. 2020.</t>
  </si>
  <si>
    <t>10.1016/j.cie.2020.107092</t>
  </si>
  <si>
    <t>WOS:000632961600034</t>
  </si>
  <si>
    <t>Wang, YK; Liu, YL; Li, XP; Chen, JY</t>
  </si>
  <si>
    <t>Wang, Yukun; Liu, Yiliu; Li, Xiaopeng; Chen, Junyan</t>
  </si>
  <si>
    <t>Multi-phase reliability growth test planning for repairable products sold with a two-dimensional warranty</t>
  </si>
  <si>
    <t>Reliability growth test; Two-dimensional warranty; Cost analysis; Failure learning</t>
  </si>
  <si>
    <t>ECONOMIC ALLOCATION; TEST TIMES; MAINTENANCE; POLICIES; SYSTEMS; DESIGN</t>
  </si>
  <si>
    <t>For products sold with a two-dimensional warranty policy, the warranty servicing cost can be reduced through reliability growth during development. This paper investigates a multi-phase reliability growth test program for repairable products with independent competing failure modes. Considering a test-find-test scheme, an accelerated reliability growth model is developed, allowing different failure modes having distinct accelerated relationships. Taking usage heterogeneity and mode-specific failure learning effect into account, the reliability growth is achieved through periodic fixes on a phase-by-phase basis. From the manufacturer's perspective, the main objective is to achieve the optimal trade-off between the warranty cost and the reliability growth test cost by determining the optimal test program that minimizes the expected total cost per product sold, ensuring that the pre-specified reliability growth requirement is met. Assuming the tri-Weibull product failure distribution, we illustrate the proposed optimization model numerically and study the effect of relevant parameters on the optimal reliability growth test program. The results show that the proposed approach yields significant cost reduction and reliability improvement for the examples studied in this paper, especially when the manufacturer possesses high failure learning ability, and the product has expensive repair cost per a warranty failure and extensive warranty coverage.</t>
  </si>
  <si>
    <t>[Wang, Yukun; Chen, Junyan] Tianjin Chengjian Univ, Sch Econ &amp; Management, Tianjin, Peoples R China; [Wang, Yukun; Liu, Yiliu] Norwegian Univ Sci &amp; Technol, Dept Mech &amp; Ind Engn, Trondheim, Norway; [Li, Xiaopeng] Tianjin Univ, Coll Management &amp; Econ, Tianjin, Peoples R China</t>
  </si>
  <si>
    <t>Tianjin Chengjian University; Norwegian University of Science &amp; Technology (NTNU); Tianjin University</t>
  </si>
  <si>
    <t>李, 孝鹏/GZG-7652-2022; Wang, Yukun/AAO-1651-2020; Li, Xiaopeng/B-5675-2018; Liu, Yiliu/AAY-2097-2021</t>
  </si>
  <si>
    <t>Li, Xiaopeng/0000-0002-8237-9194; Liu, Yiliu/0000-0002-0612-2231; wang, yukun/0000-0003-0318-2471</t>
  </si>
  <si>
    <t>10.1016/j.ress.2019.05.006</t>
  </si>
  <si>
    <t>WOS:000474493000026</t>
  </si>
  <si>
    <t>Cao, YS; Wang, PF; Xv, W; Dong, WJ</t>
  </si>
  <si>
    <t>Cao, Yingsai; Wang, Panfei; Xv, Wenjie; Dong, Wenjie</t>
  </si>
  <si>
    <t>Criticality analysis for continuous degrading systems subject to multi-level failure dependences</t>
  </si>
  <si>
    <t>Multi-level failure dependences; Criticality analysis; Continuous degradation; Random shock; Multi-component systems</t>
  </si>
  <si>
    <t>CONDITION-BASED MAINTENANCE; COMPOSITE IMPORTANCE MEASURES; MULTISTATE SYSTEMS; DEGRADATION</t>
  </si>
  <si>
    <t>This paper develops a comprehensive framework of criticality analysis for all the failure inducing factors in continuous degrading systems subject to multi-level failure dependences. Dependence within component is specified as random shocks make the components become more vulnerable to inherent degradation processes. Interaction among components refers to the fact that degradation of a particular component can be accelerated by others. By introducing the Gamma process, compound Poisson process and Monte Carlo simulation technique, system reliability is evaluated under the above multi-level dependences. A novel framework of criticality analysis is proposed to specify the adverse influences of failure inducing factors in different levels. In system level, timedependent contributions of components to system degradation are calculated. For dependence among components, dependence strength levels are ranked. In component level, how the suffered failure processes contribute to component degradation is specified. At last, an illustrative example is presented to show how the proposed method can be applied to engineering practice.</t>
  </si>
  <si>
    <t>[Cao, Yingsai; Wang, Panfei; Xv, Wenjie] Jiangsu Univ, Sch Management, Zhenjiang 212013, Jiangsu, Peoples R China; [Dong, Wenjie] Nanjing Univ Aeronaut &amp; Astronaut, Coll Econ &amp; Management, Nanjing 210016, Jiangsu, Peoples R China</t>
  </si>
  <si>
    <t>caoyingsai@foxmail.com; ndmz0920@qq.com; 1282281619@qq.com; dongwenjie@nuaa.edu.cn</t>
  </si>
  <si>
    <t>Dong, Wenjie/AAA-8559-2019; Wang, Panfei/LGZ-0638-2024</t>
  </si>
  <si>
    <t>Wang, Panfei/0009-0004-0204-184X</t>
  </si>
  <si>
    <t>China Postdoctoral Science Foundation [2021M691300]; Natural Science Foundation of Jiangsu Province [BK20210739]; Natural Science Foundation of Colleges and Uni-versities in Jiangsu Province [21KJB410002]; Philosophy and Social Science Foundation of Colleges and Universities in Jiangsu Province [2021SJA2049]</t>
  </si>
  <si>
    <t>China Postdoctoral Science Foundation(China Postdoctoral Science Foundation); Natural Science Foundation of Jiangsu Province(Natural Science Foundation of Jiangsu Province); Natural Science Foundation of Colleges and Uni-versities in Jiangsu Province; Philosophy and Social Science Foundation of Colleges and Universities in Jiangsu Province</t>
  </si>
  <si>
    <t>The authors gratefully acknowledge the financial supports for this research from the China Postdoctoral Science Foundation funded project (No. 2021M691300) , Natural Science Foundation of Jiangsu Province (No. BK20210739) , Natural Science Foundation of Colleges and Uni-versities in Jiangsu Province (No. 21KJB410002) , Philosophy and Social Science Foundation of Colleges and Universities in Jiangsu Province (No. 2021SJA2049) .</t>
  </si>
  <si>
    <t>10.1016/j.cie.2024.110395</t>
  </si>
  <si>
    <t>ZQ6E4</t>
  </si>
  <si>
    <t>WOS:001276792200001</t>
  </si>
  <si>
    <t>Jia, HP; Liu, DN; Li, YB; Ding, Y; Liu, MG; Peng, R</t>
  </si>
  <si>
    <t>Jia, Heping; Liu, Dunnan; Li, Yanbin; Ding, Yi; Liu, Mingguang; Peng, Rui</t>
  </si>
  <si>
    <t>Reliability evaluation of power systems with multi-state warm standby and multi-state performance sharing mechanism</t>
  </si>
  <si>
    <t>Reliability; Power systems; Multi-state warm standby systems; Multi-state decision diagram; Performance sharing mechanism</t>
  </si>
  <si>
    <t>PHASED-MISSION SYSTEMS; OPTIMIZATION; MAINTENANCE; PROTECTION; SUBJECT; MODEL</t>
  </si>
  <si>
    <t>With the increasing interconnection of the power grids, the imbalanced distribution between power generation and demand in different areas has been effectively alleviated. In practical power systems, the subsystems in different areas need to meet the load requirements of each subsystem, and the performance sharing among different subsystems is one way to increase system reliability. Moreover, each subsystem can be configured with redundancy techniques especially warm standby, which consumes less energy than hot standby and has a shorter recovery time than cold standby. Furthermore, both the generating units and the performance sharing mechanism may have more than binary states in practice. Therefore, in this paper, the reliability evaluation of power systems with multi-state warm standby and multi-state performance sharing mechanism is proposed. Arbitrary state transition time distributions are allowed, and the successful activation probabilities for warm standby generating units are also embedded in the proposed model. The multi-state decision diagram (MSDD) technique is developed for system reliability evaluation. Time-dependent reliability is presented in illustrative examples to validate the proposed model and technique.</t>
  </si>
  <si>
    <t>[Jia, Heping; Liu, Dunnan; Li, Yanbin; Liu, Mingguang] North China Elect Power Univ, Sch Econ &amp; Management, Beijing, Peoples R China; [Ding, Yi] Zhejiang Univ, Coll Elect Engn, Hangzhou, Peoples R China; [Peng, Rui] Beijing Univ Technol, Sch Econ &amp; Management, Beijing, Peoples R China</t>
  </si>
  <si>
    <t>North China Electric Power University; Zhejiang University; Beijing University of Technology</t>
  </si>
  <si>
    <t>Jia, HP (corresponding author), North China Elect Power Univ, Sch Econ &amp; Management, Beijing, Peoples R China.</t>
  </si>
  <si>
    <t>jiaheping@ncepu.edu.cn</t>
  </si>
  <si>
    <t>ding, yi/JJC-2699-2023; Peng, Rui/AAL-7506-2020</t>
  </si>
  <si>
    <t>China Postdoctoral Science Foundation [2020M670250, 2019TQ0090]; Fundamental Research Funds for the Central Universities [2020MS049]; National Social Science Foundation of China [19ZDA081]</t>
  </si>
  <si>
    <t>China Postdoctoral Science Foundation(China Postdoctoral Science Foundation); Fundamental Research Funds for the Central Universities(Fundamental Research Funds for the Central Universities); National Social Science Foundation of China(National Office of Philosophy and Social Sciences)</t>
  </si>
  <si>
    <t>This work was partly supported by China Postdoctoral Science Foundation (2020M670250, 2019TQ0090), the Fundamental Research Funds for the Central Universities (2020MS049), and the National Social Science Foundation of China (19ZDA081).</t>
  </si>
  <si>
    <t>10.1016/j.ress.2020.107139</t>
  </si>
  <si>
    <t>WOS:000583913400027</t>
  </si>
  <si>
    <t>Yang, L; Sun, QZ; Ye, ZS</t>
  </si>
  <si>
    <t>Yang, Li; Sun, Qiuzhuang; Ye, Zhi-Sheng</t>
  </si>
  <si>
    <t>Designing Mission Abort Strategies Based on Early-Warning Information: Application to UAV</t>
  </si>
  <si>
    <t>Economics; Reliability; Electric shock; Mission critical systems; Informatics; Unmanned aerial vehicles; Task analysis; Early-warning signal; economic analysis; mission abort; survivability; unmanned aerial vehicle</t>
  </si>
  <si>
    <t>PREVENTIVE MAINTENANCE; SYSTEMS; POLICY; PROGNOSTICS; DEGRADATION; MODEL</t>
  </si>
  <si>
    <t>The mission abort is an effective action to reduce the risk of casualties and enhance the survivability of mission-based systems such as aircrafts, submarines, and unmanned aerial vehicles (UAVs). A main task in real operations is to strive for balance between the mission reliability and the system survivability via elaborate mission abort plans. In this paper, we design the optimal mission abort policies based on the information of early-warning signals, which indicates the possible forthcoming fatal malfunction. Depending on the acquisition time of such information, the operator may immediately abort the mission, or ignore the information and continue the task. Within the framework of a constant mission duration, we carry out an economic analysis for the above problem. The optimal abort decision that minimizes the expected total economic loss is investigated. We further extend the proposed model to the scenario of a random mission duration and derive the corresponding optimal abort decisions. A case study on a UAV executing power-grid inspection missions is used to illustrate the applicability of the abort policies.</t>
  </si>
  <si>
    <t>[Yang, Li] Univ Toronto, Dept Mech &amp; Ind Engn, Toronto, ON M5S 3G8, Canada; [Sun, Qiuzhuang; Ye, Zhi-Sheng] Natl Univ Singapore, Dept Ind Syst Engn &amp; Management, Singapore 117576, Singapore</t>
  </si>
  <si>
    <t>University of Toronto; National University of Singapore</t>
  </si>
  <si>
    <t>Ye, ZS (corresponding author), Natl Univ Singapore, Dept Ind Syst Engn &amp; Management, Singapore 117576, Singapore.</t>
  </si>
  <si>
    <t>yangli@mie.utoronto.ca; qiuzhuang.sun@u.nus.edu; yez@nus.edu.sg</t>
  </si>
  <si>
    <t>Ye, Zhisheng/F-6635-2011; Yang, Li/ADU-8475-2022; Sun, Qiuzhuang/N-8864-2019</t>
  </si>
  <si>
    <t>Natural Science Foundation of China [71771221, 71871191]; Singapore MOE Tier 2 [R-266-000-125-112]</t>
  </si>
  <si>
    <t>Natural Science Foundation of China(National Natural Science Foundation of China (NSFC)); Singapore MOE Tier 2(Ministry of Education, Singapore)</t>
  </si>
  <si>
    <t>This work was supported in part by the Natural Science Foundation of China under Grant 71771221 and Grant 71871191, and in part by the Singapore MOE Tier 2 under Grant R-266-000-125-112.</t>
  </si>
  <si>
    <t>10.1109/TII.2019.2912427</t>
  </si>
  <si>
    <t>KE2ZL</t>
  </si>
  <si>
    <t>WOS:000508428900026</t>
  </si>
  <si>
    <t>Wu, CS; Zhao, X; Wang, XY; Wang, SQ</t>
  </si>
  <si>
    <t>Wu, Congshan; Zhao, Xian; Wang, Xiaoyue; Wang, Siqi</t>
  </si>
  <si>
    <t>Reliability analysis of performance-based balanced systems with common bus performance sharing</t>
  </si>
  <si>
    <t>Performance sharing systems; Balanced systems; Markov process; Universal generating function (UGF) technique</t>
  </si>
  <si>
    <t>MULTISTATE SERIES SYSTEMS; PARALLEL SYSTEMS; MAINTENANCE; ALLOCATION</t>
  </si>
  <si>
    <t>In this paper, a performance-based balanced system with common bus performance sharing is established. The system consists of n components connected by a common bus. Each component has its individual performance which can be shared among all components via the common bus. The system is balanced if the performance of each component is the same and it can be rebalanced by redistributing performances among all components via the common bus if the system is out of balance. The system fails when the system is out of balance after performance sharing or the total performance of the system is less than a predetermined value, whichever occurs first. A Markov process is employed to describe the performance variation of each component and the universal generating function technique is applied to obtain analytical solution of the system reliability. A specific analysis of battery balancing of lithium battery pack is given to show the application of the proposed model and effectiveness of the proposed method.</t>
  </si>
  <si>
    <t>[Wu, Congshan; Zhao, Xian; Wang, Siqi] Beijing Inst Technol, Sch Management &amp; Econ, Beijing 100081, Peoples R China; [Wang, Xiaoyue] Beijing Technol &amp; Business Univ, Sch E Business &amp; Logist, Beijing 100048, Peoples R China</t>
  </si>
  <si>
    <t>National Natural Science Foundation of China [71971026, 71572014, 72001006]; Beijing Social Science Foundation [20GLC052]</t>
  </si>
  <si>
    <t>National Natural Science Foundation of China(National Natural Science Foundation of China (NSFC)); Beijing Social Science Foundation</t>
  </si>
  <si>
    <t>This work was supported by the National Natural Science Foundation of China [grant numbers 71971026, 71572014 and 72001006], and the Beijing Social Science Foundation [grant number 20GLC052].</t>
  </si>
  <si>
    <t>10.1016/j.ress.2021.107865</t>
  </si>
  <si>
    <t>WOS:000690283800052</t>
  </si>
  <si>
    <t>Wang, JJ; Wang, ZX; Zheng, R</t>
  </si>
  <si>
    <t>Wang, Jingjing; Wang, Zongxi; Zheng, Rui</t>
  </si>
  <si>
    <t>Optimal inventory policy for a balanced system subject to hard failure</t>
  </si>
  <si>
    <t>Inventory policy; Replacement policy; Balanced systems; Semi-Markov decision process</t>
  </si>
  <si>
    <t>JOINT OPTIMIZATION; PREVENTIVE MAINTENANCE; RELIABILITY; REPLACEMENT</t>
  </si>
  <si>
    <t>This paper explores a novel spare parts provisioning and replacement policy for a balanced system that differs from orthodox systems in failure mechanisms. Once a unit fails, then the corresponding unit in symmetric position must be shut down to maintain a balance. The balanced system fails if and only if no pair of units are working. To avoid system unbalance, an optimal (s,S) inventory policy is adopted for a balanced system with n independently and identically distributed units. Once the stock level decreases to the order point s, an order action is incurred and the order delivery time follows a general distribution. The system average O&amp;M cost per unit time is minimized by optimizing the order point s under the semi-Markov decision process. Finally, an illustrative example for a balanced system with six identical components is used to demonstrate the proposed inventory policy.</t>
  </si>
  <si>
    <t>[Wang, Jingjing; Wang, Zongxi] Qingdao Univ Technol, Sch Management Engn, Qingdao 266525, Peoples R China; [Wang, Jingjing] Qingdao Univ Technol, Ctr Struct Acoust &amp; Machine Fault Diag, Qingdao 266525, Peoples R China; [Zheng, Rui] Southeast Univ, Sch Mech Engn, Nanjing 211189, Peoples R China</t>
  </si>
  <si>
    <t>Qingdao University of Technology; Qingdao University of Technology; Southeast University - China</t>
  </si>
  <si>
    <t>Wang, JJ (corresponding author), Qingdao Univ Technol, Sch Management Engn, Qingdao 266525, Peoples R China.</t>
  </si>
  <si>
    <t>10.1016/j.ress.2021.108015</t>
  </si>
  <si>
    <t>WOS:000702351700081</t>
  </si>
  <si>
    <t>Zhang, C; Xu, X; Dui, HY</t>
  </si>
  <si>
    <t>Zhang, Chao; Xu, Xin; Dui, Hongyan</t>
  </si>
  <si>
    <t>Analysis of network cascading failure based on the cluster aggregation in cyber-physical systems</t>
  </si>
  <si>
    <t>Cascading failure; Networks; nodes; Edges; Cyber-physical systems</t>
  </si>
  <si>
    <t>MULTISTATE SYSTEMS; RELIABILITY-ANALYSIS; SUBJECT; OPTIMIZATION; MAINTENANCE; MODEL</t>
  </si>
  <si>
    <t>A cascading failure is a phenomenon in which the failure of one or several nodes triggers the failure of other nodes. In cyber-physical systems, the failure propagation of edge information adversely affects the network performance. Past research on cascade failure has primarily focused on the node distribution but has ignored the influence of the edges on the cascading failure and network stability. In addition, research is lacking on the internal connections of nodes and edges and the role of the constituent topology. In this paper, a cascading failure model that considers different types of nodes and edges and their contribution to the network is developed and analyzed based on cluster aggregation in cyber-physical systems. The topological changes in the networks after multiple aggregations of clusters during a cascading failure are described. The relative capacity of the flow of the edges is proposed to determine the importance rank of the network elements, and the integrated transfer efficiency of the network is used to assess the performance. The model can detect the most important nodes, edges, and critical failure paths. These factors are of great significance for adjusting the topology of the network or designing new networks. Examples of networks are used to demonstrate the proposed method.</t>
  </si>
  <si>
    <t>[Zhang, Chao] Beihang Univ, Sch Automat Sci &amp; Elect Engn, Beijing 100083, Peoples R China; [Zhang, Chao] Beihang Univ, Res Inst Frontier Sci, Beijing 100191, Peoples R China; [Xu, Xin] Southeast Univ, Sch Econ &amp; Management, Nanjing 210096, Peoples R China; [Dui, Hongyan] Zhengzhou Univ, Sch Management Engn, Zhengzhou 450001, Peoples R China</t>
  </si>
  <si>
    <t>Beihang University; Beihang University; Southeast University - China; Zhengzhou University</t>
  </si>
  <si>
    <t>National Natural Science Foundation of China [U1904211, 51875015, 51620105010, 71501173]; University Grants Committee of Hong Kong [CityU 11203519]; Key Laboratory of Science and Technology on Integrated Logistics Support [6142003190104]</t>
  </si>
  <si>
    <t>National Natural Science Foundation of China(National Natural Science Foundation of China (NSFC)); University Grants Committee of Hong Kong; Key Laboratory of Science and Technology on Integrated Logistics Support</t>
  </si>
  <si>
    <t>The authors gratefully acknowledge the financial support for this research from the National Natural Science Foundation of China (Nos. U1904211, 51875015, 51620105010, 71501173), University Grants Committee of Hong Kong (CityU 11203519), and the Key Laboratory of Science and Technology on Integrated Logistics Support (6142003190104).</t>
  </si>
  <si>
    <t>10.1016/j.ress.2020.106963</t>
  </si>
  <si>
    <t>WOS:000564277900001</t>
  </si>
  <si>
    <t>Yan, XB; Qiu, H; Peng, R; Wu, SM</t>
  </si>
  <si>
    <t>Yan, Xiangbin; Qiu, Hui; Peng, Rui; Wu, Shaomin</t>
  </si>
  <si>
    <t>Optimal configuration of a power grid system with a dynamic performance sharing mechanism</t>
  </si>
  <si>
    <t>Power grid system; Performance sharing mechanism; Optimal generator allocation policy; Hybridized particle swarm optimization (HPSO) algorithm</t>
  </si>
  <si>
    <t>PARTICLE SWARM OPTIMIZATION; MULTISTATE SYSTEMS; RELIABILITY-ANALYSIS; MODEL; MAINTENANCE; ALLOCATION</t>
  </si>
  <si>
    <t>Performance sharing is an effective policy for a power grid system to satisfy the power demand of different districts to greatest extent. Through transmission lines, the districts with sufficient power can share the redundant power with the districts with power deficit. The existing research has incorporated the performance sharing mechanism into systems with simple structures such as parallel systems and series-parallel systems. However, little concentration has been spent on more complex structures. This necessitates the need of this paper that models a power distribution with a more complex reliability structure. We assume that the system is composed of generators and nodes. Both the performance of each generator and the demand of each node in the network are assumed to be random variables. This paper first proposes a dynamic performance sharing policy to minimize the unsupplied demand for a given system with fixed capacity and demand. The optimal allocation of generators, which minimizes the expected system unsupplied demand, is then studied. Numerical examples are proposed to illustrate the applications of the proposed procedures.</t>
  </si>
  <si>
    <t>[Yan, Xiangbin; Qiu, Hui] Univ Sci &amp; Technol Beijing, Donlinks Sch Econ &amp; Management, Beijing, Peoples R China; [Qiu, Hui] Yuncheng Univ, Dept Econ Management, Yuncheng City, Shanxi, Peoples R China; [Peng, Rui] Beijing Univ Technol, Sch Econ &amp; Management, Beijing, Peoples R China; [Wu, Shaomin] Univ Kent, Kent Business Sch, Canterbury CT2 7FS, Kent, England</t>
  </si>
  <si>
    <t>University of Science &amp; Technology Beijing; Yuncheng University; Beijing University of Technology; University of Kent</t>
  </si>
  <si>
    <t>Peng, R (corresponding author), Beijing Univ Technol, Sch Econ &amp; Management, Beijing, Peoples R China.</t>
  </si>
  <si>
    <t>pengrui1988@bjut.edu.cn</t>
  </si>
  <si>
    <t>Wu, Shaomin/ABG-3429-2020; Peng, Rui/AAL-7506-2020; Yan, xiangbin/AAF-8402-2019; Wu, Shaomin/A-1940-2010</t>
  </si>
  <si>
    <t>NSFC [71671016, 71531013]</t>
  </si>
  <si>
    <t>The research was supported by the NSFC under grant numbers 71671016 and 71531013.</t>
  </si>
  <si>
    <t>10.1016/j.ress.2019.106613</t>
  </si>
  <si>
    <t>WOS:000501641400019</t>
  </si>
  <si>
    <t>Kang, FM; Cui, LR; Ye, ZS; Zhou, Y</t>
  </si>
  <si>
    <t>Kang, Fengming; Cui, Lirong; Ye, Zhisheng; Zhou, Yu</t>
  </si>
  <si>
    <t>Reliability analysis for systems with self-healing mechanism in degradation-shock dependence processes with changing degradation rate</t>
  </si>
  <si>
    <t>Reliability; Self-healing mechanism; Dependent competing failure process; Degradation; Damage evolution effect</t>
  </si>
  <si>
    <t>CONDITION-BASED MAINTENANCE; DETERIORATING SYSTEMS; DAMAGE EVOLUTION; SUBJECT; MODEL</t>
  </si>
  <si>
    <t>We consider a system subject to two distinct failure modes, i.e., a soft failure subject to gradual degradation, and a hard failure caused by cumulative shocks, whichever comes first. This type of systems has wide applications and has been extensively studied in the literature. However, little attention has been paid to the dynamic selfhealing mechanism in such systems. With the emergence of intelligent systems and complex architectures, materials with intrinsic self-healing mechanism have the ability to recover damage under external random shocks. In order to illustrate practical significance of the proposed model, reinforced concrete beams (RC-beam) with self-healing capsules in dependent competing failure processes due to cumulative crack evolution effect and rebar performance degradation are taken as the application background. In this paper, the change of degradation rates and damage evolution effect are considered based on the design of critical failure threshold and self-healing mechanism. This study proposes a novel reliability model for a system experiencing dependent competing degradation and cumulative shock failure in a dynamic self-healing environment. A procedure is developed to evaluate the reliability based on this model. We demonstrate the fitness of proposed model through numerical simulation and sensitivity analysis.</t>
  </si>
  <si>
    <t>[Kang, Fengming; Zhou, Yu] Inner Mongolia Univ, Sch Econ &amp; Management, Hohhot 010021, Peoples R China; [Cui, Lirong] Qingdao Univ, Coll Qual &amp; Standardizat, Qingdao 266071, Peoples R China; [Ye, Zhisheng] Natl Univ Singapore, Dept Ind Syst Engn &amp; Management, Singapore 117576, Singapore</t>
  </si>
  <si>
    <t>Inner Mongolia University; Qingdao University; National University of Singapore</t>
  </si>
  <si>
    <t>Kang, FM (corresponding author), Inner Mongolia Univ, Sch Econ &amp; Management, Hohhot 010021, Peoples R China.</t>
  </si>
  <si>
    <t>kangfengming@imu.edu.cn</t>
  </si>
  <si>
    <t>Cui, Lirong/JHU-9897-2023; Kang, Fengming/AIA-4072-2022</t>
  </si>
  <si>
    <t>Zhou, Yu/0000-0002-6196-5012; Kang, Fengming/0000-0003-2716-3689</t>
  </si>
  <si>
    <t>National Natural Science Foundation of China [71961025, 2023MS07005]; Inner Mongolia University High-level Talent Introduction Research Project [R-266-000-155-114]; China Scholarship Council; Singapore MOE Tier 1 grant; Future Resilient Systems Project, the Natural Science Foundation of Inner Mongolia Autonomous Region; [72361029]; [10000-23112101/006]; [202006030111]</t>
  </si>
  <si>
    <t>National Natural Science Foundation of China(National Natural Science Foundation of China (NSFC)); Inner Mongolia University High-level Talent Introduction Research Project; China Scholarship Council(China Scholarship Council); Singapore MOE Tier 1 grant(Ministry of Education, Singapore); Future Resilient Systems Project, the Natural Science Foundation of Inner Mongolia Autonomous Region; ; ;</t>
  </si>
  <si>
    <t>This work was supported by the National Natural Science Foundation of China under Grants (No.72361029), the Inner Mongolia University High-level Talent Introduction Research Project (No.10000-23112101/006), the National Natural Science Foundation of China under Grants (No.71961025), the China Scholarship Council to Study in National University of Singapore as a visiting scholar in 2021-2022 (No.202006030111), the Singapore MOE Tier 1 grant (No.R-266-000-155-114) and the Future Resilient Systems Project, the Natural Science Foundation of Inner Mongolia Autonomous Region (No.2023MS07005). The insightful comments from the editor and anonymous reviewers are sincerely appreciated.</t>
  </si>
  <si>
    <t>10.1016/j.ress.2023.109671</t>
  </si>
  <si>
    <t>X3AQ2</t>
  </si>
  <si>
    <t>WOS:001097218100001</t>
  </si>
  <si>
    <t>Liu, BL; Zhang, ZQ; Wen, YQ; Kang, SG; Guo, YX; Qiu, QG</t>
  </si>
  <si>
    <t>Liu, Baoliang; Zhang, Zhiqiang; Wen, Yanqing; Kang, Shugui; Guo, Yanxin; Qiu, Qingan</t>
  </si>
  <si>
    <t>Reliability analysis for complex systems subject to competing failure processes in an uncertain environment</t>
  </si>
  <si>
    <t>Competing failure processes; reliability; uncertainty theory; uncertain variable; uncertain distribution</t>
  </si>
  <si>
    <t>MODEL; MAINTENANCE; REPLACEMENT; POLICY</t>
  </si>
  <si>
    <t>Reliability analysis of complex systems subject to competing failure processes based on probability theory has received increasing attention. However, in many situations, the observed data is too limited to estimate the parameters and probability distributions of the system by statistic methods. To address this problem, an uncertain degradation models is proposed in this paper under the framework of uncertainty theory. Based on this model, a complex system which is subject to both continuous internal degradation and external shocks is introduced. The continuous internal degradation of the system is controlled by some uncertain factors, and the external shocks are deemed to an uncertain renewal reward process. Reliability for the complex systems is obtained by employing the uncertainty theory. Finally, a case study is presented to demonstrate the effectiveness of the results obtained in the paper.</t>
  </si>
  <si>
    <t>[Liu, Baoliang; Zhang, Zhiqiang; Wen, Yanqing; Kang, Shugui; Guo, Yanxin] Shanxi Datong Univ, Sch Math &amp; Stat, Datong, Shanxi, Peoples R China; [Qiu, Qingan] Beijing Inst Technol, Sch Management &amp; Econ, Beijing, Peoples R China</t>
  </si>
  <si>
    <t>Shanxi Datong University; Beijing Institute of Technology</t>
  </si>
  <si>
    <t>Wen, YQ (corresponding author), Shanxi Datong Univ, Sch Math &amp; Stat, Datong, Shanxi, Peoples R China.</t>
  </si>
  <si>
    <t>oryqwen@163.com</t>
  </si>
  <si>
    <t>Zhang, Zhiqiang/P-6934-2014; , Qingan/AEV-3558-2022</t>
  </si>
  <si>
    <t>Zhang, Zhiqiang/0000-0002-8736-8144; , Qingan/0000-0001-8741-0536</t>
  </si>
  <si>
    <t>National Natural Science of China [71601101, 71631001]; Scientific and Technological Innovation Programs of Higher Education Institutions in Shanxi [2019L0738, 2020L0463]; Research Project of Shanxi Datong University [2019CXK1]</t>
  </si>
  <si>
    <t>National Natural Science of China(National Natural Science Foundation of China (NSFC)); Scientific and Technological Innovation Programs of Higher Education Institutions in Shanxi; Research Project of Shanxi Datong University</t>
  </si>
  <si>
    <t>This research is supported by the National Natural Science of China under Grants No. 71601101 and 71631001, Scientific and Technological Innovation Programs of Higher Education Institutions in Shanxi (No. 2019L0738, 2020L0463), the Research Project of Shanxi Datong University No. 2019CXK1. The authors are very grateful to comments and suggestions of the editors and three anonymous referees that improved the previous version of the paper.</t>
  </si>
  <si>
    <t>10.3233/JIFS-200343</t>
  </si>
  <si>
    <t>OH6QY</t>
  </si>
  <si>
    <t>WOS:000582721200085</t>
  </si>
  <si>
    <t>Zhao, X; Wang, SQ; Wang, XY; Fan, Y</t>
  </si>
  <si>
    <t>Zhao, Xian; Wang, Siqi; Wang, Xiaoyue; Fan, Yu</t>
  </si>
  <si>
    <t>Multi-state balanced systems in a shock environment</t>
  </si>
  <si>
    <t>Multi-state balanced system; Shock environment; Reliability analysis; Two-step finite Markov chain imbedding approach</t>
  </si>
  <si>
    <t>PHASED-MISSION SYSTEMS; RELIABILITY ASSESSMENT; MAINTENANCE; POLICIES; SUBJECT</t>
  </si>
  <si>
    <t>Reliability analysis of balanced systems has become an important research topic. In previous studies, a balanced system only has two states, i.e., perfect functioning and complete failure. However, most practical systems have more than two states because of the complex system structure and complicated working environment. To fill in this research gap, a general multi-state balanced system is proposed by considering that the components in the system and the whole system both have multiple states. In this paper, component state transitions are assumed to be caused by external shocks. Based on the operating states of all components, the multiple states of the system are determined according to different system balance degrees, formulated by a balance function. Multi-state balanced systems based on state distance and symmetric state distance are constructed in detail based on two specific balance functions. The corresponding state probability functions and some other reliability indexes are derived by using a two-step finite Markov chain imbedding approach. Finally, numerical examples are presented and some future research topics are discussed.</t>
  </si>
  <si>
    <t>[Zhao, Xian; Wang, Siqi; Fan, Yu] Beijing Inst Technol, Sch Management &amp; Econ, Beijing 100081, Peoples R China; [Wang, Xiaoyue] Beijing Technol &amp; Business Univ, Business Sch, Beijing 100048, Peoples R China</t>
  </si>
  <si>
    <t>National Natural Science Foundation of China [71572014]</t>
  </si>
  <si>
    <t>This work is supported by the National Natural Science Foundation of China (grant no. 71572014).</t>
  </si>
  <si>
    <t>10.1016/j.ress.2019.106592</t>
  </si>
  <si>
    <t>WOS:000501641400005</t>
  </si>
  <si>
    <t>Su, P; Zhang, KY; Qiu, QA</t>
  </si>
  <si>
    <t>Su, Peng; Zhang, Keyong; Qiu, Qingan</t>
  </si>
  <si>
    <t>Reliability evaluation of phased-mission systems exposed to random shocks</t>
  </si>
  <si>
    <t>Phased-mission systems; non-overlapping mission; Poisson process; mission success probability; modularization method</t>
  </si>
  <si>
    <t>OPTIMAL INSPECTION; FAILURE PROCESS; SUBJECT; OPTIMIZATION; MAINTENANCE; ALGORITHM; POLICY; MODEL</t>
  </si>
  <si>
    <t>The paper aims to examine the reliability analysis problem of phased-mission systems that execute multiple consecutive non-overlapping mission phases in a random shock environment. Each phase is carried out by several subsystems which consist of non-repairable components connected in different topology configurations. The random shocks, modeled by a Poisson process, significantly affect the failure rate of components within the dynamic subsystems. The system configuration, success criteria, and component failure behavior may differ from phase to phase. The paper presents technical methodologies to evaluate the mission success probabilities of subsystems in various configurations and proposes a modularization method to compute the reliability of phased-mission systems by combining the mission success probabilities of all subsystems. Finally, a numerical example is provided to illustrate the proposed model and method.</t>
  </si>
  <si>
    <t>[Su, Peng; Zhang, Keyong] North Univ China, Sch Econ &amp; Management, Taiyuan, Peoples R China; [Su, Peng] Shanxi Transportat Technol Res &amp; Dev Co Ltd, Taiyuan, Peoples R China; [Qiu, Qingan] Beijing Inst Technol, Sch Management &amp; Econ, Beijing, Peoples R China; [Qiu, Qingan] Beijing Inst Technol, Sch Management &amp; Econ, 5 Zhongguancun South St, Beijing 100081, Peoples R China</t>
  </si>
  <si>
    <t>North University of China; Beijing Institute of Technology; Beijing Institute of Technology</t>
  </si>
  <si>
    <t>Qiu, QA (corresponding author), Beijing Inst Technol, Sch Management &amp; Econ, 5 Zhongguancun South St, Beijing 100081, Peoples R China.</t>
  </si>
  <si>
    <t>National Natural Science Foundation of China [72001026, 72371030]; Key Project of Shanxi province Federation of Social Science [SSKLZDKT2022054]; Philosophy and Social Science Project of Shanxi Province [2021W081, 2022W068]</t>
  </si>
  <si>
    <t>National Natural Science Foundation of China(National Natural Science Foundation of China (NSFC)); Key Project of Shanxi province Federation of Social Science; Philosophy and Social Science Project of Shanxi Province</t>
  </si>
  <si>
    <t>The author(s) disclosed receipt of the following financial support for the research, authorship, and/or publication of this article: The authors are grateful to the editor and reviewers for their helpful comments. This work was partially supported by the National Natural Science Foundation of China under Grant 72001026 and 72371030, Key Project of Shanxi province Federation of Social Science under Grant SSKLZDKT2022054, and by the Philosophy and Social Science Project of Shanxi Province under 2021W081 and 2022W068.</t>
  </si>
  <si>
    <t>10.1177/1748006X231215830</t>
  </si>
  <si>
    <t>WOS:001118469300001</t>
  </si>
  <si>
    <t>On the combined imperfect repair process</t>
  </si>
  <si>
    <t>PROBABILITY IN THE ENGINEERING AND INFORMATIONAL SCIENCES</t>
  </si>
  <si>
    <t>stochastic intensity; Poisson process; generalized Polya process; minimal repair; bivariate point process</t>
  </si>
  <si>
    <t>PREVENTIVE MAINTENANCE; MINIMAL REPAIR</t>
  </si>
  <si>
    <t>In this paper, a new point process is introduced. It combines the nonhomogeneous Poisson process with the generalized Polya process (GPP) studied in recent literature. In reliability interpretation, each event (failure) from this process is minimally repaired with a given probability and GPP-repaired with the complementary probability. Characterization of the new process via the corresponding bivariate point process is presented. The mean numbers of events for marginal processes are obtained via the corresponding rates, which are used for considering an optimal replacement problem as an application.</t>
  </si>
  <si>
    <t>[Cha, Ji Hwan] Ewha Womans Univ, Dept Stat, Seoul 120750, South Korea; [Finkelstein, Maxim] Univ Free State, Dept Math Stat, ZA-9300 Bloemfontein, South Africa; [Finkelstein, Maxim] Univ Strathclyde, Dept Management Sci, Glasgow G40 4JR, Scotland</t>
  </si>
  <si>
    <t>The authors thank the Associate Editor and the reviewer for helpful comments and advice. This work was supported by Basic Science Research Program through the National Research Foundation of Korea (NRF) funded by the Ministry of Education (grant number: 2019R1A6A1A11051177).</t>
  </si>
  <si>
    <t>0269-9648</t>
  </si>
  <si>
    <t>1469-8951</t>
  </si>
  <si>
    <t>PROBAB ENG INFORM SC</t>
  </si>
  <si>
    <t>Probab. Eng. Inform. Sci.</t>
  </si>
  <si>
    <t>10.1017/S0269964823000177</t>
  </si>
  <si>
    <t>D0D8X</t>
  </si>
  <si>
    <t>WOS:001091310900001</t>
  </si>
  <si>
    <t>Lin, C; Xiao, H; Xiang, YS; Peng, R</t>
  </si>
  <si>
    <t>Lin, Chen; Xiao, Hui; Xiang, Yisha; Peng, Rui</t>
  </si>
  <si>
    <t>Optimizing dynamic performance of phased-mission systems with a common bus and warm standby elements</t>
  </si>
  <si>
    <t>Reliability; Phased-mission system; Common bus performance sharing; Warm standby; Optimal sequencing; Universal generating function</t>
  </si>
  <si>
    <t>MULTISTATE SYSTEMS; RELIABILITY-ANALYSIS; MAINTENANCE; PROTECTION; ALLOCATION; MODEL; COST</t>
  </si>
  <si>
    <t>Phased-mission systems widely exist in many real-world systems such as communication networks, aerospace and unmanned aerial vehicles. The reliability modeling and analysis of phased-mission systems is highly important due to their indispensable roles in the society. Reliability analysis of a phased-mission system is challenging because of the statistical dependencies between different phases and the dynamic behaviors of system components. This research considers a phased-mission system with a common bus and warm standby elements. Each unit of the phased-mission system consists of n binary-state nonrepairable elements that are configured as a 1-out-of-n: G warm standby system. A recursive algorithm is proposed to determine the performance of the stochastic process with arbitrary time-to-failure distributions. A reliability evaluation algorithm based on the universal generating function is proposed to analyze the average instantaneous availability of the considered system. We further study the optimal system design problem that aims to find the optimal elements allocation as well as the optimal activation sequence to maximize the average instantaneous availability. A case study of a supervisory control and data acquisition system is presented to illustrate the application of the proposed model and algorithms.</t>
  </si>
  <si>
    <t>[Lin, Chen] Hunan Univ Technol &amp; Business, Sch Management, Changsha 410205, Hunan, Peoples R China; [Lin, Chen] Changsha Social Lab Artificial Intelligence, Changsha 410205, Hunan, Peoples R China; [Xiao, Hui] Southwestern Univ Finance &amp; Econ, Sch Management Sci &amp; Engn, Chengdu 611130, Peoples R China; [Xiang, Yisha] Texas Tech Univ, Dept Ind Mfg &amp; Syst Engn, Box 43061, Lubbock, TX USA; [Peng, Rui] Beijing Univ Technol, Sch Econ &amp; Management, Beijing 100124, Peoples R China</t>
  </si>
  <si>
    <t>Hunan University of Technology &amp; Business; Southwestern University of Finance &amp; Economics - China; Texas Tech University System; Texas Tech University; Beijing University of Technology</t>
  </si>
  <si>
    <t>Xiao, H (corresponding author), Southwestern Univ Finance &amp; Econ, Sch Management Sci &amp; Engn, Chengdu 611130, Peoples R China.</t>
  </si>
  <si>
    <t>msxh@swufe.edu.cn</t>
  </si>
  <si>
    <t>Peng, Rui/AAL-7506-2020; Xiao, Hui/N-9777-2015</t>
  </si>
  <si>
    <t>National Natural Science Foundation of China [71971176]; Scientific Research Foundation of Hunan Provincial Education Department [72091513]; Major Program Project of National Natural Science Foundation of China [72071005]; [21B0567]</t>
  </si>
  <si>
    <t>National Natural Science Foundation of China(National Natural Science Foundation of China (NSFC)); Scientific Research Foundation of Hunan Provincial Education Department(Hunan Provincial Education Department); Major Program Project of National Natural Science Foundation of China(National Natural Science Foundation of China (NSFC));</t>
  </si>
  <si>
    <t>Hui Xiao ' s research is supported by National Natural Science Foundation of China under grant number 71971176. Rui Peng ' s research is supported by National Natural Science Foundation of China under grant number 72071005. Chen Lin ' s research is supported by Scientific Research Foundation of Hunan Provincial Education Department under grant number 21B0567, Major Program Project of National Natural Science Foundation of China under grant number 72091513.</t>
  </si>
  <si>
    <t>10.1016/j.ress.2023.109598</t>
  </si>
  <si>
    <t>W4LQ7</t>
  </si>
  <si>
    <t>WOS:001091359900001</t>
  </si>
  <si>
    <t>Sharifi, M; Taghipour, S</t>
  </si>
  <si>
    <t>Sharifi, Mani; Taghipour, Sharareh</t>
  </si>
  <si>
    <t>Redundancy allocation problem with a mix of components for a multi-state system and continuous performance level components</t>
  </si>
  <si>
    <t>Redundancy allocation problem with a mix of; components; Binary-state continuous performance level; Modified universal generating function; Genetic algorithm</t>
  </si>
  <si>
    <t>SIMPLIFIED SWARM OPTIMIZATION; MODEL</t>
  </si>
  <si>
    <t>This paper considered a new single-objective redundancy allocation problem with a mix of components (RAPMC) for a series-parallel system. The components are Binary-State Continuous Performance Level (BSCPL), which means each component has working or failed states, while the performance level of the components varies from its maximum performance level to zero. In RAPMC, the model can allocate a mix of components to each subsystem, so the model aims to maximize the system's availability during a fixed period of time by determining the optimal combination of the components in the sub-systems. The mathematical model of the system is presented in the first step. Then, a modified version of the universal generating function is proposed to calculate the sub-systems and the system's availability. Next, a novel genetic algorithm is adapted to solve the problem. Finally, the performance of the adapted GA is validated using the results of an exact method, Full enumeration. The adapted GA showed its applicability to solve the presented model in significantly low computational time.</t>
  </si>
  <si>
    <t>[Sharifi, Mani; Taghipour, Sharareh] Toronto Metropolitan Univ, Dept Mech &amp; Ind Engn, Reliabil Risk &amp; Maintenance Res Lab RRMR Lab, 350 Victoria St, Toronto, ON, Canada; [Taghipour, Sharareh] Canada Res Chair Phys Asset Management, Toronto, ON, Canada; [Sharifi, Mani; Taghipour, Sharareh] Toronto Metropolitan Univ, Dept Mech &amp; Ind Engn, 350 Victoria St, Toronto, ON, Canada</t>
  </si>
  <si>
    <t>Taghipour, S (corresponding author), Toronto Metropolitan Univ, Dept Mech &amp; Ind Engn, Reliabil Risk &amp; Maintenance Res Lab RRMR Lab, 350 Victoria St, Toronto, ON, Canada.;Taghipour, S (corresponding author), Canada Res Chair Phys Asset Management, Toronto, ON, Canada.;Taghipour, S (corresponding author), Toronto Metropolitan Univ, Dept Mech &amp; Ind Engn, 350 Victoria St, Toronto, ON, Canada.</t>
  </si>
  <si>
    <t>Sharareh@torontomu.ca</t>
  </si>
  <si>
    <t>Taghipour, Sharareh/0000-0003-3816-2462; Sharifi, Mani/0000-0002-7682-7077</t>
  </si>
  <si>
    <t>Canada Research Chair (CRC) program</t>
  </si>
  <si>
    <t>Canada Research Chair (CRC) program(Canada Research ChairsAustralian GovernmentDepartment of Industry, Innovation and ScienceCooperative Research Centres (CRC) Programme)</t>
  </si>
  <si>
    <t>The funding for this research was provided by the Canada Research Chair (CRC) program.</t>
  </si>
  <si>
    <t>10.1016/j.ress.2023.109632</t>
  </si>
  <si>
    <t>E1R8U</t>
  </si>
  <si>
    <t>WOS:001300857700001</t>
  </si>
  <si>
    <t>Zhang, Q; Fang, ZG</t>
  </si>
  <si>
    <t>Zhang, Qin; Fang, Zhigeng</t>
  </si>
  <si>
    <t>Optimal age replacement policies for k-out-of-n systems considering mission durations</t>
  </si>
  <si>
    <t>Age replacement; k-out-of-n system; Mission duration; Unmanned copter</t>
  </si>
  <si>
    <t>CONDITION-BASED MAINTENANCE; OPTIMIZATION; INSPECTION</t>
  </si>
  <si>
    <t>In order to provide the required reliability of k-out-of-n systems during mission executing process, mission durations are integrated into age replacement policies for k-out-of-n systems. Then, the simple replacement, replacement first and replacement last are proposed respectively. In each replacement policy, optimum parameters are discussed analytically and numerical examples are given to demonstrate the accuracy of derivations. Via comparing with traditional replacement policies, the effectiveness of our suggested replacement policies is verified. Finally, the proposed policies are illustrated in maintaining the engine system of an unmanned copter, which aims to guide engineers to determine the best replacement policy in three situations.</t>
  </si>
  <si>
    <t>[Zhang, Qin] Yangzhou Univ, Business Sch, Yangzhou 225127, Peoples R China; [Fang, Zhigeng] Nanjing Univ Aeronaut &amp; Astronaut, Coll Econ &amp; Management, Nanjing 211106, Peoples R China</t>
  </si>
  <si>
    <t>Yangzhou University; Nanjing University of Aeronautics &amp; Astronautics</t>
  </si>
  <si>
    <t>Zhang, Q (corresponding author), Yangzhou Univ, Business Sch, Yangzhou 225127, Peoples R China.</t>
  </si>
  <si>
    <t>007976@yzu.edu.cn</t>
  </si>
  <si>
    <t>National Natural Science Foundation of China [72271124, 72071111]; Natural Science Foundation of Jiangsu Province, China [BK20230553]</t>
  </si>
  <si>
    <t>National Natural Science Foundation of China(National Natural Science Foundation of China (NSFC)); Natural Science Foundation of Jiangsu Province, China(Natural Science Foundation of Jiangsu Province)</t>
  </si>
  <si>
    <t>This research is partially supported by the project of the National Natural Science Foundation of China (Grant No: 72271124, 72071111) and Natural Science Foundation of Jiangsu Province, China (Grant No: BK20230553).</t>
  </si>
  <si>
    <t>10.1016/j.ress.2024.110625</t>
  </si>
  <si>
    <t>M4R8E</t>
  </si>
  <si>
    <t>WOS:001357437500001</t>
  </si>
  <si>
    <t>Levitin, G; Xing, LD; Xiang, YP; Dai, YS</t>
  </si>
  <si>
    <t>Levitin, Gregory; Xing, Liudong; Xiang, Yanping; Dai, Yuanshun</t>
  </si>
  <si>
    <t>Mixed failure-driven and shock-driven mission aborts in heterogeneous systems with arbitrary structure</t>
  </si>
  <si>
    <t>Applied probability; Mission abort; Mission success probability shock; System survival probability</t>
  </si>
  <si>
    <t>MAINTENANCE POLICY; RELIABILITY; DEGRADATION; SUBJECT</t>
  </si>
  <si>
    <t>Failure-driven and condition-driven mission abort and rescue have recently received intensive research attentions in the system reliability field. Little work has addressed both types of aborts simultaneously and the existing model is limited to the special series system structure only. This paper advances the state of the art by modeling mixed failure-driven and condition-driven (specifically, shock-driven) mission aborts in systems with arbitrary system structures and heterogeneous elements. The system performs a primary mission (PM) in random environments exposed to the Poisson process of external shocks. Different system elements have different resistance to shocks, and the shock resistance deteriorates with the number of experienced shocks. A rescue procedure (RP) is triggered to possibly survive the system when a specified number of shocks take place (condition/shockdriven) or when failures of some system elements caused by shocks do not allow continuing the PM execution but allow performing the RP (failure-driven). A universal probabilistic approach is suggested for evaluating the mission success probability (MSP) and system survival probability (SSP) of the considered system. Two example systems (an electric feeder heating system and a smart farm wireless sensor network system) are analyzed. The proposed approach and its applications are demonstrated in determining the optimal mission abort policy that maximizes MSP subject to the SSP constraint or minimizes the expected cost of losses, in the element shock resistance sensitivity analysis, as well as in finding the optimal shock protection replacement solution that minimizes the total cost.</t>
  </si>
  <si>
    <t>[Levitin, Gregory; Xiang, Yanping; Dai, Yuanshun] Univ Elect Sci &amp; Technol China, Chengdu, Peoples R China; [Levitin, Gregory] Israel Syst Management Co, Haifa, Israel; [Xing, Liudong] Univ Massachusetts, Dartmouth, MA 02747 USA</t>
  </si>
  <si>
    <t>Xiang, YP (corresponding author), Univ Elect Sci &amp; Technol China, Chengdu, Peoples R China.</t>
  </si>
  <si>
    <t>levitin_g@yahoo.com; lxing@umassd.edu; 2650931580@qq.com</t>
  </si>
  <si>
    <t>10.1016/j.ress.2021.107581</t>
  </si>
  <si>
    <t>WOS:000663910000011</t>
  </si>
  <si>
    <t>Levitin, G; Finkelstein, M; Dai, YS</t>
  </si>
  <si>
    <t>Levitin, Gregory; Finkelstein, Maxim; Dai, Yuanshun</t>
  </si>
  <si>
    <t>Optimal shock-driven switching strategies with elements reuse in heterogeneous warm-standby systems</t>
  </si>
  <si>
    <t>Mission success probability; Preventive replacement procedure; Warm standby; Shock process; Reusable elements</t>
  </si>
  <si>
    <t>PREVENTIVE MAINTENANCE; RELIABILITY; AVAILABILITY; OPTIMIZATION</t>
  </si>
  <si>
    <t>The paper considers heterogeneous 1-out-of-n warm-standby systems performing missions of a fixed duration when a failure of an operating element results in a mission failure. A system is operating in a random environment modeled by the Poisson process of shocks. Each shock can result in a failure of an operating element with probability that increases with the number of experienced shocks. Preventive replacement is used to reduce the probability of an operation failure. The standby elements experience the same shocks with a milder effect as they are partially shielded, which corresponds to a warm-standby mode. Elements after replacement can be reused again as standby elements. A new recursive algorithm for obtaining the mission success probability with reusable elements is suggested. This algorithm is used for determining the optimal sequence of replacements maximizing the mission success probability. A numerical example with detailed discussions is presented.</t>
  </si>
  <si>
    <t>[Levitin, Gregory; Dai, Yuanshun] Southwest Jiaotong Univ, Chengdu 611756, Peoples R China; [Levitin, Gregory] Israel Syst Management Co, Jerusalem, Israel; [Finkelstein, Maxim] ITMO Univ, 49 Kronverkskiy Pr, St Petersburg 197101, Russia</t>
  </si>
  <si>
    <t>Southwest Jiaotong University; ITMO University</t>
  </si>
  <si>
    <t>Dai, YS (corresponding author), Southwest Jiaotong Univ, Chengdu 611756, Peoples R China.</t>
  </si>
  <si>
    <t>Government of the Russian Federation [08-08]</t>
  </si>
  <si>
    <t>Government of the Russian Federation</t>
  </si>
  <si>
    <t>The work of the second author was supported by the Government of the Russian Federation (Grant No. 08-08).</t>
  </si>
  <si>
    <t>10.1016/j.ress.2021.107517</t>
  </si>
  <si>
    <t>WOS:000663909400024</t>
  </si>
  <si>
    <t>Vlastos, SI; Xanthopoulos, AS; Koulouriotis, DE</t>
  </si>
  <si>
    <t>Vlastos, Spyros I.; Xanthopoulos, A. S.; Koulouriotis, D. E.</t>
  </si>
  <si>
    <t>Stochastic modelling and analysis of a deteriorating serial production-inventory network</t>
  </si>
  <si>
    <t>Stochastic modelling; serial machines; Markov chains; deterioration failures; performance deterioration</t>
  </si>
  <si>
    <t>CONDITION-BASED MAINTENANCE; UNRELIABLE MACHINES; PRODUCTION LINES; PERFORMANCE-MEASURES; SYSTEMS; ALGORITHM; OPTIMIZATION; POLICY</t>
  </si>
  <si>
    <t>This study focuses on the stochastic modelling and analysis of a serial production network consisting of two manufacturing stations operating under a make-to-stock inventory policy. The outcome is a single type of product and every manufacturing station includes a machine and an output buffer. Both machines are gradually deteriorating during their operation. Deterioration results in a reduced production rate. Continuous-time Markov chain was used to model all the possible states the network transits over time due to the occurrence of certain events, such as client arrival, deterioration failure, production or repair completion. The structure of the Markov chain was thoroughly studied providing useful information, supporting the effort of numerical solving to determine the steady-state probabilities enabling the calculation of useful performance metrics like equipment availability, down time, idle time, utilisation and average inventory. Through a series of numerical experiments, the behaviour of the serial production network was examined while alternating its parameters. Interesting conclusions emerged regarding the factors affecting the operation of such production systems subjected to gradual deterioration.</t>
  </si>
  <si>
    <t>[Vlastos, Spyros I.; Xanthopoulos, A. S.; Koulouriotis, D. E.] Democritus Univ Thrace, Dept Prod &amp; Management Engn, Xanthi, Greece; [Vlastos, Spyros I.] Democritus Univ Thrace, Dept Prod &amp; Management Engn, V Sofias 12, Xanthi 67100, Greece</t>
  </si>
  <si>
    <t>Democritus University of Thrace; Democritus University of Thrace</t>
  </si>
  <si>
    <t>Vlastos, SI (corresponding author), Democritus Univ Thrace, Dept Prod &amp; Management Engn, V Sofias 12, Xanthi 67100, Greece.</t>
  </si>
  <si>
    <t>svlastos@pme.duth.gr</t>
  </si>
  <si>
    <t>KOULOURIOTIS, DIMITRIOS/AAI-9437-2021</t>
  </si>
  <si>
    <t>10.1080/00207543.2023.2217300</t>
  </si>
  <si>
    <t>MJ4S9</t>
  </si>
  <si>
    <t>WOS:000999998400001</t>
  </si>
  <si>
    <t>Zaretalab, A; Sharifi, M; Guilani, PP; Taghipour, S; Niaki, STA</t>
  </si>
  <si>
    <t>Zaretalab, Arash; Sharifi, Mani; Guilani, Pedram Pourkarim; Taghipour, Sharareh; Niaki, Seyed Taghi Akhavan</t>
  </si>
  <si>
    <t>A multi-objective model for optimizing the redundancy allocation, component supplier selection, and reliable activities for multi-state systems</t>
  </si>
  <si>
    <t>Availability; Redundancy allocation problem; Supplier selection; Multi-state systems</t>
  </si>
  <si>
    <t>SWARM OPTIMIZATION ALGORITHM; RELIABILITY OPTIMIZATION; PARALLEL SYSTEMS; STRATEGY; AVAILABILITY; CHOICE</t>
  </si>
  <si>
    <t>This paper presents a multi-objective availability-redundancy allocation optimization model for a hyper-system. The hyper-system consists of B systems with shared resources. The structure of the systems is series-parallel subsystems consisting of multi-failure and multi-state components. The components may be purchased from different suppliers based on their price and discounts. It is assumed that technical and organizational activities continuously affect the components' failure rates and the subsystems' working conditions before starting the system's mission horizon. The model aims to find the optimal number and the type of the subsystems' components for all systems from each supplier and the level of the technical and organizational activities. The problem is classified as an NP-hard class of problems; thus, four multi-objective meta-heuristics are adapted to solve the proposed model. These four meta-heuristics are non-dominated sorting genetic algorithm type II (NSGA-II) and type III (NSGA-III), non-dominated ranking genetic algorithm (NRGA), and multi-objective evolutionary algorithm based on decomposition (MOEA/D). The parameters of all algorithms are calibrated using response surface methodology. Moreover, a method based on a sequential combination of multi-objective evolutionary algorithms and data clustering is used on the Pareto solutions to yield a smaller and more manageable set of prospective solutions. The results showed the superiority of the NSGA-III and the MOEA/D algorithms to solve the presented model.</t>
  </si>
  <si>
    <t>[Zaretalab, Arash] Amirkabir Univ Technol, Dept Ind Engn, 424 Hafez Ave, Tehran, Iran; [Sharifi, Mani; Taghipour, Sharareh] Ryerson Univ, Mech &amp; Ind Engn Dept, Reliabil Risk &amp; Maintenance Res Lab RRMR Lab, 350 Victoria St, Toronto, ON, Canada; [Sharifi, Mani] Ryerson Univ, Dept Comp Sci, Distributed Syst &amp; Multimedia Proc Lab DSMP Lab, Toronto, ON, Canada; [Guilani, Pedram Pourkarim] Islamic Azad Univ, Fac Management, Dept Informat Technol Management, South Tehran Branch, Tehran, Iran; [Niaki, Seyed Taghi Akhavan] Sharif Univ Technol, Dept Ind Engn, POB 11155-9414 Azadi Ave, Tehran 1458889694, Iran</t>
  </si>
  <si>
    <t>Amirkabir University of Technology; Toronto Metropolitan University; Toronto Metropolitan University; Islamic Azad University; Sharif University of Technology</t>
  </si>
  <si>
    <t>Sharifi, M (corresponding author), Ryerson Univ, Mech &amp; Ind Engn Dept, Reliabil Risk &amp; Maintenance Res Lab RRMR Lab, 350 Victoria St, Toronto, ON, Canada.</t>
  </si>
  <si>
    <t>manisharifi@ryerson.ca</t>
  </si>
  <si>
    <t>Mani, Sharifi/GVS-4658-2022; Zaretalab, Arash/J-7511-2019; Niaki, Seyed Taghi Akhavan/B-4008-2011</t>
  </si>
  <si>
    <t>Sharifi, Mani/0000-0002-7682-7077; Niaki, Seyed Taghi Akhavan/0000-0001-6281-055X; Zaretalab, Arash/0000-0002-2540-3274; Shahriari, Mohammadreza/0000-0002-7519-3172; Taghipour, Sharareh/0000-0003-3816-2462</t>
  </si>
  <si>
    <t>10.1016/j.ress.2022.108394</t>
  </si>
  <si>
    <t>WOS:000771562000015</t>
  </si>
  <si>
    <t>Lu, B; Chen, Z; Zhao, XF</t>
  </si>
  <si>
    <t>Data-driven dynamic adaptive replacement policy for units subject to heterogeneous degradation</t>
  </si>
  <si>
    <t>Heterogeneous degradation; Replacement policy; Real-time degradation data; Remaining useful life; One-cycle criterion; Non-monotonic failure rate</t>
  </si>
  <si>
    <t>REMAINING USEFUL LIFE; AGE REPLACEMENT; WIENER-PROCESS; PREDICTION; MAINTENANCE; MODELS</t>
  </si>
  <si>
    <t>This paper proposes a data-driven dynamic adaptive replacement policy for units subject to heterogeneous degradation. A Wiener process with random drift parameter is used to model the heterogeneous degradation. For each individual unit, the real-time degradation data contain the useful information about its unique degradation pattern. Thus the real-time degradation data of an operating unit is used to dynamically estimate the posteriori distribution of its drift parameter and further update its remaining useful life (RUL) distribution. With the real-time RUL distribution, a cost model is developed based on the one-cycle criterion, aiming at minimum expected cost per unit of time for the cycle of the operating unit. The failure rate from the RUL distribution is proven to non-monotonic, first increasing and then decreasing. The monotonicity of the cost function under such a failure rate is analyzed, based on which the optimal preventive replacement (PR) interval is derived analytically. The cost function changes dynamically with the updating of RUL predictions and thus enables the replacement plan to be adaptively revised. The effectiveness and advantages of the proposed policy are illustrated through a simulation study and a practical case study.</t>
  </si>
  <si>
    <t>Lu, B (corresponding author), Nanjing Univ Aeronaut &amp; Astronaut, Coll Econ &amp; Management, Nanjing 211106, Peoples R China.</t>
  </si>
  <si>
    <t>National Natural Science Foundation of China [52005260, 71801126, 72001138]; Jiangsu Province Natural Science Foundation [BK20200446]</t>
  </si>
  <si>
    <t>National Natural Science Foundation of China(National Natural Science Foundation of China (NSFC)); Jiangsu Province Natural Science Foundation(Natural Science Foundation of Jiangsu Province)</t>
  </si>
  <si>
    <t>This work is supported by National Natural Science Foundation of China (NO. 52005260; 71801126; 72001138) , Jiangsu Province Natural Science Foundation (NO. BK20200446) .</t>
  </si>
  <si>
    <t>10.1016/j.cie.2022.108478</t>
  </si>
  <si>
    <t>3R4LP</t>
  </si>
  <si>
    <t>WOS:000838886700006</t>
  </si>
  <si>
    <t>Qiu Qingan; Cui Lirong</t>
  </si>
  <si>
    <t>Optimal mission abort policy for systems subject to random shocks based on virtual age process</t>
  </si>
  <si>
    <t>Mission abort; System survivability; Mission success probability; Virtual age process</t>
  </si>
  <si>
    <t>PREVENTIVE MAINTENANCE; REPAIRABLE SYSTEMS; COMPETING FAILURES; IMPERFECT REPAIR; RELIABILITY; TIME; MODELS; DELAY; OPTIMIZATION; DURATION</t>
  </si>
  <si>
    <t>Safety critical systems such as aircrafts, submarines and space stations are required to perform various missions. To enhance the survivability of such systems, a mission can be aborted when a certain malfunction or incident condition is satisfied and a rescue procedure should be activated. This paper develops a novel mission abort policy for systems experiencing both internal failure and external shocks. Failure process of the system can be divided into two stages from new to the initialization of a defect, and from that to failure. Motivated by the virtual age concept, the impact of external shocks is characterized by random virtual age increment in the two stages. We consider a policy where a mission is aborted if the duration in defective state is larger than a given threshold. Under the stochastic failure model and mission abort policy, mission success probability and system survivability are evaluated and the optimal abort threshold balancing the tradeoff between the system survivability and the mission success probability is investigated. A numerical example on a cooling system in chemical reactors is given to illustrate the applicability of the abort policy.</t>
  </si>
  <si>
    <t>[Qiu Qingan; Cui Lirong] Beijing Inst Technol, Sch Management &amp; Econ, Beijing, Peoples R China</t>
  </si>
  <si>
    <t>The authors are grateful to the editor and reviewers for their insightful comments which led to the improvement of this paper. This work is supported by National Natural Science Foundation of China (Grant no. 71631001). Qingan Qiu is supported by China Scholarship Council to study in University of Pittsburgh as a visiting scholar from Sep. 2018 to Sep. 2019.</t>
  </si>
  <si>
    <t>10.1016/j.ress.2019.04.010</t>
  </si>
  <si>
    <t>WOS:000474493000002</t>
  </si>
  <si>
    <t>Dui, H; Liu, KX; Wu, SM</t>
  </si>
  <si>
    <t>Dui, Hongyan; Liu, Kaixin; Wu, Shaomin</t>
  </si>
  <si>
    <t>Cascading failures and resilience optimization of hospital infrastructure systems against the COVID-19</t>
  </si>
  <si>
    <t>Reliability; Cascading failure; Resilience; Hospital infrastructure system; Supply chain</t>
  </si>
  <si>
    <t>CONDITION-BASED MAINTENANCE; SIRS EPIDEMIC MODEL; COMPONENT IMPORTANCE; GLOBAL DYNAMICS; PERFORMANCE; NETWORKS</t>
  </si>
  <si>
    <t>The outbreak of the Coronavirus Disease 2019 (COVID-19) has put the resilience of a country's healthcare infrastructure to the most severe test. The challenge of taking emergency measures to optimize the supply of medical resources and effectively meet the medical needs of residents is an important issue that needs to be resolved urgently in the prevention and control of public health emergencies. This paper analyzes cascading failures and optimization of the resilience of the hospital infrastructure system (HIS) with the presence of the COVID-19. It proposes a propagation model to describe the COVID-19 infectious process and establishes a cascading failure model of a HIS to analyze its failure mechanism. It also proposes a method for optimizing the resilience of HIS. Then the supplies and demands in maintaining the operations of HIS are studied, and a restoration strategy is obtained. Finally, simulation analysis of the spread of the COVID-19 is carried out to illustrate the applicability of the proposed method.</t>
  </si>
  <si>
    <t>[Dui, Hongyan; Liu, Kaixin] Zhengzhou Univ, Sch Management, Zhengzhou 450001, Peoples R China; [Wu, Shaomin] Univ Kent, Kent Business Sch, Canterbury CT2 7FS, Kent, England</t>
  </si>
  <si>
    <t>National Natural Science Foundation of China [U1904211, 222102520019]; Key Science and Technology Program of Henan Province [22HASTIT022]; Program for Science amp; Technology Innovation Talents in Universities of Henan Province [2021GGJS007]; Program for young backbone teachers in Universities of Henan Province; [72071182]</t>
  </si>
  <si>
    <t>National Natural Science Foundation of China(National Natural Science Foundation of China (NSFC)); Key Science and Technology Program of Henan Province; Program for Science amp; Technology Innovation Talents in Universities of Henan Province; Program for young backbone teachers in Universities of Henan Province;</t>
  </si>
  <si>
    <t>The authors gratefully acknowledge the financial support for this research from the National Natural Science Foundation of China (Nos. 72071182, U1904211) , the Key Science and Technology Program of Henan Province (No. 222102520019) , the Program for Science &amp; amp; Technology Innovation Talents in Universities of Henan Province (No. 22HASTIT022) , and the Program for young backbone teachers in Universities of Henan Province (No. 2021GGJS007) .</t>
  </si>
  <si>
    <t>10.1016/j.cie.2023.109158</t>
  </si>
  <si>
    <t>P9QZ1</t>
  </si>
  <si>
    <t>WOS:001053965200001</t>
  </si>
  <si>
    <t>Langston, A; Finkelstein, M; Cha, JH</t>
  </si>
  <si>
    <t>Langston, Amy; Finkelstein, Maxim; Cha, Ji Hwan</t>
  </si>
  <si>
    <t>On the point process with finite memory and its application to optimal age replacement</t>
  </si>
  <si>
    <t>Worse than minimal repair; minimal repair; generalized Polya process; optimal age replacement; long-run expected cost rate</t>
  </si>
  <si>
    <t>PREVENTIVE MAINTENANCE; REPAIR; MODELS</t>
  </si>
  <si>
    <t>There has been extensive study of various repair models in the literature, mostly under the assumption that these repairs are minimal or imperfect/better than minimal. Although this is often a realistic assumption, it may not be sufficient to model instances where the repair is worse than minimal. The generalized Polya process (GPP) that has been used to describe this type of repair takes into account all previous events/repairs, which is not often the case in practice. Therefore, in this paper, we define a new process with finite memory that starts as the GPP but, after a certain number of events or elapsed time, becomes the non-homogeneous Poisson process of repairs (minimal repairs). The corresponding age replacement policy is defined and the optimal solutions that minimize the long-run expected cost rate are analyzed. The detailed numerical examples illustrate our findings.</t>
  </si>
  <si>
    <t>[Langston, Amy] Rhodes Univ, Dept Stat, Makhanda, South Africa; [Finkelstein, Maxim] Univ Free State, Dept Math Stat, Bloemfontein, South Africa; [Finkelstein, Maxim] Univ Strathclyde, Dept Management Sci, Glasgow City, Scotland; [Cha, Ji Hwan] Ewha Womans Univ, Dept Stat, Seoul, South Korea; [Cha, Ji Hwan] Ewha Womans Univ, Dept Stat, Daehyun-dong 11-1, Seoul 120750, South Korea</t>
  </si>
  <si>
    <t>Rhodes University; University of the Free State; University of Strathclyde; Ewha Womans University; Ewha Womans University</t>
  </si>
  <si>
    <t>Cha, JH (corresponding author), Ewha Womans Univ, Dept Stat, Daehyun-dong 11-1, Seoul 120750, South Korea.</t>
  </si>
  <si>
    <t>The author(s) disclosed receipt of the following financial support for the research, authorship, and/or publication of this article: The work of the third author was supported by Basic Science Research Program through the National Research Foundation of Korea (NRF) funded by the Ministry of Education (Grant Number: 2019R1A6A1A11051177).</t>
  </si>
  <si>
    <t>10.1177/1748006X231205903</t>
  </si>
  <si>
    <t>WOS:001113058700001</t>
  </si>
  <si>
    <t>Wu, CS; Pan, R; Zhao, X</t>
  </si>
  <si>
    <t>Wu, Congshan; Pan, Rong; Zhao, Xian</t>
  </si>
  <si>
    <t>Reliability assessment of multi-state performance sharing systems with transmission loss and random shocks</t>
  </si>
  <si>
    <t>Performance sharing systems; random external shocks; universal generating function technique; finite Markov chain imbedding approach; phase-type distribution</t>
  </si>
  <si>
    <t>SERIES-PARALLEL SYSTEMS; PHASED-MISSION SYSTEMS; ABORT POLICY; MAINTENANCE; PROTECTION; ALLOCATION; SUBJECT</t>
  </si>
  <si>
    <t>In this article, a performance sharing system with transmission loss and a shock operation environment is studied. Such systems are widely found in power distribution systems, distributed computing systems, data transmission systems, communication systems, and so on. The system consists of n components and each of them works to satisfy its demand and shares its performance surplus with others through a common bus. When the system operates, it may suffer a variety of stresses from its operating environment, which can be regarded as random external shocks, and the transmission loss is also wildly seen in engineering systems. Therefore, the random shocks and transmission loss are considered in this article. The performance level of a component is affected by three types of random external shocks - invalid shocks, valid shocks and extreme shocks. The system fails if at least one component cannot satisfy its demand. A finite Markov chain imbedding approach and phase-type distributions are used to estimate the performance level for each component and the universal generating function technique is applied to analyze system reliability. Analysis of a power distribution system is given to show the application of the model under study and the effectiveness of the proposed method.</t>
  </si>
  <si>
    <t>[Wu, Congshan; Zhao, Xian] Beijing Inst Technol, Sch Management &amp; Econ, Beijing, Peoples R China; [Pan, Rong] Arizona State Univ, Sch Comp &amp; Augmented Intelligence, Tempe, AZ USA</t>
  </si>
  <si>
    <t>Zhao, X (corresponding author), Beijing Inst Technol, Sch Management &amp; Econ, Beijing, Peoples R China.</t>
  </si>
  <si>
    <t>National Natural Science Foundation of China [72131002, 71971026, 71572014]; China Scholarship Council [201906030032]</t>
  </si>
  <si>
    <t>This work was supported by the National Natural Science Foundation of China [grant numbers 72131002, 71971026, 71572014]. Congshan Wu was supported by the China Scholarship Council to study at Arizona State University as a visiting scholar from Sep. 2019 to Sep. 2020 (201906030032).</t>
  </si>
  <si>
    <t>10.1080/24725854.2021.1972184</t>
  </si>
  <si>
    <t>WOS:000709768900001</t>
  </si>
  <si>
    <t>Gao, HD; Kong, DJ; Sun, YX</t>
  </si>
  <si>
    <t>Gao, Hongda; Kong, Dejing; Sun, Yixin</t>
  </si>
  <si>
    <t>Reliability modeling and analysis for systems governed by multiple competing failures processes</t>
  </si>
  <si>
    <t>Competing failure; reliability; calibration; shock; degradation; sensors</t>
  </si>
  <si>
    <t>CONDITION-BASED MAINTENANCE; BURN-IN; DEGRADATION; MANAGEMENT</t>
  </si>
  <si>
    <t>Due to that the operating environment is becoming more and more complex and rigorous, the multiple competing failure modes for the reliability system is much commonly seen. In order to improve the system performance, a sensor-based degradation calibration policy (SBDC policy) is presented in this paper. The model considers the competing failure process which is described by the soft and hard failure modes. In detail, the soft failures occur when the degradation of the system exceeds the failure threshold, and the hard failures are caused by the same shock process. We use the Wiener process model to describe the soft failure and the shock process to describe the catastrophic failure. Meanwhile, in the shock process, the damage associated with the system is normal distributed which is related to the duration of the adjacent shocks. This extended model with calibrations has a good application value for the corresponding complex reliability systems which are subject to the dependent competing failure modes. By the model in this article, the system reliability and safety can be improved and the risk of the abrupt damage shall be reduced as the circumstance changes.</t>
  </si>
  <si>
    <t>[Gao, Hongda; Sun, Yixin] State Grid Energy Res Inst Co LTD, Beijing, Peoples R China; [Kong, Dejing] China Shipbldg Informat Ctr, 55 Kehui Rd, Beijing 100101, Peoples R China</t>
  </si>
  <si>
    <t>Kong, DJ (corresponding author), China Shipbldg Informat Ctr, 55 Kehui Rd, Beijing 100101, Peoples R China.</t>
  </si>
  <si>
    <t>kongdejing12345@163.com</t>
  </si>
  <si>
    <t>State Grid Technology Project Multi-Dimensional Differential User Consumption Habit Analysis and Typical Business Model Research of Energy E-Commerce'' [1400-202057220A-0-0-00]; Young Talents Program Research on the Construction and Evaluation of Digital New Infrastructure Operation Model based on Complex Network''</t>
  </si>
  <si>
    <t>State Grid Technology Project Multi-Dimensional Differential User Consumption Habit Analysis and Typical Business Model Research of Energy E-Commerce''; Young Talents Program Research on the Construction and Evaluation of Digital New Infrastructure Operation Model based on Complex Network''</t>
  </si>
  <si>
    <t>The author(s) disclosed receipt of the following financial support for the research, authorship, and/or publication of this article: This work was financially supported by State Grid Technology Project (1400-202057220A-0-0-00) Multi-Dimensional Differential User Consumption Habit Analysis and Typical Business Model Research of Energy E-Commerce'' and the Young Talents Program Research on the Construction and Evaluation of Digital New Infrastructure Operation Model based on Complex Network''.</t>
  </si>
  <si>
    <t>1748006X20974475</t>
  </si>
  <si>
    <t>10.1177/1748006X20974475</t>
  </si>
  <si>
    <t>WOS:000641099900001</t>
  </si>
  <si>
    <t>Li, YL; Zhang, C; Jia, CZ; Li, XD; Zhu, YM</t>
  </si>
  <si>
    <t>Li Yulong; Zhang Chi; Jia Chuanzhou; Li Xiaodong; Zhu Yimin</t>
  </si>
  <si>
    <t>Joint optimization of workforce scheduling and routing for restoring a disrupted critical infrastructure</t>
  </si>
  <si>
    <t>Critical infrastructure; Restoration; Joint optimization; Routing; Scheduling</t>
  </si>
  <si>
    <t>ANT COLONY OPTIMIZATION; MAXIMIZE TOTAL FLOW; RESILIENCE ASSESSMENT; NETWORK MAINTENANCE; SYSTEM; RESTORATION; FRAMEWORK; RELIABILITY; VULNERABILITY; SEARCH</t>
  </si>
  <si>
    <t>Once a critical infrastructure is disrupted, it needs to be restored as soon as possible in order to minimize the influence of the disruptions on the economic development and social well-being of a society. Components of critical infrastructures are usually geographically distributed and the time required to travel between disrupted components cannot be ignored when making restoration plans. As a result, the problem of optimally routing restoration workforce needs to be taken into account when scheduling the tasks of restoring disrupted components. To deal with this problem, this research proposes a joint optimization approach to simultaneously determine the time of restoring each disrupted component, the assignment of restoration tasks to the available teams of restoration technicians, and the routes of each team. To deal with the complexity of the proposed problem, ant colony optimization algorithm is employed with necessary adaptations to solve it.</t>
  </si>
  <si>
    <t>[Li Yulong] Cent Univ Finance &amp; Econ, Sch Management Sci &amp; Engn, Beijing 100081, Peoples R China; [Zhang Chi; Jia Chuanzhou] Beijing Univ Technol, Sch Econ &amp; Management, Beijing 100124, Peoples R China; [Li Xiaodong] Tsinghua Univ, Sch Civil Engn, Dept Construct Management, Beijing 100084, Peoples R China; [Zhu Yimin] Louisiana State Univ, Coll Engn, Dept Construct Management, Baton Rouge, LA 70803 USA</t>
  </si>
  <si>
    <t>Central University of Finance &amp; Economics; Beijing University of Technology; Tsinghua University; Louisiana State University System; Louisiana State University</t>
  </si>
  <si>
    <t>Zhang, Chi/0000-0003-3738-1479; Zhu, Yimin/0000-0002-3871-4733; Li, Yulong/0000-0002-0580-4791</t>
  </si>
  <si>
    <t>National Natural Science Foundation of China [71301175, 71871125, 71473285]; China Scholarship Council [201606495019]; Beijing Higher education Young Elite Teacher Project [YETP1001]</t>
  </si>
  <si>
    <t>National Natural Science Foundation of China(National Natural Science Foundation of China (NSFC)); China Scholarship Council(China Scholarship Council); Beijing Higher education Young Elite Teacher Project</t>
  </si>
  <si>
    <t>The authors gratefully acknowledge the financial support received from the National Natural Science Foundation of China (Grant nos. 71301175, 71871125, 71473285), China Scholarship Council (Grant no. 201606495019), Beijing Higher education Young Elite Teacher Project (Grant no. YETP1001). Acknowledgments are also addressed to Mr. Rentian Zhang from Poly Real Estate Group CO., LTD. for his participation in the research.</t>
  </si>
  <si>
    <t>10.1016/j.ress.2019.106551</t>
  </si>
  <si>
    <t>WOS:000491685000021</t>
  </si>
  <si>
    <t>Gu, LD; Wang, GJ; Zhou, YF; Peng, R</t>
  </si>
  <si>
    <t>Gu, Liudong; Wang, Guanjun; Zhou, Yifan; Peng, Rui</t>
  </si>
  <si>
    <t>Reliability optimization of multi-state systems with two performance sharing groups</t>
  </si>
  <si>
    <t>Reliability optimization; Multi-state systems; Performance sharing; Universal generating function; Stochastic orders</t>
  </si>
  <si>
    <t>SERIES-PARALLEL SYSTEMS; MAINTENANCE; PROTECTION; ALLOCATION</t>
  </si>
  <si>
    <t>Increasing research efforts have been devoted to the reliability analysis of multi-state systems (MSSs) with different performance sharing mechanisms. This paper investigates the reliability optimization problem of an MSS with two performance sharing groups. Such systems consist of multiple components and two common buses. The components connected by the same common bus make up a group and the performance can be shared in the group to meet the demand. Specially, components can be in one group or both. Taking advantage of this property, the components with larger performance and demand are preferentially placed in the overlapping part of two groups since more performance can be shared. The objective is to efficiently derive the optimal configuration policy that maximizes the system reliability. Universal generating function is utilized to develop the reliability evaluation algorithm. Then, stochastic orders are utilized to determine the components to be placed in the overlapping part, which reduces the solution space. Genetic algorithm is applied to find the optimization results in the reduced solution space. Numerical examples validate the effectiveness of the proposed reliability evaluation algorithm. The improved optimization method also outperforms the method without solution space reduction in improving the system reliability.</t>
  </si>
  <si>
    <t>[Gu, Liudong; Wang, Guanjun] Southeast Univ, Sch Math, Nanjing 210096, Peoples R China; [Zhou, Yifan] Southeast Univ, Sch Mech Engn, Nanjing 210096, Peoples R China; [Peng, Rui] Beijing Univ Technol, Sch Econ &amp; Management, Beijing 100124, Peoples R China</t>
  </si>
  <si>
    <t>Southeast University - China; Southeast University - China; Beijing University of Technology</t>
  </si>
  <si>
    <t>Wang, GJ (corresponding author), Southeast Univ, Sch Math, Nanjing 210096, Peoples R China.</t>
  </si>
  <si>
    <t>wgjmath@163.com</t>
  </si>
  <si>
    <t>Zhou, Yifan/HIR-8602-2022; Peng, Rui/AAL-7506-2020</t>
  </si>
  <si>
    <t>Wang, Guan Jun/0000-0003-4574-9851; Gu, Liudong/0000-0001-6992-6280</t>
  </si>
  <si>
    <t>National Natural Science Foundation of China [72071044, 72071005, 11671080]</t>
  </si>
  <si>
    <t>Acknowledgments The research work is supported by the National Natural Science Foundation of China (Grant Nos. 72071044, 72071005, and 11671080)</t>
  </si>
  <si>
    <t>10.1016/j.ress.2023.109580</t>
  </si>
  <si>
    <t>T2EF7</t>
  </si>
  <si>
    <t>WOS:001076158600001</t>
  </si>
  <si>
    <t>Levitin, G; Finkelstein, M; Xiang, YP</t>
  </si>
  <si>
    <t>Levitin, Gregory; Finkelstein, Maxim; Xiang, Yanping</t>
  </si>
  <si>
    <t>Optimal mission abort policies for repairable multistate systems performing multi-attempt mission</t>
  </si>
  <si>
    <t>Multi-state system; Deadline; Mission success probability; Perfect repair; Mission abort; Renewal process of shocks</t>
  </si>
  <si>
    <t>SELECTIVE MAINTENANCE; OPTIMIZATION; SUBJECT; RELIABILITY; FAILURE</t>
  </si>
  <si>
    <t>Research on mission abort strategies was mostly devoted to binary systems that can be only in two states, i.e., operable or failed. However, the real-world systems can often operate in intermediate states with different levels of performance. On the other hand, if a mission has been aborted and a system has been successfully rescued, at some instances, the next attempt can be activated, thus forming the multi-attempt framework. In this paper, the possibility of multiple attempts is considered for the first time for multistate systems. After each rescue, a system is repaired to 'as good as new' state. The repair time depends on its state before the repair. The objective is to maximize the probability of a mission completion within the fixed time deadline for systems operating in a random environment modeled by shocks. Each shock with a given probability results in a system's transition to the states with the lower values of performance. Mission abort is activated for each attempt when the number of experienced shocks exceeds a predetermined number. This number for each attempt should be determined to maximize the mission success probability. For the considered illustrative example, the detailed sensitivity analysis is performed and the relevant discussion is provided.</t>
  </si>
  <si>
    <t>[Levitin, Gregory; Xiang, Yanping] Univ Elect Sci &amp; Technol China, Collaborat Auton Comp Lab, Chengdu 611731, Peoples R China; [Levitin, Gregory] Israel Syst Management Co, Givataim, Israel; [Finkelstein, Maxim] ITMO Univ, St Petersburg, Russia</t>
  </si>
  <si>
    <t>University of Electronic Science &amp; Technology of China; ITMO University</t>
  </si>
  <si>
    <t>Xiang, YP (corresponding author), Univ Elect Sci &amp; Technol China, Collaborat Auton Comp Lab, Chengdu 611731, Peoples R China.</t>
  </si>
  <si>
    <t>gregory.levitin@sysmc.co.il; FinkelM@ufs.ac.za; 2650931580@qq.com</t>
  </si>
  <si>
    <t>10.1016/j.ress.2021.107497</t>
  </si>
  <si>
    <t>WOS:000663909200043</t>
  </si>
  <si>
    <t>Wu, J; Qian, CH; Dohi, T</t>
  </si>
  <si>
    <t>Wu, Jing; Qian, Cunhua; Dohi, Tadashi</t>
  </si>
  <si>
    <t>Optimal opportunity-based age replacement policies in discrete time</t>
  </si>
  <si>
    <t>Discrete-time models; Opportunity-based age replacement; Expected cost functions; Replacement first/last disciplines; Replacement priority; Case study</t>
  </si>
  <si>
    <t>PREVENTIVE MAINTENANCE; SYSTEMS; REPAIR; LAST; 1ST</t>
  </si>
  <si>
    <t>This paper focuses on discrete-time opportunity-based age replacement models with replacement first and last disciplines, where the expected cost model under each discipline can be further classified into six cases by taking account of the priority of multiple replacement options. We characterize several optimal opportunity-based age replacement policies minimizing the relevant expected costs. Also, we relax assumptions on the deterministic priority and introduce the probabilistic priority to unify six discrete-time opportunity-based age replacement models with deterministic priorities under each discipline. In numerical illustrations, we give a case study to schedule the preventive replacement plan for pole air switches in a Japanese power company and compare all the optimal scheduled preventive replacement times with replacement first and last disciplines.</t>
  </si>
  <si>
    <t>[Wu, Jing; Dohi, Tadashi] Hiroshima Univ, Grad Sch Adv Sci &amp; Engn, 1-4-1 Kagamiyama, Higashihiroshima 7398527, Japan; [Qian, Cunhua] Nanjing Tech Univ, Sch Econ &amp; Management, Nanjing 211816, Peoples R China</t>
  </si>
  <si>
    <t>Hiroshima University; Nanjing Tech University</t>
  </si>
  <si>
    <t>Dohi, T (corresponding author), Hiroshima Univ, Grad Sch Adv Sci &amp; Engn, 1-4-1 Kagamiyama, Higashihiroshima 7398527, Japan.</t>
  </si>
  <si>
    <t>dohi@hiroshima-u.ac.jp</t>
  </si>
  <si>
    <t>Dohi, Tadashi/D-5882-2011</t>
  </si>
  <si>
    <t>10.1016/j.ress.2023.109587</t>
  </si>
  <si>
    <t>HH7Q2</t>
  </si>
  <si>
    <t>WOS:001158672000001</t>
  </si>
  <si>
    <t>Qiao, PR; Shen, JY; Zhang, FX; Ma, YZ</t>
  </si>
  <si>
    <t>Qiao, Peirui; Shen, Jingyuan; Zhang, Fengxia; Ma, Yizhong</t>
  </si>
  <si>
    <t>Optimal warranty policy for repairable products with a three-dimensional renewable combination warranty</t>
  </si>
  <si>
    <t>Three-dimensional warranty; Renewable combination replacement warranty; Repair limit; Sale price; Expected profit</t>
  </si>
  <si>
    <t>2-DIMENSIONAL WARRANTY; REPLACEMENT POLICIES; MAINTENANCE POLICY; COST MODELS; TIME; DESIGN; OPTIMIZATION; STRATEGY; PRICE</t>
  </si>
  <si>
    <t>Nowadays, the post-sale warranty has become a crucial marketing strategy, and how to design and determine the optimal warranty policy has become one of the important issues for manufacturers. In the existing literature, warranty design and optimization mainly focus on one-dimensional and two-dimensional policies. However, as competition intensifies and customer requirements increase, product warranty terms usually involve three or more factors. In this paper, we propose a three-dimensional warranty policy for repairable products, in which limitations on failure time, repair time, and repair number are integrated. Considering the conflict between manufacturers and consumers, a novel renewable combination replacement warranty is further designed. By developing the corresponding sale price and warranty cost models, a profit optimization model is proposed. From the manufacturer's perspective, the optimal warranty policy is obtained by maximizing the expected profit. A numerical example with sensitivity analysis and comparison studies is conducted to illustrate the proposed model. The results show that the proposed warranty policy can make the manufacturer more profitable and help to reduce the conflict between the manufacturer and the consumer.</t>
  </si>
  <si>
    <t>[Qiao, Peirui; Shen, Jingyuan; Zhang, Fengxia; Ma, Yizhong] Nanjing Univ Sci &amp; Technol, Sch Econ &amp; Management, Nanjing 210094, Jiangsu, Peoples R China</t>
  </si>
  <si>
    <t>qiaopr@njust.edu.cn; jingyuanshen@njust.edu.cn; 616107002498@njust.edu.cn; yzma@njust.edu.cn</t>
  </si>
  <si>
    <t>National Natural Science Foundation of China [71931006, 71871119, 71801128]; Post-graduate Research &amp; Practice Innovation Program of Jiangsu Province [KYCX21_0363]</t>
  </si>
  <si>
    <t>National Natural Science Foundation of China(National Natural Science Foundation of China (NSFC)); Post-graduate Research &amp; Practice Innovation Program of Jiangsu Province</t>
  </si>
  <si>
    <t>Acknowledgments This work was supported by the National Natural Science Foundation of China (Grant No. 71931006, 71871119, and 71801128) and Post-graduate Research &amp; Practice Innovation Program of Jiangsu Province (Grant No. KYCX21_0363) .</t>
  </si>
  <si>
    <t>10.1016/j.cie.2022.108056</t>
  </si>
  <si>
    <t>1C6UO</t>
  </si>
  <si>
    <t>WOS:000793251700009</t>
  </si>
  <si>
    <t>Zhao, F; Peng, R; Zhang, N</t>
  </si>
  <si>
    <t>Zhao, Fei; Peng, Rui; Zhang, Nan</t>
  </si>
  <si>
    <t>Inspection policy optimization for a k-out-of-n/Cl(k′,n′;F) system considering failure dependence: a case study</t>
  </si>
  <si>
    <t>Reliability; inspection optimization; k -out -of -n system; consecutive k -out -of -n system; failure dependence</t>
  </si>
  <si>
    <t>OUT-OF-N; REPLACEMENT POLICY; RELIABILITY-ANALYSIS; PERIODIC INSPECTION; MAINTENANCE; COMPONENTS; REPAIR; NUMBER</t>
  </si>
  <si>
    <t>This study presents the reliability and inspection optimization of a novel k-out-of-n: G system with linear consecutive k '-out-of-n ' load-sharing subsystems, abbreviated as k-out-of-n/Cl(k ',n ';F), motivated by a roller system. The subsystems are identical and mutually independent and the system works when at least k subsystems function. Within a subsystem, failure dependence among components exists since the carried load is unequally shared by surviving components. We model the load-sharing effect by the tempered failure rate model. The failure sequence diagram (FSD) is constructed to describe possible events of a subsystem evolution in the present of the states of components. A regular inspection policy is proposed, upon which hidden failures at the component level can be revealed. The system is preventively maintained upon an inspection or at its failure, which occurs first. The long-run expected cost per unit time is minimized, and a coupling search FSD and sampling algorithm is designed to search for the optimal inspection interval. A case study is presented to show the applicability of the proposed model, where we show the reliability variation and indicate that the current one-week-inspection policy is too conservative. Sensitivity analysis is provided to examine the impact of cost parameters on the optimal decision.</t>
  </si>
  <si>
    <t>[Zhao, Fei] Northeastern Univ, Sch Business Adm, Shenyang 110819, Peoples R China; [Zhao, Fei] Northeastern Univ Qinhuangdao, Qinhuangdao 066004, Peoples R China; [Peng, Rui] Beijing Univ Technol, Sch Econ &amp; Management, Beijing 100124, Peoples R China; [Zhang, Nan] Beijing Inst Technol, Sch Management &amp; Econ, Beijing 100081, Peoples R China</t>
  </si>
  <si>
    <t>Northeastern University - China; Northeastern University - China; Beijing University of Technology; Beijing Institute of Technology</t>
  </si>
  <si>
    <t>Peng, Rui/AAL-7506-2020; Zhao, Fei/AAV-3045-2020</t>
  </si>
  <si>
    <t>National Natural Science Foundation of China [72271049, 71701038]; Humanities and Social Science Research Project of Hebei Education Department [BJS2022032]; Talents Project of Hebei Province [C20221013]; Social Science Planning Project of Liaoning Province [L22AGL009]</t>
  </si>
  <si>
    <t>National Natural Science Foundation of China(National Natural Science Foundation of China (NSFC)); Humanities and Social Science Research Project of Hebei Education Department; Talents Project of Hebei Province; Social Science Planning Project of Liaoning Province</t>
  </si>
  <si>
    <t>This work was supported by the National Natural Science Foundation of China (No.72271049, 71701038) , Humanities and Social Science Research Project of Hebei Education Department (BJS2022032) , Talents Project of Hebei Province (C20221013) , Social Science Planning Project of Liaoning Province (L22AGL009) .</t>
  </si>
  <si>
    <t>10.1016/j.ress.2023.109331</t>
  </si>
  <si>
    <t>J6OB5</t>
  </si>
  <si>
    <t>WOS:001010780700001</t>
  </si>
  <si>
    <t>Dong, QL; Cui, LR</t>
  </si>
  <si>
    <t>Dong, Qinglai; Cui, Lirong</t>
  </si>
  <si>
    <t>A study on stochastic degradation process models under different types of failure Thresholds</t>
  </si>
  <si>
    <t>Degradation model; Reliability; First passage time; Threshold; Wiener process; Gamma process</t>
  </si>
  <si>
    <t>MEASUREMENT ERRORS; GAMMA-PROCESSES; WIENER PROCESS; RELIABILITY; TIME; SYSTEMS; TESTS; PRODUCTS; CALIBRATIONS; MAINTENANCE</t>
  </si>
  <si>
    <t>Stochastic degradation process models are developed in terms of cumulative degradation signals of systems under three types of thresholds including alarm line and two different failure thresholds. One of the failure thresholds corresponds to the degradation amount, and the other corresponds to the duration. We assume that the degradation process can be separated into two distinctive stages by a change-point which is the first passage time of the degradation process with respect to the alarm line. For simplicity, the first stage is regarded as an age-dependent (or non-stationary) Wiener process or an age-dependent (or non-stationary) Gamma process, and the second stage is regarded as an age-dependent (or non-stationary) Gamma process; thus, two special degradation models, Wiener-Gamma and Gamma-Gamma, are constructed. Specially, two-stage stationary Wiener-Gamma and Gamma-Gamma models can be viewed as special cases. The system reliability is defined as the probability that the degradation signals do not exceed a failure threshold and the duration of exceeding the alarm line is less than the duration threshold. Some reliability results including two cases in terms of duration thresholds (constants and random variables) are derived. The moments of lifetime are also given based on the results. In addition, simulation is carried out to verify the given results. And some numerical examples are presented to illustrate the results obtained in the paper.</t>
  </si>
  <si>
    <t>[Dong, Qinglai; Cui, Lirong] Beijing Inst Technol, Sch Management &amp; Econ, Beijing, Peoples R China; [Dong, Qinglai] Yanan Univ, Sch Math &amp; Comp Sci, Yanan, Shanxi, Peoples R China</t>
  </si>
  <si>
    <t>Cui, LR (corresponding author), Beijing Inst Technol, Sch Management &amp; Econ, Beijing, Peoples R China.</t>
  </si>
  <si>
    <t>lirongcui@bit.edu.cn</t>
  </si>
  <si>
    <t>The work was supported by the National Natural Science Foundation of China under Grant 71631001.</t>
  </si>
  <si>
    <t>10.1016/j.ress.2018.10.002</t>
  </si>
  <si>
    <t>HA0NG</t>
  </si>
  <si>
    <t>WOS:000449904100017</t>
  </si>
  <si>
    <t>Optimal preventive switching of components in degrading systems</t>
  </si>
  <si>
    <t>Standby systems; Optimal switching; Poisson process; Gamma process; Mission success probability</t>
  </si>
  <si>
    <t>STANDBY SYSTEMS; MAINTENANCE; POLICIES; OPTIMIZATION; RELIABILITY</t>
  </si>
  <si>
    <t>In practice, at many instances, it is important to maintain the failure-free performance of components in a standby system, as each sudden failure of an operating component can result in a failure of a system, e.g., due to imperfect or/and Mon-instantaneous' switching on failure and related adverse effects. Therefore, the scheduled preventive switching/replacement to the standby component that can be executed without these consequences is one of the effective methods for increasing reliability characteristics of such systems, especially in the safety-critical applications. In this paper, the corresponding optimal strategy for switching is described and justified for the cold standby system of two aging components with degradation modeled by the counting Poisson and gamma processes. An inspection is carried out at some optimally predetermined time and based on the observed degradation switching is performed after the optimally obtained delay. Detailed numerical examples illustrate our findings.</t>
  </si>
  <si>
    <t>[Finkelstein, Maxim] Univ Free State, Dept Math Stat, Bloemfontein, South Africa; [Finkelstein, Maxim] Univ Strathclyde, Dept Management Sci, Glasgow, Lanark, Scotland; [Cha, Ji Hwan] Ewha Womans Univ, Dept Stat, Seoul 120750, South Korea; [Langston, Amy] Rhodes Univ, Dept Stat, Grahamstown, South Africa</t>
  </si>
  <si>
    <t>FinkelM@ufs.ac.za; jhcha@ewha.ac.kr; a.langston@ru.ac.za</t>
  </si>
  <si>
    <t>Langston, Amy/0000-0002-5217-4219</t>
  </si>
  <si>
    <t>The authors thank the reviewers for helpful comments and advices. The work of the second author was supported by Basic Science Research Program through the National Research Foundation of Korea (NRF) funded by the Ministry of Education (Grant Number: 2019R1A6A1A11051177).</t>
  </si>
  <si>
    <t>10.1016/j.ress.2021.108266</t>
  </si>
  <si>
    <t>WOS:000760341500052</t>
  </si>
  <si>
    <t>Cao, S; Wang, XY</t>
  </si>
  <si>
    <t>Cao, Shuai; Wang, Xiaoyue</t>
  </si>
  <si>
    <t>Mission abort strategy for generalized k-out-of-n: F systems considering competing failure criteria</t>
  </si>
  <si>
    <t>Mission abort strategy; generalized k-out-of-n; F system; system reliability; system survivability; finite Markov chain imbedding approach</t>
  </si>
  <si>
    <t>BALANCED SYSTEMS; POLICY; RELIABILITY; MAINTENANCE; OPTIMIZATION</t>
  </si>
  <si>
    <t>For safety-critical systems such as submarines and solar lighting system, mission abort is an effective way to enhance system survivability when a certain malfunction condition is met. This paper contributes by presenting a bivariate mission abort policy for generalized k-out-of-n: F systems that fail if there are at least m non-overlapping k(c) consecutive failed components or at least k(t) failed components. When the number of non-overlapping k(c) consecutive failed components reaches a preset level or the total number of failed components exceeds a predetermined value, the mission is aborted, and then a rescue procedure is initiated. Mission reliability and system survivability are derived by employing a two-step finite Markov chain imbedding approach. The optimization models are formulated with the purpose of maximizing the mission reliability, and minimizing the expected total cost of mission failure and system failure, respectively. A numerical example based on a solar lighting system is presented to illustrate the applicability of the proposed policies.</t>
  </si>
  <si>
    <t>[Cao, Shuai] Beijing Inst Technol, Sch Management &amp; Econ, Beijing, Peoples R China; [Wang, Xiaoyue] Beijing Technol &amp; Business Univ, Sch E Business &amp; Logist, 11 &amp; 33 Fucheng Rd, Beijing 100048, Peoples R China</t>
  </si>
  <si>
    <t>Wang, XY (corresponding author), Beijing Technol &amp; Business Univ, Sch E Business &amp; Logist, 11 &amp; 33 Fucheng Rd, Beijing 100048, Peoples R China.</t>
  </si>
  <si>
    <t>National Natural Science Foundation of China [72001006, 72131002, 71971026]; Beijing Social Science Foundation [20GLC052]; Young Elite Scientist Sponsorship Program by Beijing Association for Science and Technology [BYESS2023054]</t>
  </si>
  <si>
    <t>National Natural Science Foundation of China(National Natural Science Foundation of China (NSFC)); Beijing Social Science Foundation; Young Elite Scientist Sponsorship Program by Beijing Association for Science and Technology</t>
  </si>
  <si>
    <t>The author(s) disclosed receipt of the following financial support for the research, authorship, and/or publication of this article: This work is supported by the National Natural Science Foundation of China (Grant Nos. 72001006, 72131002 and 71971026), the Beijing Social Science Foundation (Grant No. 20GLC052) and Young Elite Scientist Sponsorship Program by Beijing Association for Science and Technology (Grant No. BYESS2023054).</t>
  </si>
  <si>
    <t>10.1177/1748006X231170909</t>
  </si>
  <si>
    <t>WOS:000984258800001</t>
  </si>
  <si>
    <t>Peng, R; Wu, D; Xiao, H; Xing, LD; Gao, KY</t>
  </si>
  <si>
    <t>Peng, Rui; Wu, Di; Xiao, Hui; Xing, Liudong; Gao, Kaiye</t>
  </si>
  <si>
    <t>Redundancy versus protection for a non-reparable phased-mission system subject to external impacts</t>
  </si>
  <si>
    <t>Reliability; External impact; Internal failure; Phased-mission systems; Protection</t>
  </si>
  <si>
    <t>COMPETING FAILURE ANALYSIS; RELIABILITY-ANALYSIS; FUNCTIONAL DEPENDENCE; PREVENTIVE STRIKE; OBJECT DEFENSE; OPTIMIZATION; MAINTENANCE; ALLOCATION; MODEL</t>
  </si>
  <si>
    <t>Systems that have multiple consecutive and non-overlapping phases of operations during their missions are referred to as phased-mission systems (PMSs). Previous research on modeling reliability of a PMS has mainly focused on internal failures. However, some real-world PMSs can also be subject to external impacts, which may contribute to the occurrences of system failures. This paper makes contributions by modeling a redundant PMS subject to both internal failures and external impacts with or without overarching protection. System reliability is modeled for cases where the demand levels are the same for all phases, and where they are not. The optimal resource allocation of redundancy and protection is further studied to maximize the system reliability. The expected system loss is also modeled and optimized for cases where the system can function partially when the demand is unsatisfied. Examples are presented to illustrate applications of the proposed models.</t>
  </si>
  <si>
    <t>[Peng, Rui] Beijing Univ Technol, Sch Econ &amp; Management, Beijing, Peoples R China; [Wu, Di] Xi An Jiao Tong Univ, Sch Management, Xian, Shaanxi, Peoples R China; [Xiao, Hui] Southwestern Univ Finance &amp; Econ, Sch Stat, Chengdu, Sichuan, Peoples R China; [Xing, Liudong] Univ Massachusetts Dartmouth, Dept Elect &amp; Comp Engn, Dartmouth, MA USA; [Gao, Kaiye] Beijing Informat Sci &amp; Technol Univ, Sch Econ &amp; Management, Beijing, Peoples R China</t>
  </si>
  <si>
    <t>Beijing University of Technology; Xi'an Jiaotong University; Southwestern University of Finance &amp; Economics - China; University of Massachusetts System; University Massachusetts Dartmouth; Beijing Information Science &amp; Technology University</t>
  </si>
  <si>
    <t>Wu, D (corresponding author), Xi An Jiao Tong Univ, Sch Management, Xian, Shaanxi, Peoples R China.</t>
  </si>
  <si>
    <t>wd_0824@stu.xjtu.edu.cn</t>
  </si>
  <si>
    <t>Wu, Di/AAE-3581-2020; Xing, Liudong/AAG-9599-2020; Xiao, Hui/N-9777-2015; Peng, Rui/AAL-7506-2020</t>
  </si>
  <si>
    <t>National Natural Science Foundation of China [71671016, 71601158]</t>
  </si>
  <si>
    <t>The research is supported by the National Natural Science Foundation of China under grant numbers 71671016 and 71601158.</t>
  </si>
  <si>
    <t>10.1016/j.ress.2019.106556</t>
  </si>
  <si>
    <t>WOS:000491685000023</t>
  </si>
  <si>
    <t>Zhu, HZ; Wang, XQ; Xiao, MQ; Yang, Z; Tang, XL; Wen, BC</t>
  </si>
  <si>
    <t>Zhu, Haizhen; Wang, Xueqi; Xiao, Mingqing; Yang, Zhao; Tang, Xilang; Wen, Bincheng</t>
  </si>
  <si>
    <t>Reliability modeling for intermittent working system based on Wiener process</t>
  </si>
  <si>
    <t>Intermittent working system; Reliability; Wiener process; Degradation</t>
  </si>
  <si>
    <t>CONDITION-BASED MAINTENANCE; STORAGE LIFE PREDICTION; DEGRADATION PROCESS; TIME; FAILURES</t>
  </si>
  <si>
    <t>Intermittent working system (IWS) refers to the system which alternates between working state and storage state. Different from continuous working system, a considerable part of IWS's lifetime is spent in storage state. Temperature, humidity, corrosion and long-term storage in storage state jointly contribute to a non-ignorable part of the degradation of the IWSs. Motivated by this problem, in this paper, a novel reliability model considering both storage degradation and working degradation is developed based on Wiener process. In the proposed model, the distribution of degradation states at the transition points between storage state and working state is included. Further, the IWS whose duration time of storage state and working state are predetermined fixed values is categorized as scheduled IWS and the IWS whose duration time of the two states are random variables is random IWS. Randomness that exists in duration time of each state period as well as the accumulative duration time of each state is analysed and considered. The general degradation model of scheduled IWS and random IWS are obtained and expression of IWS's reliability is derived from the proposed model. Finally, analytical results as well as Monte Carlo simulation results are compared to illustrate the effectiveness of the model.</t>
  </si>
  <si>
    <t>[Zhu, Haizhen; Wang, Xueqi; Xiao, Mingqing; Wen, Bincheng] Air Force Engn Univ, Automat Test Syst Lab, Xian 710038, Peoples R China; [Yang, Zhao] China Aerodynam Res &amp; Dev Ctr, Mianyang 621000, Sichuan, Peoples R China; [Tang, Xilang] Air Force Engn Univ, Equipment Management &amp; UAV Engn Coll, Xian 710038, Peoples R China</t>
  </si>
  <si>
    <t>Air Force Engineering University; Air Force Engineering University</t>
  </si>
  <si>
    <t>Tang, XL (corresponding author), Air Force Engn Univ, Equipment Management &amp; UAV Engn Coll, Xian 710038, Peoples R China.</t>
  </si>
  <si>
    <t>tangxilang@sina.com</t>
  </si>
  <si>
    <t>xiao, ming/KPB-6290-2024</t>
  </si>
  <si>
    <t>Zhu, Haizhen/0000-0001-6592-0201</t>
  </si>
  <si>
    <t>China Postdoctoral Science Foundation [2021M693941]</t>
  </si>
  <si>
    <t>China Postdoctoral Science Foundation(China Postdoctoral Science Foundation)</t>
  </si>
  <si>
    <t>This work was supported by China Postdoctoral Science Foundation funded Project No. 2021M693941.</t>
  </si>
  <si>
    <t>10.1016/j.cie.2021.107599</t>
  </si>
  <si>
    <t>WOS:000696311000011</t>
  </si>
  <si>
    <t>Khati, A; Singh, SB</t>
  </si>
  <si>
    <t>Khati, Amisha; Singh, S. B.</t>
  </si>
  <si>
    <t>Interval-valued availability of a standby system with imperfect switch incorporating uncertainty &amp; multiple failure modes</t>
  </si>
  <si>
    <t>Interval-valued availability; standby system with imperfect switching; uncertainty in switch; sensitivity analysis; multiple failure modes</t>
  </si>
  <si>
    <t>PERIODICALLY INSPECTED SYSTEM; MAINTENANCE POLICY; RELIABILITY; SUBJECT</t>
  </si>
  <si>
    <t>This paper examines the interval-valued availability of a standby redundant system with imperfect switching, incorporating uncertainty, i.e. the probability of successful operation of the switch is not known with accuracy. The standby system undergoes periodic inspections and is vulnerable to alpha num-ber of failure modes (FMs). Every FM has a random failure time assigned to it, and once the system fails from the a(th )FM, a corrective repair is executed promptly. The corrective repair takes a random amount of time psi(a) (a 1/4 1, 2, ... alpha). Incorporating the aforesaid points, expressions for the upper and lower bounds of the model's point and long-run availability are derived, and a sensitivity analysis is done to evaluate the impact of inspection time on the system's availability. Lastly, the derived theorems are established by using a numerical example of a combi-boiler standby system with an imperfect switch.</t>
  </si>
  <si>
    <t>[Khati, Amisha; Singh, S. B.] GB Pant Univ Agr &amp; Technol, Dept Math Stat &amp; Comp Sci, Pantnagar, India</t>
  </si>
  <si>
    <t>Govind Ballabh Pant University of Agriculture Technology</t>
  </si>
  <si>
    <t>Khati, A (corresponding author), GB Pant Univ Agr &amp; Technol, Dept Math Stat &amp; Comp Sci, Pantnagar, India.</t>
  </si>
  <si>
    <t>khatiamisha1996@gmail.com</t>
  </si>
  <si>
    <t>KHATI, AMISHA/0000-0001-5851-7422</t>
  </si>
  <si>
    <t>Innovation in Science Pursuit for Inspired Research (INSPIRE) fellowship from the Department of Science and Technology (DST), India [DST/INSPIRE Fellowship/2019/IF190873]</t>
  </si>
  <si>
    <t>Innovation in Science Pursuit for Inspired Research (INSPIRE) fellowship from the Department of Science and Technology (DST), India</t>
  </si>
  <si>
    <t>This work is supported by grants to the first author through Innovation in Science Pursuit for Inspired Research (INSPIRE) fellowship from the Department of Science and Technology (DST), India. Sanction Letter No.- DST/INSPIRE Fellowship/2019/IF190873.</t>
  </si>
  <si>
    <t>10.1080/16843703.2023.2165288</t>
  </si>
  <si>
    <t>Y0HD3</t>
  </si>
  <si>
    <t>WOS:000911298400001</t>
  </si>
  <si>
    <t>Zhu, XN; Zhu, XP; Yan, R; Peng, R</t>
  </si>
  <si>
    <t>Zhu, Xiaoning; Zhu, Xiaoping; Yan, Rui; Peng, Rui</t>
  </si>
  <si>
    <t>Optimal routing, aborting and hitting strategies of UAVs executing hitting the targets considering the defense range of targets</t>
  </si>
  <si>
    <t>UAV routing; Aborting strategy; Bomb and fuel loads; Defense range</t>
  </si>
  <si>
    <t>UNMANNED AERIAL VEHICLE; MISSION SYSTEMS SUBJECT; PREVENTIVE MAINTENANCE; TIME-WINDOWS; POLICY; RELIABILITY; FRAMEWORK</t>
  </si>
  <si>
    <t>This paper is an attempt to investigate optimal routing, aborting and hitting strategies of Unmanned Aerial Vehicles (UAVs) executing hitting tasks. Several factors such as time window and a certain circular defense range of each target, the optimal bomb and fuel loads are considered in the UAVs routing plan in order to better assign targets to each UAV and determine the hitting order. It is assumed that UAVs may be attacked by random shocks when they are within the target's defense range, so each UAV can choose to abort its task according to the number of targets that the UAV has hit and the number of shocks that UAV has suffered in order to reduce the probability of UAVs being destroyed. In addition, we try to accomplish two objectives simultaneously with meeting the fuel requirements and increasing the probability of target being destroyed by optimizing the load of fuel and bomb. The tabu search algorithm is adopted in the optimization of UAV routing, aborting and hitting strategies, and numerical experiments are presented to illustrate the performance of the algorithm.</t>
  </si>
  <si>
    <t>[Zhu, Xiaoning; Zhu, Xiaoping; Yan, Rui] Univ Sci &amp; Technol Beijing, Sch Econ &amp; Management, Beijing 100083, Peoples R China; [Zhu, Xiaoning; Zhu, Xiaoping; Yan, Rui] Univ Sci &amp; Technol Beijing, Beijing Low Carbon Operat Strategy Res Ctr, Beijing 100083, Peoples R China; [Peng, Rui] Beijing Univ Technol, Sch Econ &amp; Management, Beijing 100124, Peoples R China</t>
  </si>
  <si>
    <t>University of Science &amp; Technology Beijing; University of Science &amp; Technology Beijing; Beijing University of Technology</t>
  </si>
  <si>
    <t>Yan, R (corresponding author), Univ Sci &amp; Technol Beijing, Sch Econ &amp; Management, Beijing 100083, Peoples R China.;Yan, R (corresponding author), Univ Sci &amp; Technol Beijing, Beijing Low Carbon Operat Strategy Res Ctr, Beijing 100083, Peoples R China.</t>
  </si>
  <si>
    <t>Peng, Rui/AAL-7506-2020; Yan, Rui/ISB-7062-2023; zhu, xiaoping/A-3979-2013</t>
  </si>
  <si>
    <t>National Natural Science Foundation of China [71802021, 71801013, 71803029]; Beijing Natural Science Foundation [9184023]</t>
  </si>
  <si>
    <t>National Natural Science Foundation of China(National Natural Science Foundation of China (NSFC)); Beijing Natural Science Foundation(Beijing Natural Science Foundation)</t>
  </si>
  <si>
    <t>The work has been supported by National Natural Science Foundation of China (No. 71802021, No. 71801013, No. 71803029), Beijing Natural Science Foundation (No. 9184023).</t>
  </si>
  <si>
    <t>10.1016/j.ress.2021.107811</t>
  </si>
  <si>
    <t>WOS:000690283800022</t>
  </si>
  <si>
    <t>Liu, B; Zhao, XJ; Liu, GQ; Liu, YQ</t>
  </si>
  <si>
    <t>Liu, Bin; Zhao, Xiujie; Liu, Guoquan; Liu, Yiqi</t>
  </si>
  <si>
    <t>Life cycle cost analysis considering multiple dependent degradation processes and environmental influence</t>
  </si>
  <si>
    <t>Life cycle cost analysis; Multiple degradation processes; Stochastic dependence; Copula; Reliability analysis</t>
  </si>
  <si>
    <t>CONDITION-BASED MAINTENANCE; SYSTEMS SUBJECT; MULTICOMPONENT SYSTEMS; RELIABILITY-ANALYSIS; TIME; MODELS</t>
  </si>
  <si>
    <t>This paper presents a life cycle cost model for systems subject to multiple dependent degradation processes and environmental influence. Different from most existing studies that assume an infinite time horizon for cost analysis, we evaluate the life cycle cost within a finite horizon. The system is subject to multiple degradation processes, among which the dependence is described via copula. In addition to the stochastic dependence of the degradation processes, the health condition of the system is influenced by the operating environment. The environmental influence on the system condition lies in two aspects: It accelerates or decelerates the degradation processes and meanwhile leads to a random failure threshold. System reliability considering multiple dependent degradation processes and environmental influence is assessed as the first step, followed by the life cycle cost analysis. A numerical example is presented to illustrate the proposed model.</t>
  </si>
  <si>
    <t>[Liu, Bin] Univ Strathclyde, Dept Management Sci, Glasgow, Lanark, Scotland; [Zhao, Xiujie] Tianjin Univ, Coll Management &amp; Econ, Tianjin, Peoples R China; [Liu, Guoquan] Xian Jiaotong Liverpool Univ, Int Business Sch Suzhou, Suzhou 215123, Peoples R China; [Liu, Yiqi] South China Univ Technol, Sch Automat Sci &amp; Engn, Guangzhou, Peoples R China</t>
  </si>
  <si>
    <t>University of Strathclyde; Tianjin University; Xi'an Jiaotong-Liverpool University; South China University of Technology</t>
  </si>
  <si>
    <t>Liu, YQ (corresponding author), South China Univ Technol, Sch Automat Sci &amp; Engn, Guangzhou, Peoples R China.</t>
  </si>
  <si>
    <t>aulyq@scut.edu.cn</t>
  </si>
  <si>
    <t>Liu, Yiqi/0000-0001-8911-727X; Liu, Bin/0000-0002-3946-8124</t>
  </si>
  <si>
    <t>10.1016/j.ress.2019.106784</t>
  </si>
  <si>
    <t>LG1AL</t>
  </si>
  <si>
    <t>WOS:000527842500008</t>
  </si>
  <si>
    <t>Douglas, A; Mazzuchi, T; Sarkani, S</t>
  </si>
  <si>
    <t>Douglas, Andre; Mazzuchi, Thomas; Sarkani, Shahram</t>
  </si>
  <si>
    <t>A stakeholder framework for evaluating the -ilities of autonomous behaviors in complex adaptive systems</t>
  </si>
  <si>
    <t>MAINTENANCE; ARCHITECTURE; FLEXIBILITY; RELIABILITY; PERFORMANCE; ALLOCATION; ISSUES; SWARMS; USER</t>
  </si>
  <si>
    <t>Complex adaptive systems (CAS) exhibit emergent behaviors caused by the nonlinear actions between individual components within the system and their environment. These emergent behaviors are difficult to predict and measure making it very challenging to initially design from the start. Developing CASs, such as an autonomous swarming unmanned system, is a relevant key task today for solving hard problems with limited resources in a demanding economy. Swarming unmanned systems are valued by their unique capabilities, but how do stakeholders ensure their needs are considered during development? Certain stakeholders have interests that go beyond the initial delivery of the system, yet developers seem to focus efforts on designing autonomous behaviors to satisfy immediate mission needs. To close this gap, we propose a stakeholder focused framework for evaluating CASs over a full system life cycle for swarming unmanned systems. A goal-oriented requirements engineering modeling methodology, Knowledge Acquisition in AutOmated Specification, is used to map requirements between stakeholder goals and autonomous behaviors. Behaviors are analyzed in an agent-based simulation using NetLogo for quantifying stakeholder-driven performance qualities (-ilities). A case study was performed for a swarm of unmanned surface vessels called wave gliders to evaluate performance over the entire system life cycle.</t>
  </si>
  <si>
    <t>[Douglas, Andre; Mazzuchi, Thomas; Sarkani, Shahram] George Washington Univ, Engn Management &amp; Syst Engn, Washington, DC USA; [Douglas, Andre] Johns Hopkins Univ, Appl Phys Lab, Laurel, MD USA</t>
  </si>
  <si>
    <t>George Washington University; Johns Hopkins University; Johns Hopkins University Applied Physics Laboratory</t>
  </si>
  <si>
    <t>Douglas, A (corresponding author), George Washington Univ, Sch Engn, 11100 Johns Hopkins Rd, Laurel, MD 20723 USA.</t>
  </si>
  <si>
    <t>andredouglas@gwmail.gwu.edu</t>
  </si>
  <si>
    <t>Douglas, Andre/0000-0003-3078-3555</t>
  </si>
  <si>
    <t>10.1002/sys.21555</t>
  </si>
  <si>
    <t>NK6MH</t>
  </si>
  <si>
    <t>WOS:000560534300001</t>
  </si>
  <si>
    <t>Xiao, H; Lin, C; Kou, G; Peng, R</t>
  </si>
  <si>
    <t>Xiao, Hui; Lin, Chen; Kou, Gang; Peng, Rui</t>
  </si>
  <si>
    <t>Reliability modeling and configuration optimization of a photovoltaic based electric power generation system</t>
  </si>
  <si>
    <t>Multi-state system reliability; Phased-mission system; External impacts; Reliability optimization; Survivability</t>
  </si>
  <si>
    <t>PHASED-MISSION SYSTEMS; CONSECUTIVELY-CONNECTED SYSTEMS; PREVENTIVE MAINTENANCE POLICY; MULTISTATE SYSTEMS; PERFORMANCE; DEGRADATION; ALLOCATION; ELEMENTS</t>
  </si>
  <si>
    <t>Existing research on phased-mission system reliability has mainly focused on internal failures. However, some practical phased-mission systems such as photovoltaic based electric power generation systems can also be subjected to external impacts. This paper models the reliability of a photovoltaic based electric power generation system considering both internal failures and external impacts that affect the failure rate of photovoltaic modules. Two different cases are considered when modeling the system reliability, where the number of elements required during different phases are the same in the first case and the number of elements required during different phases are different in the second case. The configuration of photovoltaic arrays as well as protection efforts on each photovoltaic module are further optimized to improve the system reliability. Moreover, the expected system loss is also modeled and optimized when the system demand is not satisfied. Examples are presented to illustrate the applications of proposed models.</t>
  </si>
  <si>
    <t>[Xiao, Hui] Southwestern Univ Finance &amp; Econ, Sch Stat, Chengdu 611130, Sichuan, Peoples R China; [Lin, Chen] Hunan Univ Technol &amp; Business, Sch Management, Changsha 410205, Hunan, Peoples R China; [Kou, Gang] Southwestern Univ Finance &amp; Econ, Fac Business Adm, Sch Business Adm, Chengdu 611130, Sichuan, Peoples R China; [Peng, Rui] Beijing Univ Technol, Sch Econ &amp; Management, Beijing 100124, Peoples R China</t>
  </si>
  <si>
    <t>Southwestern University of Finance &amp; Economics - China; Hunan University of Technology &amp; Business; Southwestern University of Finance &amp; Economics - China; Beijing University of Technology</t>
  </si>
  <si>
    <t>Lin, C (corresponding author), Hunan Univ Technol &amp; Business, Sch Management, Changsha 410205, Hunan, Peoples R China.</t>
  </si>
  <si>
    <t>lin.c@smail.swufe.edu.cn</t>
  </si>
  <si>
    <t>Peng, Rui/AAL-7506-2020; Kou, Gang/G-3869-2010; Xiao, Hui/N-9777-2015</t>
  </si>
  <si>
    <t>National Natural Science Foundation of China [71971176, 71671016, 71725001, 71910107002]; Scientific Research Foundation of Hunan Provincial Education Department [21B0567]; Fundamental Research Funds for the Central Universities [JBK2103010]</t>
  </si>
  <si>
    <t>National Natural Science Foundation of China(National Natural Science Foundation of China (NSFC)); Scientific Research Foundation of Hunan Provincial Education Department(Hunan Provincial Education Department); Fundamental Research Funds for the Central Universities(Fundamental Research Funds for the Central Universities)</t>
  </si>
  <si>
    <t>This work was supported by the National Natural Science Foundation of China under grant numbers 71971176, 71671016, 71725001 and 71910107002, the Scientific Research Foundation of Hunan Provincial Education Department under grant number 21B0567, and the Fundamental Research Funds for the Central Universities under grant number JBK2103010.</t>
  </si>
  <si>
    <t>10.1016/j.ress.2021.108285</t>
  </si>
  <si>
    <t>WOS:000760343700018</t>
  </si>
  <si>
    <t>Wang, W; Fu, YN; Si, P; Lin, MQ</t>
  </si>
  <si>
    <t>Wang, Wei; Fu, Yongnian; Si, Peng; Lin, Mingqiang</t>
  </si>
  <si>
    <t>Reliability analysis of circular multi-state sliding window system with sequential demands</t>
  </si>
  <si>
    <t>Circular multi-state sliding window system; Sequential demands; System reliability; Universal moment generating function; Sequencing optimization; Genetic algorithm</t>
  </si>
  <si>
    <t>OUT-OF-N; OPTIMAL ALLOCATION; F SYSTEM; MAINTENANCE; ELEMENTS; ALGORITHM; OPTIMIZATION; PROBABILITY; PROTECTION</t>
  </si>
  <si>
    <t>This paper proposes a new model of circular multi-state sliding window system with sequential demands. In this model the system consists of n mutually independent multi-state elements which are arranged along a circular path and fails if any r consecutive multi-state elements within the circle cannot meet the pre-determined sequential demands W. To evaluate the reliability of the proposed system, an algorithm based on an extended universal moment generating function is suggested and a method of reducing computational complexity is also provided. The element sequence strongly affects the reliability of the proposed circular multi-state sliding window system, therefore, the optimal element sequencing problem is formulated for the system and solved by using a genetic algorithm. Both analytical and numerical examples of evaluating system reliability are presented to illustrate the proposed model and the suggested algorithm.</t>
  </si>
  <si>
    <t>[Wang, Wei] Xi An Jiao Tong Univ, Sch Management, Xian, Peoples R China; [Fu, Yongnian] Northwest Inst Mech &amp; Elect Engn, Xianyang, Peoples R China; [Si, Peng] China Acad Informat &amp; Commun Technol, Beijing, Peoples R China; [Lin, Mingqiang] Chinese Acad Sci, Quanzhou Inst Equipment Mfg, Haixi Inst, Jinjiang, Peoples R China</t>
  </si>
  <si>
    <t>Xi'an Jiaotong University; China Academy of Information &amp; Communication Technology; Chinese Academy of Sciences</t>
  </si>
  <si>
    <t>Wang, W (corresponding author), Xi An Jiao Tong Univ, Sch Management, Xian, Peoples R China.</t>
  </si>
  <si>
    <t>wwwayne@mail.ustc.edu.cn</t>
  </si>
  <si>
    <t>Lin, Mingqiang/IXN-6491-2023; Wang, Wei/AAH-9356-2019</t>
  </si>
  <si>
    <t>Wang, Wei/0000-0001-6257-6564</t>
  </si>
  <si>
    <t>10.1016/j.ress.2020.106882</t>
  </si>
  <si>
    <t>WOS:000527843700021</t>
  </si>
  <si>
    <t>Xiao, H; Zhang, YY; Xiang, YS; Peng, R</t>
  </si>
  <si>
    <t>Xiao, Hui; Zhang, Yiyun; Xiang, Yisha; Peng, Rui</t>
  </si>
  <si>
    <t>Optimal design of a linear sliding window system with consideration of performance sharing</t>
  </si>
  <si>
    <t>Multi-state system reliability; Sliding window system; Universal generating function; Common bus performance sharing; Genetic algorithm</t>
  </si>
  <si>
    <t>OUT-OF-N; SERIES-PARALLEL SYSTEMS; CONSECUTIVE-K; MULTISTATE SYSTEMS; RELIABILITY; ALLOCATION; ELEMENTS; MAINTENANCE; PROTECTION; FAILURE</t>
  </si>
  <si>
    <t>Existing research on the linear sliding window system (SWS) has focused on modeling and extending to different system structures. Little research has devoted to analyzing the performance redistribution internally. This research considers an SWS with a common bus such that the performance can be redistributed among system elements. The reliability model of an SWS with a common bus is built with consideration of performance sharing. We extend the universal generating function technique to represent the states of the system, and formulate an optimization problem to determine the optimal performance sharing policy. We further suggest a reliability evaluation algorithm based on the representation function of the system states and the optimal performance sharing policy. Optimal allocation of the system elements is also considered in this work. Numerical studies show that the system reliability can be improved by considering a common bus performance sharing. The optimal allocation of system elements can also increase the system reliability without incurring extra costs.</t>
  </si>
  <si>
    <t>[Xiao, Hui] Southwestern Univ Finance &amp; Econ, Sch Stat, Dept Management Sci &amp; Engn, Chengdu 61130, Sichuan, Peoples R China; [Zhang, Yiyun] Southwestern Univ Finance &amp; Econ, Sch Insurance, Chengdu 61130, Sichuan, Peoples R China; [Xiang, Yisha] Texas Tech Univ, Dept Ind Mfg &amp; Syst Engn, Box 43061, Lubbock, TX 79409 USA; [Peng, Rui] Beijing Univ Technol, Sch Econ &amp; Management, Beijing 100124, Peoples R China</t>
  </si>
  <si>
    <t>Texas Tech University System; Texas Tech University; Beijing University of Technology</t>
  </si>
  <si>
    <t>Peng, R (corresponding author), Beijing Univ Technol, Sch Econ &amp; Management, Beijing 100124, Peoples R China.</t>
  </si>
  <si>
    <t>msxh@swufe.edu.cn; zhangyiyun@swufe.edu.cn; yisha.xiang@ttu.edu; pengrui1988@bjut.edu.cn</t>
  </si>
  <si>
    <t>Xiao, Hui/N-9777-2015; Peng, Rui/AAL-7506-2020; Xiang, Yisha/L-9847-2016</t>
  </si>
  <si>
    <t>National Natural Science Foundation of China [71971176, 71601158]; Beijing Nova Program of Science &amp; Technologyunder [Z191100001119100]</t>
  </si>
  <si>
    <t>National Natural Science Foundation of China(National Natural Science Foundation of China (NSFC)); Beijing Nova Program of Science &amp; Technologyunder</t>
  </si>
  <si>
    <t>This work was supported in part from the National Natural Science Foundation of China under grant numbers: 71971176 and 71601158, and the Beijing Nova Program of Science &amp; Technologyunder grant Z191100001119100.</t>
  </si>
  <si>
    <t>10.1016/j.ress.2020.106900</t>
  </si>
  <si>
    <t>WOS:000527843700030</t>
  </si>
  <si>
    <t>Wang, LY; Yang, YM; Zhu, HH; Liu, GX</t>
  </si>
  <si>
    <t>Wang, Liying; Yang, Yanmei; Zhu, Huihui; Liu, Guoxin</t>
  </si>
  <si>
    <t>Optimal condition-based renewable warranty policy for products with three-stage failure process</t>
  </si>
  <si>
    <t>Renewable warranty; condition-based warranty policy; three-stage failure process</t>
  </si>
  <si>
    <t>2-DIMENSIONAL WARRANTY; EXTENDED WARRANTY; MAINTENANCE STRATEGY; MODELS; SYSTEM; SOLD</t>
  </si>
  <si>
    <t>A three-stage failure process divides a product's life into three stages: normal, minor defective and severe defective stages. Under the condition-based renewable warranty policy, inspections are carried out to check which stage the product is in. Condition-based activities, such as shorting inspection intervals, preventive replacement and failure replacement, are carried out properly. From a manufacturer's perspective, the inspection interval is optimized by minimizing the expected cost rate per unit time over the whole warranty coverage. For comparison, the expected cost rate per unit time for warranty models without inspections and with fixed interval inspections are also derived. Numerical examples show that condition-based renewable warranty policy replacement policy can reduce the manufacturer's warranty cost significantly.</t>
  </si>
  <si>
    <t>[Wang, Liying; Yang, Yanmei; Zhu, Huihui; Liu, Guoxin] Shijiazhuang Tiedao Inst, Dept Math &amp; Phys, Shijiazhuang 050043, Hebei, Peoples R China</t>
  </si>
  <si>
    <t>NSF of China [11471218]; universities in Hebei province science and technology research project [ZD2018073]</t>
  </si>
  <si>
    <t>NSF of China(National Natural Science Foundation of China (NSFC)); universities in Hebei province science and technology research project</t>
  </si>
  <si>
    <t>This work is supported partly by the NSF of China Grants [11471218] and universities in Hebei province science and technology research project [ZD2018073].</t>
  </si>
  <si>
    <t>10.1080/16843703.2019.1584956</t>
  </si>
  <si>
    <t>WOS:000478550300001</t>
  </si>
  <si>
    <t>Liu, B; Shen, LJ; Xu, JY; Zhao, XJ</t>
  </si>
  <si>
    <t>Liu, Bin; Shen, Lijuan; Xu, Jianyu; Zhao, Xiujie</t>
  </si>
  <si>
    <t>A complimentary extended warranty: Profit analysis and pricing strategy</t>
  </si>
  <si>
    <t>Extended warranty; Warranty price; Risk aversion; Customer utility; Risk attitude heterogeneity</t>
  </si>
  <si>
    <t>COST-ANALYSIS; 2-DIMENSIONAL WARRANTY; DECISION-MODELS; RISK-AVERSION; PRODUCTS; DESIGN; POLICY; OPTIMIZATION; MAINTENANCE; CLAIM</t>
  </si>
  <si>
    <t>This paper aims to investigate the emerging trend of a new warranty policy in industries, namely, complimentary extended warranty. For the warranty with complimentary extended service, customers can enjoy a free extended warranty if they register online before expiration of the base warranty. At present, with frequent technological innovations, customers are more willing to replace the product instead of repair, which makes traditional warranty less attractive. Since the warranty with complimentary extended service does not charge extra fees for the customers and the option of online registration is open to customers, it can attract a broad range of customers. Compared with traditional warranties, the proposed warranty provides flexibility for customers in their post-purchase choice of online registration. We develop a warranty model to investigate the popularity of the warranty. It turns out that the proposed warranty model exhibits advantages over the traditional warranties. The proposed warranty is profitable for risk averse customers and for products that heap benefits from customer information. We design and price the warranty for unit product when the customers have heterogeneous risk attitudes. In addition, we analyze the total profit and determine the optimal selling price considering the customer demand. Finally, a numerical example is presented to illustrate the effectiveness of the proposed warranty policy.</t>
  </si>
  <si>
    <t>[Liu, Bin] Univ Strathclyde, Dept Management Sci, Glasgow G1 1XQ, Lanark, Scotland; [Shen, Lijuan] Swiss Fed Inst Technol, Singapore ETH Ctr, Zurich, Switzerland; [Xu, Jianyu] Xian Jiaotong Liverpool Univ, Int Business Sch, Suzhou, Peoples R China; [Zhao, Xiujie] Tianjin Univ, Coll Management &amp; Econ, Tianjin, Peoples R China</t>
  </si>
  <si>
    <t>University of Strathclyde; Swiss Federal Institutes of Technology Domain; ETH Zurich; Xi'an Jiaotong-Liverpool University; Tianjin University</t>
  </si>
  <si>
    <t>Shen, LJ (corresponding author), Swiss Fed Inst Technol, Singapore ETH Ctr, Zurich, Switzerland.</t>
  </si>
  <si>
    <t>lijuan.shen@sec.ethz.ch</t>
  </si>
  <si>
    <t>10.1016/j.ijpe.2020.107860</t>
  </si>
  <si>
    <t>OH1MF</t>
  </si>
  <si>
    <t>WOS:000582335000027</t>
  </si>
  <si>
    <t>Qiu, QG; Kou, M; Chen, K; Deng, Q; Kang, FM; Lin, C</t>
  </si>
  <si>
    <t>Qiu, Qingan; Kou, Meng; Chen, Ke; Deng, Qiao; Kang, Fengming; Lin, Cong</t>
  </si>
  <si>
    <t>Optimal stopping problems for mission oriented systems considering time redundancy</t>
  </si>
  <si>
    <t>Mission abort; Time redundancy; Mission reliability; System survivability</t>
  </si>
  <si>
    <t>ABORT POLICY; PREVENTIVE MAINTENANCE; RELIABILITY-ANALYSIS; SUBJECT; SERIES</t>
  </si>
  <si>
    <t>Catastrophic failures of safety-critical systems could result in irretrievable economic losses and damage. To enhance the survivability of safety-critical systems, a mission can be terminated if the failure risk becomes too high. Time redundancy can be commonly observed in many practical systems where missions can be executed multiple times during a constrained time to improve the mission reliability. This paper investigates the optimal mission abort policies for systems with continuous degradation considering two types of time redundancy. Under type I time redundancy, the system should keep operational continuously for a time period greater than a specific value. In the second case, mission success requires that the cumulative working time should be greater than the given value. Dynamic mission abort decisions are considered based on the degradation level and mission attempts. Mission reliability and system survivability are derived under two types of time redundancy. The optimal mission abort threshold in each attempt is investigated to minimize the expected total cost of mission failure and system failure. A case study is presented to illustrate the obtained results.</t>
  </si>
  <si>
    <t>[Qiu, Qingan; Kang, Fengming] Beijing Inst Technol, Sch Management &amp; Econ, Beijing, Peoples R China; [Kou, Meng] Beijing Inst Astronaut Syst Engn, Beijing, Peoples R China; [Chen, Ke] Beijing Inst Technol, Sch Math &amp; Stat, Beijing, Peoples R China; [Deng, Qiao] Yangtze Univ, Sch Petr Engn, Wuhan, Peoples R China; [Lin, Cong] AVIC China Aeropolytechnol Estab, Beijing, Peoples R China</t>
  </si>
  <si>
    <t>Beijing Institute of Technology; Beijing Institute of Technology; Yangtze University; Aviation Industry Corporation of China (AVIC)</t>
  </si>
  <si>
    <t>Deng, Q (corresponding author), Yangtze Univ, Sch Petr Engn, Wuhan, Peoples R China.</t>
  </si>
  <si>
    <t>dengqiao2008@163.com</t>
  </si>
  <si>
    <t>Kang, Fengming/AIA-4072-2022; , Qingan/AEV-3558-2022</t>
  </si>
  <si>
    <t>, Qingan/0000-0001-8741-0536; Kang, Fengming/0000-0003-2716-3689</t>
  </si>
  <si>
    <t>The authors would like to thank the editor and the anonymous reviewers for their constructive comments which have led to a substantial improvement of the paper. This research is supported by National Natural Science Foundation of China (Nos. 72001026 and 71801198)</t>
  </si>
  <si>
    <t>10.1016/j.ress.2020.107226</t>
  </si>
  <si>
    <t>WOS:000589091300011</t>
  </si>
  <si>
    <t>Yin, XX; Xu, B; Hu, LH; Li, HY; He, W</t>
  </si>
  <si>
    <t>Yin, Xiuxian; Xu, Bing; Hu, Laihong; Li, Hongyu; He, Wei</t>
  </si>
  <si>
    <t>A new interpretable belief rule base model with step-length convergence strategy for aerospace relay health state assessment</t>
  </si>
  <si>
    <t>SYNTHETIC CONDITION ASSESSMENT; DATA-DRIVEN METHODS; INFERENCE; MAINTENANCE; MANAGEMENT; NETWORK</t>
  </si>
  <si>
    <t>Health state assessment is an important measure to maintain the safety of aerospace relays. Due to the uncertainty within the relay system, the accuracy of the model assessment is challenged. In addition, the opaqueness of the process and incomprehensibility of the results tend to lose trust in the model, especially in high security fields, so it is crucial to maintain the interpretability of the model. Thus, this paper proposes a new interpretable belief rule base model with step-length convergence strategy (IBRB-Sc) for aerospace relay health state assessment. First, general interpretability criteria for BRB are considered, and strategies for maintaining model interpretability are designed. Second, the evidential reasoning (ER) method is used as the inference machine. Then, optimization is performed based on the Interpretable Projection Covariance Matrix Adaptive Evolution Strategy (IP-CMA-ES). Finally, the validity of the model is verified using the JRC-7M aerospace relay as a case study. Comparative experiments show that the proposed model maintains high accuracy and achieves advantages in interpretability.</t>
  </si>
  <si>
    <t>[Yin, Xiuxian; Xu, Bing; Li, Hongyu; He, Wei] Harbin Normal Univ, Harbin 150025, Peoples R China; [Hu, Laihong; He, Wei] Rocket Force Univ Engn, Xian 710025, Peoples R China</t>
  </si>
  <si>
    <t>Harbin Normal University; Rocket Force University of Engineering</t>
  </si>
  <si>
    <t>Xu, B; Li, HY (corresponding author), Harbin Normal Univ, Harbin 150025, Peoples R China.</t>
  </si>
  <si>
    <t>bingxv_0227@163.com; hsdlihy@163.com</t>
  </si>
  <si>
    <t>Yin, Xiuxian/ITV-1067-2023; Xu, Bing/AAY-6019-2021</t>
  </si>
  <si>
    <t>This work was supported in part by the Natural Science Foundation of China under Grant 62203461 and Grant 62203365, in part by the Postdoctoral Science Foundation of China under Grant No. 2020M683736, in part by the Teaching Reform Project of Higher Educat [62203365, 2020M683736]; Natural Science Foundation of China [SJGY20210456]; Postdoctoral Science Foundation of China [SJGY20210457, LH2021F038]; Teaching Reform Project of Higher Education in Heilongjiang Province [HSDSSCX2022-17]; Natural Science Foundation of Heilongjiang Province of China [HSDSSCX2022-18, HSDSSCX2022-19]; Graduate Academic Innovation Project of Harbin Normal University; [62203461]</t>
  </si>
  <si>
    <t>This work was supported in part by the Natural Science Foundation of China under Grant 62203461 and Grant 62203365, in part by the Postdoctoral Science Foundation of China under Grant No. 2020M683736, in part by the Teaching Reform Project of Higher Educat; Natural Science Foundation of China(National Natural Science Foundation of China (NSFC)); Postdoctoral Science Foundation of China(China Postdoctoral Science Foundation); Teaching Reform Project of Higher Education in Heilongjiang Province; Natural Science Foundation of Heilongjiang Province of China(Natural Science Foundation of Heilongjiang Province); Graduate Academic Innovation Project of Harbin Normal University;</t>
  </si>
  <si>
    <t>This work was supported in part by the Natural Science Foundation of China under Grant 62203461 and Grant 62203365, in part by the Postdoctoral Science Foundation of China under Grant No. 2020M683736, in part by the Teaching Reform Project of Higher Education in Heilongjiang Province under Grant Nos. SJGY20210456 and SJGY20210457, in part by the Natural Science Foundation of Heilongjiang Province of China under Grant No. LH2021F038, and in part by the Graduate Academic Innovation Project of Harbin Normal University under Grant Nos. HSDSSCX2022-17, HSDSSCX2022-18 and HSDSSCX2022-19.</t>
  </si>
  <si>
    <t>AUG 28</t>
  </si>
  <si>
    <t>10.1038/s41598-023-41305-z</t>
  </si>
  <si>
    <t>Q5EE1</t>
  </si>
  <si>
    <t>WOS:001057740800062</t>
  </si>
  <si>
    <t>Sheu, SH; Liu, TH; Sheu, WT; Zhang, ZG; Ke, JC</t>
  </si>
  <si>
    <t>Sheu, Shey-Huei; Liu, Tzu-Hsin; Sheu, Wei-Teng; Zhang, Zhe-George; Ke, Jau-Chuan</t>
  </si>
  <si>
    <t>Optimal replacement policy with replacement last under cumulative damage models</t>
  </si>
  <si>
    <t>Cumulative damage model; Minimal repair; Optimization; Replacement last</t>
  </si>
  <si>
    <t>IMPERFECT PREVENTIVE MAINTENANCE; MINIMAL REPAIR; SYSTEM; DEGRADATION; 1ST</t>
  </si>
  <si>
    <t>In this study, we discuss a preventive replacement policy under cumulative damage models that include the concept of replacement last. The system is subject to two types of shocks (represented by type 1 shock and type 2 shock) whose probabilities depend on age. Each type 1 shock leads to an amount of additive damage to the system and also causes a minor failure of the system, which can be rectified by a minimal repair. The system will have a catastrophic failure as long as the accumulated damage exceeds a failure level threshold L. Meanwhile, type 2 shock will cause catastrophic failure of the system. The system is replaced preventively at age tau or the n-th type 1 shock or the time instant when the accumulated damage exceeds a pre-specified level k (but less than L), whichever occurs last, and is replaced correctively at the first type 2 shock or the time which the accumulated damage exceeds L, whichever occurs first. The average cost rate is developed and the optimal replacement policy is discussed analytically and computed numerically.</t>
  </si>
  <si>
    <t>[Sheu, Shey-Huei] Asia Univ, Dept Business Adm, Taichung 41354, Taiwan; [Sheu, Shey-Huei] China Med Univ, China Med Univ Hosp, Dept Med Res, Taichung, Taiwan; [Sheu, Shey-Huei] Natl Taiwan Univ Sci &amp; Technol, Dept Ind Management, Taipei 10607, Taiwan; [Liu, Tzu-Hsin] Chaoyang Univ Technol, Dept Finance, Taichung 413310, Taiwan; [Sheu, Wei-Teng] Natl Taiwan Univ Sci &amp; Technol, Dept Business Adm, Taipei 10607, Taiwan; [Zhang, Zhe-George] Western Washington Univ, Dept Decis Sci, Bellingham, WA 98225 USA; [Zhang, Zhe-George] Simon Fraser Univ, Beedie Sch Business, Burnaby, BC V5A 1S6, Canada; [Ke, Jau-Chuan] Natl Taichung Univ Sci &amp; Technol, Dept Appl Stat, Taichung 404, Taiwan</t>
  </si>
  <si>
    <t>Asia University Taiwan; China Medical University Taiwan; China Medical University Hospital - Taiwan; National Taiwan University of Science &amp; Technology; Chaoyang University of Technology; National Taiwan University of Science &amp; Technology; Western Washington University; Simon Fraser University; National Taichung University of Science &amp; Technology</t>
  </si>
  <si>
    <t>Sheu, SH (corresponding author), Asia Univ, Dept Business Adm, Taichung 41354, Taiwan.;Sheu, SH (corresponding author), China Med Univ, China Med Univ Hosp, Dept Med Res, Taichung, Taiwan.;Sheu, SH (corresponding author), Natl Taiwan Univ Sci &amp; Technol, Dept Ind Management, Taipei 10607, Taiwan.;Zhang, ZG (corresponding author), Western Washington Univ, Dept Decis Sci, Bellingham, WA 98225 USA.;Zhang, ZG (corresponding author), Simon Fraser Univ, Beedie Sch Business, Burnaby, BC V5A 1S6, Canada.</t>
  </si>
  <si>
    <t>shsheu@mail.ntust.edu.tw; George.Zhang@wwu.edu</t>
  </si>
  <si>
    <t>liu, th/KBQ-0635-2024</t>
  </si>
  <si>
    <t>10.1016/j.ress.2021.107445</t>
  </si>
  <si>
    <t>WOS:000663909200015</t>
  </si>
  <si>
    <t>Dui, HY; Meng, XY; Xiao, H; Guo, JJ</t>
  </si>
  <si>
    <t>Dui, Hongyan; Meng, Xueyu; Xiao, Hui; Guo, Jianjun</t>
  </si>
  <si>
    <t>Analysis of the cascading failure for scale-free networks based on a multi-strategy evolutionary game</t>
  </si>
  <si>
    <t>Cascading failure; Reliability; Multi-state systems; Scale-free networks; Evolutionary games</t>
  </si>
  <si>
    <t>RELIABILITY-ANALYSIS; PROPAGATED FAILURES; SYSTEMS; PERFORMANCE; SUBJECT; VULNERABILITY; MAINTENANCE; DESIGNS</t>
  </si>
  <si>
    <t>This research studies the cascading failure in a scale-free network from the perspective of the payoffs of nodes in a multi-strategy evolutionary game. Different from the traditional methods that eliminate nodes randomly or deliberately, this method starts from the payoff of the more general evolutionary game phenomena in reality, and eliminates the nodes with negative payoff and the edges connected with the failed nodes. By eliminating the failure nodes in the scale-free network, we can analyze the influence of the cascade failure on the topological structure of complex networks and discuss the evolutionary direction of the game. Furthermore, the evolutionary game of a ternary strategy considering incentive and punishment mechanism is analyzed, and the influence of the number of law enforcers on the evolutionary game is discussed. We demonstrate the proposed method by conducing a simulation study on a scale-free network. The results show that the aggregation and invulnerability coefficients of the scale-free network are on the rise. Thus, we can conclude that the small group of the network has a positive resistance to the external environment.</t>
  </si>
  <si>
    <t>[Dui, Hongyan] Zhengzhou Univ, Sch Management Engn, Zhengzhou 450001, Peoples R China; [Meng, Xueyu] Northwestern Polytech Univ, Sch Mech Engn, Xian 710072, Peoples R China; [Xiao, Hui; Guo, Jianjun] Southwestern Univ Finance &amp; Econ, Sch Stat, Chengdu 611130, Peoples R China</t>
  </si>
  <si>
    <t>Zhengzhou University; Northwestern Polytechnical University; Southwestern University of Finance &amp; Economics - China</t>
  </si>
  <si>
    <t>Xiao, Hui/N-9777-2015; Meng, Xueyu/AAI-7417-2021</t>
  </si>
  <si>
    <t>Meng, Xueyu/0000-0002-0640-1206; Dui, Hongyan/0000-0002-2277-6454</t>
  </si>
  <si>
    <t>National Natural Science Foundation of China [U1904211, 71501173, 71601158, 71971176]; National Social Science Foundation of China [19AZD010]</t>
  </si>
  <si>
    <t>National Natural Science Foundation of China(National Natural Science Foundation of China (NSFC)); National Social Science Foundation of China(National Office of Philosophy and Social Sciences)</t>
  </si>
  <si>
    <t>This research is supported by the National Natural Science Foundation of China under grant numbers U1904211, 71501173, 71601158 and 71971176, and the National Social Science Foundation of China under grant number 19AZD010.</t>
  </si>
  <si>
    <t>10.1016/j.ress.2020.106919</t>
  </si>
  <si>
    <t>WOS:000534159800002</t>
  </si>
  <si>
    <t>Termination versus operation extension for degrading systems</t>
  </si>
  <si>
    <t>Termination; expected profit; Poison process; gamma process; failure threshold</t>
  </si>
  <si>
    <t>OPTIMAL MISSION DURATION; PREVENTIVE MAINTENANCE; ABORT POLICIES; SUBJECT; SHOCKS</t>
  </si>
  <si>
    <t>Optimal cost-wise termination of operation for degrading engineering systems is considered that maximizes the expected profit for the infinite horizon. Termination reduces probability of the future failure that usually results in substantial loss. The cases of non-repairable and minimally repairable systems are discussed. The black-box scenario without additional information on stochastic process of degradation and that with additional information are considered. The novel sequential optimal inspection policy is described. It is proved that the termination time can be postponed in an optimal way if the degradation observed at inspection is smaller than the defined level. The developed approach allows for optimal usage of system's resource. The detailed numerical examples illustrate the findings.</t>
  </si>
  <si>
    <t>[Finkelstein, Maxim] Univ Free State, Dept Math Stat, Bloemfontein, South Africa; [Finkelstein, Maxim] Univ Strathclyde, Dept Management Sci, Glasgow, Lanark, Scotland; [Cha, Ji Hwan] Ewha Womans Univ, Dept Stat, Daehyun Dong 11-1, Seoul 120750, South Korea; [Langston, Amy] Rhodes Univ, Dept Stat, Grahamstown, South Africa</t>
  </si>
  <si>
    <t>Cha, JH (corresponding author), Ewha Womans Univ, Dept Stat, Daehyun Dong 11-1, Seoul 120750, South Korea.</t>
  </si>
  <si>
    <t>Langston, Amy/0000-0002-5217-4219; Finkelstein, Maxim/0000-0002-3018-8353</t>
  </si>
  <si>
    <t>The author(s) disclosed receipt of the following financial support for the research, authorship, and/or publication of this article: The work of the second author was supported by Basic Science Research Program through the National Research Foundation of Korea (NRF) funded by the Ministry of Education (Grant Number: 2019R1A6A1A11051177).</t>
  </si>
  <si>
    <t>10.1177/1748006X221116709</t>
  </si>
  <si>
    <t>Y2RA1</t>
  </si>
  <si>
    <t>WOS:000837347100001</t>
  </si>
  <si>
    <t>Gao, KY; Peng, R; Qu, L; Xing, LD; Wang, SY; Wu, D</t>
  </si>
  <si>
    <t>Gao, Kaiye; Peng, Rui; Qu, Li; Xing, Liudong; Wang, Shouyang; Wu, Di</t>
  </si>
  <si>
    <t>Linear system design with application in wireless sensor networks</t>
  </si>
  <si>
    <t>Reliability; Cost; Signal coverage; Linear multi-state consecutively connected system; Universal generating function; Wireless sensor network</t>
  </si>
  <si>
    <t>CONSECUTIVELY-CONNECTED SYSTEMS; MULTISTATE ELEMENTS; STRUCTURE OPTIMIZATION; RELIABILITY EVALUATION; OPTIMAL ALLOCATION; POWER-SYSTEM; MAINTENANCE; SUBJECT; COVERAGE; LEVEL</t>
  </si>
  <si>
    <t>Wireless sensor networks (WSN) are essential technologies of modern smart industry and their reliability is crucial for industrial information integration. This paper contributes by modeling the reliability of a linear multi-state consecutively connected system (LMCCS), which consists of a WSN providing the signal source, some intermediate nodes, and a sink node. The wireless sensors (WS) constituting the WSN are deployed around monitored objects to sense their conditions and transmit the sensed signal to a base station. The base station of the WSN serves as the source node of the LMCCS. The intermediate nodes of the LMCCS are sequentially arranged along a line to provide coverage and transmission of signal from the WSN base station to the sink node. Each node may assume multiple states, characterized by different signal coverage and transmission ranges of the connection element (CE) deployed in the node. As the state of each node is random, the signal coverage of the entire LMCCS is also random. Existing works on LMCCSs have mainly focused on studying the continuity of signal transmission (in particular, the probability that the sink node or signal receiver can successfully receive the signal from the source node or signal emitter). However, in some practical applications (e.g., risk source monitoring systems), the signal coverage area is a more important performance metric than the signal receiving probability. This paper proposes a universal generating function-based method to model and analyze the reliability and expected signal coverage of the LMCCS with WSN. The optimal CEs allocation problem is then solved with the objective of minimizing the cost of the entire system while meeting pre-specified requirements on the expected signal coverage and system reliability. The CEs allocation policy obtained should strike the balance among the system reliability, signal coverage and cost.</t>
  </si>
  <si>
    <t>[Gao, Kaiye; Qu, Li] Beijing Informat Sci &amp; Technol Univ, Sch Econ &amp; Management, Beijing 100101, Peoples R China; [Gao, Kaiye; Wang, Shouyang] Chinese Acad Sci, Acad Math &amp; Syst Sci, 55 East Zhongguancun Rd, Beijing 100190, Peoples R China; [Peng, Rui] Beijing Univ Technol, Sch Econ &amp; Management, 100 Pingleyuan, Beijing 100124, Peoples R China; [Xing, Liudong] Univ Massachusetts Dartmouth, 285 Old Westport Rd, Dartmouth, MA 02747 USA; [Wu, Di] Xi An Jiao Tong Univ, Sch Management, Xianningxi 28, Xian 710049, Shanxi, Peoples R China</t>
  </si>
  <si>
    <t>Beijing Information Science &amp; Technology University; Chinese Academy of Sciences; Academy of Mathematics &amp; System Sciences, CAS; Beijing University of Technology; University of Massachusetts System; University Massachusetts Dartmouth; Xi'an Jiaotong University</t>
  </si>
  <si>
    <t>Xing, LD (corresponding author), Univ Massachusetts Dartmouth, 285 Old Westport Rd, Dartmouth, MA 02747 USA.</t>
  </si>
  <si>
    <t>lxing@umassd.edu</t>
  </si>
  <si>
    <t>National Natural Science Foundation of China (NSFC) [72001027, 72071005]; Beijing Nova Program of Science Technology [Z191100001119100]; Research Base Project of the Social Science Foundation of Beijing [19JDGLB2019]; Beijing Municipal Commission of Education [KM202111232007]; Beijing Information Science &amp; Technology University [2121YJPY228]</t>
  </si>
  <si>
    <t>National Natural Science Foundation of China (NSFC)(National Natural Science Foundation of China (NSFC)); Beijing Nova Program of Science Technology; Research Base Project of the Social Science Foundation of Beijing; Beijing Municipal Commission of Education(Beijing Municipal Commission of Education); Beijing Information Science &amp; Technology University</t>
  </si>
  <si>
    <t>This research was partially supported by the National Natural Science Foundation of China (NSFC) under grant 72001027 and 72071005, the Beijing Nova Program of Science &amp; Technology under grant Z191100001119100, the Research Base Project of the Social Science Foundation of Beijing under grant 19JDGLB2019, the Beijing Municipal Commission of Education under grant KM202111232007 and Beijing Information Science &amp; Technology University under grant 2121YJPY228.</t>
  </si>
  <si>
    <t>10.1016/j.jii.2021.100279</t>
  </si>
  <si>
    <t>6W9UX</t>
  </si>
  <si>
    <t>WOS:000896072100001</t>
  </si>
  <si>
    <t>Zhang, ZM; He, SG; He, Z; Wang, DF; Dong, FQ</t>
  </si>
  <si>
    <t>Zhang, Zhaomin; He, Shuguang; He, Zhen; Wang, Dongfan; Dong, Fangqi</t>
  </si>
  <si>
    <t>A systematic warranty-reliability-price decision model for two-dimensional warranted products with heterogeneous usage rates</t>
  </si>
  <si>
    <t>Two-dimensional warranty; Price; Reliability; Heterogeneous usage rate; Dynamic market</t>
  </si>
  <si>
    <t>FREE REPLACEMENT; DESIGN; MAINTENANCE; POLICIES; OPTIMIZATION; LENGTH; COST</t>
  </si>
  <si>
    <t>For products with a two-dimensional (2D) warranty policy, customers are heterogeneous on usage rates. In this study, we propose a systematic warranty-reliability-price combination decision model for repairable products with a 2D Free Replacement-Repair Warranty (FRW). The effects of customers' heterogeneous usage rate on both reliability design and the demand function of 2D warranted products are considered in the model. The optimal warranty-reliability-price combination is obtained by maximizing total expected profits over products' life cycle. Two marketing scenarios are discussed, i.e., a stable market and a dynamic market. The optimality conditions for the two scenarios are investigated. The applicability of the model is demonstrated via a case study of an industrial 3D printer manufacturer, and it shows the consistency of the model.</t>
  </si>
  <si>
    <t>[Zhang, Zhaomin] Civil Aviat Univ China, Sch Transportat Sci &amp; Engn, Tianjin 300300, Peoples R China; [He, Shuguang; He, Zhen] Tianjin Univ, Coll Management &amp; Econ, Tianjin 300072, Peoples R China; [Wang, Dongfan] Yellow River Engn Consulting Co Ltd, Zhengzhou 450003, Peoples R China; [Dong, Fangqi] China Automot Technol &amp; Reasearch Ctr Co Ltd, Tianjin 300300, Peoples R China</t>
  </si>
  <si>
    <t>Civil Aviation University of China; Tianjin University; Yellow River Engineering Consulting Co., Ltd.</t>
  </si>
  <si>
    <t>Zhang, ZM (corresponding author), Civil Aviat Univ China, Sch Transportat Sci &amp; Engn, Tianjin 300300, Peoples R China.;Wang, DF (corresponding author), Yellow River Engn Consulting Co Ltd, Zhengzhou 450003, Peoples R China.</t>
  </si>
  <si>
    <t>zhangzhaomin2020@163.com; shuguanghe@tju.edu.cn; zhhe@tju.edu.cn; dfwang@tju.edu.cn</t>
  </si>
  <si>
    <t>National Natural Science Foundation of China (NSFC) [71902180,72032005]; Fundamental Research Funds for the Central Universities [XJ2021012301]; Research Startup Foundation of Civil Aviation University of China [2020KYQD71]</t>
  </si>
  <si>
    <t>National Natural Science Foundation of China (NSFC)(National Natural Science Foundation of China (NSFC)); Fundamental Research Funds for the Central Universities(Fundamental Research Funds for the Central Universities); Research Startup Foundation of Civil Aviation University of China</t>
  </si>
  <si>
    <t>This work was supported by the National Natural Science Foundation of China (NSFC) under Grants 71902180,72032005, and the Fundamental Research Funds for the Central Universities under Grant XJ2021012301, and the Research Startup Foundation of Civil Aviation University of China under Grant 2020KYQD71.</t>
  </si>
  <si>
    <t>10.1016/j.cie.2021.107820</t>
  </si>
  <si>
    <t>YD3ME</t>
  </si>
  <si>
    <t>WOS:000740278100008</t>
  </si>
  <si>
    <t>Xiao, H; Cao, MH; Kou, G; Yuan, XJ</t>
  </si>
  <si>
    <t>Xiao, Hui; Cao, Minhao; Kou, Gang; Yuan, Xiaojun</t>
  </si>
  <si>
    <t>Optimal element allocation and sequencing of multi-state series systems with two levels of performance sharing</t>
  </si>
  <si>
    <t>Reliability; multi-state system; performance sharing; universal generating function; genetic algorithm</t>
  </si>
  <si>
    <t>PHASED-MISSION SYSTEMS; CONSECUTIVELY-CONNECTED SYSTEMS; CARLO-SIMULATION APPROACH; COMMON-CAUSE FAILURE; RELIABILITY-ANALYSIS; PARALLEL SYSTEMS; MAINTENANCE POLICIES; OPTIMIZATION; REDUNDANCY; MODEL</t>
  </si>
  <si>
    <t>Motivated by real-world complex engineering systems, this research proposes a multi-state system with two levels of performance sharing. In this system, there exists a unique performance transmitter between any two adjacent subsystems and any two adjacent elements within each subsystem. Surplus performance of a subsystem or an element can only be transmitted to its adjacent subsystems or elements. We build the reliability model of the proposed system and suggest a corresponding reliability evaluation algorithm by extending the existing universal generating function technique. Since the performance sharing is only allowed between adjacent subsystems and elements, the element allocation and sequencing will affect the system reliability. Due to the complexity of the combinatorial optimization problem, we use the genetic algorithm to find the optimal allocation and sequencing of the elements. An analytical example is provided to illustrate the reliability evaluation algorithm. Numerical experiments are carried out to demonstrate how the optimal allocation and sequencing as well as the capacities of the performance transmitters affect the system reliability.</t>
  </si>
  <si>
    <t>[Xiao, Hui; Cao, Minhao; Yuan, Xiaojun] Southwestern Univ Finance &amp; Econ, Dept Management Sci &amp; Engn, 555 Liutai Ave, Chengdu 610074, Peoples R China; [Kou, Gang] Southwestern Univ Finance &amp; Econ, Sch Business Adm, Chengdu, Peoples R China</t>
  </si>
  <si>
    <t>Southwestern University of Finance &amp; Economics - China; Southwestern University of Finance &amp; Economics - China</t>
  </si>
  <si>
    <t>Xiao, H (corresponding author), Southwestern Univ Finance &amp; Econ, Dept Management Sci &amp; Engn, 555 Liutai Ave, Chengdu 610074, Peoples R China.</t>
  </si>
  <si>
    <t>Kou, Gang/G-3869-2010; Xiao, Hui/N-9777-2015</t>
  </si>
  <si>
    <t>cao, minhao/0000-0003-3930-5154</t>
  </si>
  <si>
    <t>National Natural Science Foundation of China [71601158, 71971176, 71725001, U1811462]; Applied Basic Research Program of Sichuan Province [2020YJ0027]</t>
  </si>
  <si>
    <t>National Natural Science Foundation of China(National Natural Science Foundation of China (NSFC)); Applied Basic Research Program of Sichuan Province</t>
  </si>
  <si>
    <t>The author(s) disclosed receipt of the following financial support for the research, authorship, and/or publication of this article: This work was supported by supported in part by grants from the National Natural Science Foundation of China under grant numbers 71601158, 71971176, 71725001, and U1811462, and the Applied Basic Research Program of Sichuan Province under grant number 2020YJ0027.</t>
  </si>
  <si>
    <t>1748006X20947846</t>
  </si>
  <si>
    <t>10.1177/1748006X20947846</t>
  </si>
  <si>
    <t>RZ5LW</t>
  </si>
  <si>
    <t>WOS:000559715000001</t>
  </si>
  <si>
    <t>Zheng, R; Su, C</t>
  </si>
  <si>
    <t>Zheng, Rui; Su, Chun</t>
  </si>
  <si>
    <t>A flexible two-dimensional basic warranty policy with two continuous warranty regions</t>
  </si>
  <si>
    <t>customized warranty; learning effect; usage rate; warranty pricing</t>
  </si>
  <si>
    <t>PREVENTIVE MAINTENANCE STRATEGY; EXTENDED WARRANTY; RELIABILITY; MODEL; MANAGEMENT; PRODUCTS; DESIGN; PRICE; SOLD</t>
  </si>
  <si>
    <t>Flexible warranty policies can satisfy customers by allowing them to select the warranty regions according to their usage rates. However, customers are usually unaware of their future usage rates when they purchase a product, which makes it difficult to make sound decisions. To address the problem, this paper proposes a flexible two-dimensional basic warranty policy with two continuous rectangular regions. Customers can gain experience of their usage rates through the first region, and thus make the second region more cost-effective. The total price of the two subregions is equal to the basic warranty price, which is prespecified by the manufacturer. The objective is to determine the optimal boundary between the two regions from the perspective of customers. First, the learning effect is used to depict the process of gaining experience from the first region. A warranty pricing model is then developed based on the polynomial failure intensity model. On that basis, the customer's expected repair cost over the warranty period is analyzed, and a numerical method is proposed for the optimization problem. A numerical example is presented to demonstrate the effectiveness of the proposed policy. The results show that customers can benefit more from the proposed policy than from the iso-cost warranty policy.</t>
  </si>
  <si>
    <t>[Zheng, Rui; Su, Chun] Southeast Univ, Sch Mech Engn, Nanjing 211189, Peoples R China</t>
  </si>
  <si>
    <t>Southeast University - China</t>
  </si>
  <si>
    <t>Su, C (corresponding author), Southeast Univ, Sch Mech Engn, Nanjing 211189, Peoples R China.</t>
  </si>
  <si>
    <t>suchun@seu.edu.cn</t>
  </si>
  <si>
    <t>National Natural Science Foundation of China (NSFC) [71671035]; China Scholarship Council (CSC) [201806090017]; Open Fund of Jiangsu Wind Power Engineering Technology Center of China [ZK19-03-03]</t>
  </si>
  <si>
    <t>National Natural Science Foundation of China (NSFC)(National Natural Science Foundation of China (NSFC)); China Scholarship Council (CSC)(China Scholarship Council); Open Fund of Jiangsu Wind Power Engineering Technology Center of China</t>
  </si>
  <si>
    <t>This research was supported by the National Natural Science Foundation of China (NSFC) under No. 71671035; China Scholarship Council (CSC) under No. 201806090017; and the Open Fund of Jiangsu Wind Power Engineering Technology Center of China under No. ZK19-03-03.</t>
  </si>
  <si>
    <t>10.1002/qre.2670</t>
  </si>
  <si>
    <t>NV0LU</t>
  </si>
  <si>
    <t>WOS:000538807900001</t>
  </si>
  <si>
    <t>Ye, ZG; Yang, H; Cai, ZQ; Si, SB; Zhou, FL</t>
  </si>
  <si>
    <t>Ye, Zhenggeng; Yang, Hui; Cai, Zhiqiang; Si, Shubin; Zhou, Fuli</t>
  </si>
  <si>
    <t>Performance evaluation of serial-parallel manufacturing systems based on the impact of heterogeneous feedstocks on machine degradation</t>
  </si>
  <si>
    <t>Serial-parallel manufacturing system; Reliability; Feedstock; Quality; Mixture degradation; Non-homogeneous poisson process</t>
  </si>
  <si>
    <t>CONDITION-BASED MAINTENANCE; RELIABILITY; QUALITY; MIXTURE; DISTRIBUTIONS; WEIBULL; MODEL</t>
  </si>
  <si>
    <t>Heterogeneity of feedstock quality can bring disturbances to machine degradation and product quality. Therefore, machine reliability modeling and machining quality analysis considering the flow of heterogeneous feed-stocks are very essential in the performance evaluation of manufacturing systems. This paper presents a new mixture degradation model to evaluate the reliability of manufacturing machines that accounts for the flow and impact of heterogeneous feedstocks in serial-parallel manufacturing systems. Specifically, this mixture model leverages two Weibull distributions to describe machine degradation processes under the conditions of high-quality and low-quality feedstocks. Then, the flow of low-quality feedstocks is modeled by the non-homogeneous Poisson process, so that an interacting chain of quality and reliability is formulated for the serial-parallel manufacturing system. Based on the proposed model, an evaluation framework for the performance of serial-parallel manufacturing systems is provided. Finally, simulation experiments are implemented to analyze the operation status and quality loss of the system. The results showed the effectiveness of the proposed method in performance modeling of serial-parallel manufacturing systems with mixture machine degradation. The proposed approach shows strong potentials for general applications in the performance analysis of complex-structure manufacturing systems.</t>
  </si>
  <si>
    <t>[Ye, Zhenggeng; Cai, Zhiqiang; Si, Shubin] Northwestern Polytech Univ, Sch Mech Engn, Dept Ind Engn, Xian 710072, Peoples R China; [Ye, Zhenggeng; Cai, Zhiqiang; Si, Shubin] Northwestern Polytech Univ, Minist Ind &amp; Informat Technol, Key Lab Ind Engn &amp; Intelligent Mfg, Xian 710072, Peoples R China; [Ye, Zhenggeng; Yang, Hui] Penn State Univ, Harold &amp; Inge Marcus Dept Ind &amp; Mfg Engn, University Pk, PA 16802 USA; [Zhou, Fuli] Zhengzhou Univ Light Ind, Coll Econ &amp; Management, Res Ctr Innovat &amp; Ind, Zhengzhou 450001, Peoples R China</t>
  </si>
  <si>
    <t>Northwestern Polytechnical University; Northwestern Polytechnical University; Pennsylvania Commonwealth System of Higher Education (PCSHE); Pennsylvania State University; Penn State Behrend; Pennsylvania State University - University Park; Zhengzhou University of Light Industry</t>
  </si>
  <si>
    <t>Cai, ZQ (corresponding author), Northwestern Polytech Univ, Sch Mech Engn, Dept Ind Engn, Xian 710072, Peoples R China.;Cai, ZQ (corresponding author), Northwestern Polytech Univ, Minist Ind &amp; Informat Technol, Key Lab Ind Engn &amp; Intelligent Mfg, Xian 710072, Peoples R China.</t>
  </si>
  <si>
    <t>Cai, Zhiqiang/GLS-3354-2022; Zhou, Fuli/H-6662-2019; ZHENGGENG, YE/AAO-7424-2020; Fuli, ZHOU/E-1177-2015</t>
  </si>
  <si>
    <t>Cai, Zhiqiang/0000-0002-7380-8110; Fuli, ZHOU/0000-0002-4786-8451; Yang, Hui/0000-0001-5997-6823</t>
  </si>
  <si>
    <t>National Natural Science Foundation of China [71871181, 71631001, 71771186]; 111 Project [B13044]; Innovation Foundation for Doctor Dissertation of Northwestern Polytechnical University [CX202028]; Harold and Inge Marcus Professorship</t>
  </si>
  <si>
    <t>National Natural Science Foundation of China(National Natural Science Foundation of China (NSFC)); 111 Project(Ministry of Education, China - 111 Project); Innovation Foundation for Doctor Dissertation of Northwestern Polytechnical University; Harold and Inge Marcus Professorship</t>
  </si>
  <si>
    <t>The authors (ZY, ZC, and SS) thanks research support from the National Natural Science Foundation of China (Nos. 71871181, 71631001, 71771186), the 111 Project (No. B13044), the Innovation Foundation for Doctor Dissertation of Northwestern Polytechnical University (No. CX202028). The author (HY) would like to thank Harold and Inge Marcus Professorship for financial support.</t>
  </si>
  <si>
    <t>10.1016/j.ress.2020.107319</t>
  </si>
  <si>
    <t>WOS:000606682100006</t>
  </si>
  <si>
    <t>Sheu, SH; Liu, TH; Zhang, ZG; Zhao, XF; Chien, YH</t>
  </si>
  <si>
    <t>Sheu, Shey-Huei; Liu, Tzu-Hsin; Zhang, Zhe-George; Zhao, Xufeng; Chien, Yu-Hung</t>
  </si>
  <si>
    <t>A generalized age-dependent minimal repair with random working times</t>
  </si>
  <si>
    <t>Optimization; Random working time; Replacement first; Replacement last</t>
  </si>
  <si>
    <t>PREVENTIVE MAINTENANCE POLICIES; DETERMINING OPTIMAL NUMBER; REPLACEMENT POLICIES; PERIODIC REPLACEMENT; SYSTEMS SUBJECT; MODELS; FAILURES; COSTS; 1ST; LAST</t>
  </si>
  <si>
    <t>Two extended preventive replacement models for systems that execute projects at random times are discussed in this paper. The system is subject to shocks at which the system experiences one of two kinds of failures whose probabilities depend on age. A type I failure will cause a minor failure of the system and is fixed by a minimal repair. A type II failure will lead to a catastrophic failure of the system, and a corrective replacement is required at such failure. First, we investigate a preventive replacement policy where the system is replaced at the m-th type I failure, or at the time instant when the n-th working project is completed, or at age tau, or at the first type II failure, whichever occurs first. In addition, we also investigate another preventive replacement model where the system is replaced preventively at the time instant when the n-th working project is completed, or at the m-th type I failure, or at age tau, whichever occurs last, and is replaced correctively at the first type II failure. We formulate the long-run expected cost rate for each replacement policy, and determine analytically the optimum preventive replacement policy. We also show that several previous replacement models in the literature are special cases of our models. Finally, a procedure for finding the optimum preventive replacement schedule is presented and some numerical examples are given illustrating the present policies.</t>
  </si>
  <si>
    <t>[Sheu, Shey-Huei] Asia Univ, Dept Business Adm, Taichung 41354, Taiwan; [Sheu, Shey-Huei] China Med Univ, China Med Univ Hosp, Dept Med Res, Taichung, Taiwan; [Sheu, Shey-Huei] Natl Taiwan Univ Sci &amp; Technol, Dept Ind Management, Taipei 10607, Taiwan; [Liu, Tzu-Hsin] Chaoyang Univ Technol, Dept Finance, Taichung 413310, Taiwan; [Zhang, Zhe-George] Western Washington Univ, Dept Decis Sci, Bellingham, WA 98225 USA; [Zhang, Zhe-George] Simon Fraser Univ, Beedie Sch Business, Burnaby, BC V5A 1S6, Canada; [Zhao, Xufeng] Nanjing Univ Aeronaut &amp; Astronaut, Coll Econ &amp; Management, Nanjing 211106, Jiangsu, Peoples R China; [Chien, Yu-Hung] Natl Taichung Univ Sci &amp; Technol, Dept Appl Stat, Taichung 404, Taiwan</t>
  </si>
  <si>
    <t>Asia University Taiwan; China Medical University Taiwan; China Medical University Hospital - Taiwan; National Taiwan University of Science &amp; Technology; Chaoyang University of Technology; Western Washington University; Simon Fraser University; Nanjing University of Aeronautics &amp; Astronautics; National Taichung University of Science &amp; Technology</t>
  </si>
  <si>
    <t>Sheu, SH (corresponding author), Asia Univ, Dept Business Adm, Taichung 41354, Taiwan.;Zhang, ZG (corresponding author), Western Washington Univ, Dept Decis Sci, Bellingham, WA 98225 USA.</t>
  </si>
  <si>
    <t>shsheu@mail.ntust.edu.tw; ounce_liou@yahoo.com.tw; George.Zhang@wwu.edu; xz.cem@nuaa.edu.cn; yhchien@nutc.edu.tw</t>
  </si>
  <si>
    <t>Ministry of Science and Technology of Taiwan [MOST 108-2221-E-468 -005-MY3]; MOST [108-2221-E-025-002-MY3]</t>
  </si>
  <si>
    <t>Ministry of Science and Technology of Taiwan(Ministry of Science and Technology, Taiwan); MOST</t>
  </si>
  <si>
    <t>The authors thank the anonymous referees for the valuable comments and suggestions, which significantly improved the quality of the paper. This research was supported by the Ministry of Science and Technology of Taiwan, under Grant No. MOST 108-2221-E-468 -005-MY3 and No. MOST 108-2221-E-025-002-MY3.</t>
  </si>
  <si>
    <t>10.1016/j.cie.2021.107248</t>
  </si>
  <si>
    <t>WOS:000647845400031</t>
  </si>
  <si>
    <t>Chen, Y; Yuan, T; Bae, SJ</t>
  </si>
  <si>
    <t>Chen, Yuan; Yuan, Tao; Bae, Suk Joo</t>
  </si>
  <si>
    <t>Redundancy Allocation Problem for a Continuous-State Series-Parallel System With Degrading Components: Electric Vehicle Application</t>
  </si>
  <si>
    <t>degradation; gamma process; genetic algorithm; stand-by; system reliability</t>
  </si>
  <si>
    <t>ION BATTERY PACK; RELIABILITY OPTIMIZATION; CAPACITY FADE; DEGRADATION; CHOICE; ALGORITHM; STRATEGY; CELLS</t>
  </si>
  <si>
    <t>System reliability is a critical factor in designing complex engineering systems. Redundancy allocation problem (RAP) has attracted more interest owing to its wide scope of industrial applications for system reliability optimization. RAPs for binary-state and multistate systems have been extensively studied. However, the redundancy allocation for continuous-state systems composed of degrading components has not yet been fully explored. This study attempts to build the RAP for the continuous-state parallel-series system consisting of identical, independent, and nonrepairable components under active and cold-standby redundancy strategies. The degradation of individual components in a system is continuous and modeled by the gamma process. The degradation at the system level is derived according to a deterministic structure function that relates the system degradation to the degradation of its components. Genetic algorithm and exhaustive search method are used to find the cost-optimal redundancy design while satisfying a system reliability requirement. Series-parallel lithium-ion battery pack systems for electric vehicles (EVs) are used as an illustrative example to validate the proposed RAP and optimization model.</t>
  </si>
  <si>
    <t>[Chen, Yuan] Hebei Univ Sci &amp; Technol, Sch Econ &amp; Management, Shijiazhuang, Hebei, Peoples R China; [Yuan, Tao] Ohio Univ, Dept Ind &amp; Syst Engn, Athens, OH USA; [Bae, Suk Joo] Hanyang Univ, Dept Ind Engn, Seoul, South Korea</t>
  </si>
  <si>
    <t>Hebei University of Science &amp; Technology; University System of Ohio; Ohio University; Hanyang University</t>
  </si>
  <si>
    <t>Bae, SJ (corresponding author), Hanyang Univ, Dept Ind Engn, Seoul, South Korea.</t>
  </si>
  <si>
    <t>bae, suk joo/0000-0002-9938-7406</t>
  </si>
  <si>
    <t>National Research Foundation of Korea; Ohio University [RS-2024-00407803]; National Research Foundation of Korea (NRF) - Korea government (MSIT) [20015756]; Technology Innovation Program; Ministry of Trade, Industry &amp; Energy (MOTIE, Korea)</t>
  </si>
  <si>
    <t>National Research Foundation of Korea(National Research Foundation of Korea); Ohio University; National Research Foundation of Korea (NRF) - Korea government (MSIT)(National Research Foundation of KoreaMinistry of Science, ICT &amp; Future Planning, Republic of KoreaMinistry of Science &amp; ICT (MSIT), Republic of Korea); Technology Innovation Program; Ministry of Trade, Industry &amp; Energy (MOTIE, Korea)(Ministry of Trade, Industry &amp; Energy (MOTIE), Republic of Korea)</t>
  </si>
  <si>
    <t>The authors thank the associate editor and the reviewers for their useful comments and suggestions, which have resulted in this improved version. This work is selectively extracted from a part of Dr. Yuan Chen's Doctoral dissertation, Ohio University, 2021, Joint Design of Redundancy and Maintenance for Parallel-Series Continuous-State Systems. The work of S. J. Bae was supported by the National Research Foundation of Korea (NRF) grant funded by the Korea government (MSIT) (RS-2024-00407803) and the Technology Innovation Program (20015756, Development of Fuel Cell Highly Durable Operation Technique for Fuel Cell Powered Heavy Duty Vehicle) funded By the Ministry of Trade, Industry &amp; Energy (MOTIE, Korea).</t>
  </si>
  <si>
    <t>10.1002/qre.3689</t>
  </si>
  <si>
    <t>W2O7R</t>
  </si>
  <si>
    <t>WOS:001361609000001</t>
  </si>
  <si>
    <t>Zhou, J; Li, ZH; Nassif, H; Coit, DW</t>
  </si>
  <si>
    <t>Zhou, Jian; Li, Zhanhang; Nassif, Hani; Coit, David W.</t>
  </si>
  <si>
    <t>A two-stage Weibull-gamma degradation model with distinct failure mechanism initiation and propagation stages</t>
  </si>
  <si>
    <t>Two-stage degradation process; Accelerated corrosion testing; Reliability assessment; Stochastic process model; Degradation modelling</t>
  </si>
  <si>
    <t>TIME RELIABILITY EVALUATION; CONDITION-BASED MAINTENANCE; USEFUL LIFE PREDICTION; BAYESIAN-APPROACH; WIENER PROCESS; OPTIMAL-DESIGN; BURN-IN; SIGNALS; SYSTEMS</t>
  </si>
  <si>
    <t>Degradation models have become important analytic tools for industrial systems. In this paper, a new two-stage stochastic degradation model is introduced with separate failure mechanism initiation and propagation stages. The new degradation model represents an important advancement in degradation modelling by considering the degradation initiation stage or delay before active degradation propagation is observed. The new model consists of a time-to-event distribution that describes failure initiation or delay in the first stage, concluding when the degradation propagation stage is initiated, which indicates the beginning of the second stage, where degradation is modelled using a stochastic process. The combination of a time-to-event distribution and a stochastic degradation model is realistic and is presented considering three different scenarios: degradation with no residual degradation during Stage 1 or no alarm-threshold, degradation with a deterministic alarm-threshold, and degradation with a random alarm-threshold. A Weibull distribution is adopted for the first degradation initiation stage, and a gamma process is used for the second degradation stage. This model is consistent with many physical failure mechanisms, where there is a time delay before the failure process begins to propagate. This is not surprising because designers often introduce design preventions (e.g., protective coatings) to delay the onset of degradation. In our model, both degradation stages can be accelerated by increasing stresses which are then modelled using a set of covariates and acceleration factors. To demonstrate the model, a bridge steel rebar case study is presented and discussed. Based on extensive experiments and data, reliability analysis and accelerated failure mechanism investigation are performed using the proposed model. The results demonstrate that the new model provides advantages for estimating reliability and physically describing the two stages. It can be concluded that the proposed model is useful for reliability assessment and accelerated degradation test planning.</t>
  </si>
  <si>
    <t>[Zhou, Jian] Nanjing Univ Sci &amp; Technol, Sch Econ &amp; Management, Nanjing 210094, Peoples R China; [Li, Zhanhang; Coit, David W.] Rutgers State Univ, Dept Ind &amp; Syst Engn, 96 Frelinghuysen Rd, Piscataway, NJ 08854 USA; [Nassif, Hani] Rutgers State Univ, Dept Civil &amp; Environm Engn, RWH 322E, Piscataway, NJ 08854 USA</t>
  </si>
  <si>
    <t>Nanjing University of Science &amp; Technology; Rutgers University System; Rutgers University New Brunswick; Rutgers University System; Rutgers University New Brunswick</t>
  </si>
  <si>
    <t>Coit, DW (corresponding author), Rutgers State Univ, Dept Ind &amp; Syst Engn, 96 Frelinghuysen Rd, Piscataway, NJ 08854 USA.</t>
  </si>
  <si>
    <t>Li, Zhanhang/IQR-9957-2023</t>
  </si>
  <si>
    <t>New Jersey Turnpike Authority (NJTA) [112-15]; New Jersey Department of Transportation (NJDOT) , Bridge Resource Program (BRP) [17-60139]</t>
  </si>
  <si>
    <t>New Jersey Turnpike Authority (NJTA); New Jersey Department of Transportation (NJDOT) , Bridge Resource Program (BRP)</t>
  </si>
  <si>
    <t>This work was supported by New Jersey Turnpike Authority (NJTA) , OnCall Agreement Number 112-15; New Jersey Department of Transportation (NJDOT) , Bridge Resource Program (BRP) RFP 2017-02, Contract ID# 17-60139.</t>
  </si>
  <si>
    <t>10.1016/j.ress.2024.110773</t>
  </si>
  <si>
    <t>T0L4A</t>
  </si>
  <si>
    <t>WOS:001402026100001</t>
  </si>
  <si>
    <t>Shey-Huei, S; Tzu-Hsin, L; Zhe-George, Z</t>
  </si>
  <si>
    <t>Shey-Huei, Sheu; Tzu-Hsin, Liu; Zhe-George, Zhang</t>
  </si>
  <si>
    <t>Extended optimal preventive replacement policies with random working cycle</t>
  </si>
  <si>
    <t>Minimal repair; Optimization; Preventive replacement first; Preventive replacement last; Random working time</t>
  </si>
  <si>
    <t>CUMULATIVE DAMAGE MODELS; MINIMAL REPAIR COSTS; SYSTEM SUBJECT; MAINTENANCE POLICIES; OPTIMAL NUMBER; PERIODIC REPLACEMENT; GENERALIZED AGE; LAST; 1ST</t>
  </si>
  <si>
    <t>This paper investigates the preventive replacement policies for an operating system that works for projects at random times. The system is subject to shocks which arrive according to a non-homogeneous Poisson process. When a shock takes place, the system is either replaced by a new one (type 2 failure) or minimally repaired (type 1 failure). The decision to repair or replace the system depends on the number of shocks that have occurred since the last replacement. In this paper, we propose the following two preventive replacement models: (1) the system is preventively replaced before a type 2 failure at age T or at the completion of the Nth working projects or at the kth type 1 failure, whichever occurs last; (2) the system is preventively replaced before a type 2 failure at age T or at the completion of the Nth working projects or at the kth type 1 failure, whichever occurs first. For each model, the optimum preventive replacement schedule that minimizes the long term expected cost per unit time is theoretically presented. Finally, we offer a computational algorithm for determining the optimum replacement policies, and we give a numerical example to illustrate our proposed models. This study provides a general framework such that many existing models are the special cases of the proposed models.</t>
  </si>
  <si>
    <t>[Shey-Huei, Sheu; Tzu-Hsin, Liu] Asia Univ, Dept Business Adm, Taichung 413, Taiwan; [Shey-Huei, Sheu] China Med Univ, China Med Univ Hosp, Dept Med Res, Taichung 404, Taiwan; [Shey-Huei, Sheu] Natl Taiwan Univ Sci &amp; Technol, Dept Ind Management, Taipei 106, Taiwan; [Zhe-George, Zhang] Sichuan Univ, Sch Business, Chengdu 610064, Sichuan, Peoples R China; [Zhe-George, Zhang] Western Washington Univ, Dept Decis Sci, Bellingham, WA 98225 USA; [Zhe-George, Zhang] Simon Fraser Univ, Beedie Sch Business, Burnaby, BC V5A 1S6, Canada</t>
  </si>
  <si>
    <t>Asia University Taiwan; China Medical University Taiwan; China Medical University Hospital - Taiwan; National Taiwan University of Science &amp; Technology; Sichuan University; Western Washington University; Simon Fraser University</t>
  </si>
  <si>
    <t>Shey-Huei, S; Zhe-George, Z (corresponding author), Asia Univ, Dept Business Adm, Taichung 413, Taiwan.</t>
  </si>
  <si>
    <t>shsheu@asia.edu.tw; George.Zhang@wwu.edu</t>
  </si>
  <si>
    <t>10.1016/j.ress.2019.03.036</t>
  </si>
  <si>
    <t>WOS:000470341400036</t>
  </si>
  <si>
    <t>Sheu, SH; Liu, TH; Sheu, WT; Ke, JC; Zhang, ZG</t>
  </si>
  <si>
    <t>Sheu, Shey-Huei; Liu, Tzu-Hsin; Sheu, Wei-Teng; Ke, Jau-Chuan; Zhang, Zhe George</t>
  </si>
  <si>
    <t>Optimal replacement policy for a two-unit system subject to shocks and cumulative damage</t>
  </si>
  <si>
    <t>Cumulative damage model; Minimal repair; Optimal replacement policy; Shock model</t>
  </si>
  <si>
    <t>IMPERFECT PREVENTIVE MAINTENANCE; DEPENDENT MINIMAL REPAIR; OPTIMAL NUMBER; PERIODIC REPLACEMENT; 2 KINDS; AGE; MODEL; FAILURE; COST; LAST</t>
  </si>
  <si>
    <t>This paper investigates an extended replacement policy for a two-unit system subject to shocks and cumulative damage. As a shock occurs, the system suffers two types of effects: type I shock-effect is rectified by a minimal repair and type II shock-effect is removed by a corrective replacement. The probability of type II shock depends on the number of shocks from the last replacement. Each type I shock causes a minor failure of unit 1 and some damage to unit 2. These damages to unit 2 are additive and the system fails when the total damage exceeds a critical level L. A replacement policy (T, m, l) is considered in which the system is preventively replaced at age T or at the mth type I shock or at the time which the total damage to unit 2 exceeds a pre-specified level l; and is correctively replaced either at the first type II shock or when the total damage to unit 2 exceeds a failure level L, whichever occurs first. The optimal policy that minimizes the expected cost rate is determined analytically. The proposed model extends several existing results. Our replacement policy is more general, flexible, and applicable in the real situations.</t>
  </si>
  <si>
    <t>[Sheu, Shey-Huei] Asia Univ, Dept Business Adm, Taichung 41354, Taiwan; [Sheu, Shey-Huei] China Med Univ, China Med Univ Hosp, Dept Med Res, Taichung, Taiwan; [Sheu, Shey-Huei] Natl Taiwan Univ Sci &amp; Technol, Dept Ind Management, Taipei 10607, Taiwan; [Liu, Tzu-Hsin] Chaoyang Univ Technol, Dept Finance, Taichung 413310, Taiwan; [Sheu, Wei-Teng] Natl Taiwan Univ Sci &amp; Technol, Dept Business Adm, Taipei 10607, Taiwan; [Ke, Jau-Chuan] Natl Taichung Univ Sci &amp; Technol, Dept Appl Stat, Taichung 404, Taiwan; [Zhang, Zhe George] Western Washington Univ, Dept Decis Sci, Bellingham, WA 98225 USA; [Zhang, Zhe George] Simon Fraser Univ, Beedie Sch Business, Burnaby, BC V5A 1S6, Canada</t>
  </si>
  <si>
    <t>Asia University Taiwan; China Medical University Taiwan; China Medical University Hospital - Taiwan; National Taiwan University of Science &amp; Technology; Chaoyang University of Technology; National Taiwan University of Science &amp; Technology; National Taichung University of Science &amp; Technology; Western Washington University; Simon Fraser University</t>
  </si>
  <si>
    <t>Sheu, SH (corresponding author), Asia Univ, Dept Business Adm, Taichung 41354, Taiwan.;Liu, TH (corresponding author), Chaoyang Univ Technol, Dept Finance, Taichung 413310, Taiwan.</t>
  </si>
  <si>
    <t>shsheu@mail.ntust.edu.tw; t2011119@cyut.edu.tw</t>
  </si>
  <si>
    <t>National Science Council of Taiwan; MOST [109-2221-E-486-006-MY3]</t>
  </si>
  <si>
    <t>National Science Council of Taiwan(Ministry of Science and Technology, Taiwan); MOST</t>
  </si>
  <si>
    <t>The author would like to thank an anonymous referee for his valu- able comments and suggestions which greatly enhanced the clarity of the paper. All of his comments were incorporated directly in the text. This research was supported by the National Science Council of Taiwan under Grant No. MOST 109-2221-E-486-006-MY3.</t>
  </si>
  <si>
    <t>10.1016/j.ress.2023.109420</t>
  </si>
  <si>
    <t>M8OK9</t>
  </si>
  <si>
    <t>WOS:001032752600001</t>
  </si>
  <si>
    <t>Sheu, SH; Liu, TH; Zhang, ZG; Tsai, HN</t>
  </si>
  <si>
    <t>Sheu, Shey-Huei; Liu, Tzu-Hsin; Zhang, Zhe-George; Tsai, Hsin-Nan</t>
  </si>
  <si>
    <t>Optimum replacement policy for cumulative damage models based on multi-attributes</t>
  </si>
  <si>
    <t>Replacement; Minimal repair; Cumulative damage model; Optimization</t>
  </si>
  <si>
    <t>IMPERFECT PREVENTIVE MAINTENANCE; DETERMINING OPTIMAL NUMBER; 2-UNIT SYSTEM SUBJECT; MINIMAL REPAIR; DATA-DRIVEN; PERIODIC REPLACEMENT; FAILURE; DATABASE; SHOCK; FRAMEWORK</t>
  </si>
  <si>
    <t>In the present paper, we investigate a preventive replacement policy based on multiple attributes. A system is subject to two types of shocks which arrive according to a non-homogeneous Poisson process. Type 1 shocks are minor and cause a random amount of damage to the system. We use a minimal repair to fix type 1 shock. Type 2 shocks are catastrophic and the system is correctively replaced at its occurrence. The probabilities of type 1 shock and type 2 shock are assumed to depend on age. A system fails (in a catastrophic failure type) once the cumulative damage reaches a failure level K or a type 2 shock happens. In addition, the system with cumulative damage of level z may fail (in a minor failure type) with probability omega (z) at each type 1 shock occurrence and be rectified by a minimal repair. A replacement policy based on nature of failure, cumulative damage, system age and number of type 1 shocks is formulated. Under this policy, preventive replacement is made before catastrophic failure when the age of the system reaches T or the number of occurrences of type 1 shock achieves N or the accumulative damage exceeds a level Z but less than K, whichever occurs first, and corrective replacement is immediately carried out whenever the catastrophic failure of the system happens. We determine the optimum preventive replacement schedule such that the expected cost per unit time is minimized. The proposed model extends many existing models since the framework and analysis are general. Finally, the numerical example is provided.</t>
  </si>
  <si>
    <t>[Sheu, Shey-Huei; Liu, Tzu-Hsin] Asia Univ, Dept Business Adm, Taichung 413, Taiwan; [Sheu, Shey-Huei] China Med Univ, China Med Univ Hosp, Dept Med Res, Taichung 404, Taiwan; [Sheu, Shey-Huei] Natl Taiwan Univ Sci &amp; Technol, Dept Ind Management, Taipei 106, Taiwan; [Zhang, Zhe-George] Sichuan Univ, Sch Business, Chengdu 610064, Sichuan, Peoples R China; [Zhang, Zhe-George] Western Washington Univ, Dept Decis Sci, Bellingham, WA 98225 USA; [Zhang, Zhe-George] Simon Fraser Univ, Beedie Sch Business, Burnaby, BC V5A 1S6, Canada; [Tsai, Hsin-Nan] Natl Taichung Univ Sci &amp; Technol, Dept Appl Stat, Taichung 40401, Taiwan</t>
  </si>
  <si>
    <t>Asia University Taiwan; China Medical University Taiwan; China Medical University Hospital - Taiwan; National Taiwan University of Science &amp; Technology; Sichuan University; Western Washington University; Simon Fraser University; National Taichung University of Science &amp; Technology</t>
  </si>
  <si>
    <t>Sheu, SH (corresponding author), Asia Univ, Dept Business Adm, Taichung 413, Taiwan.;Zhang, ZG (corresponding author), Sichuan Univ, Sch Business, Chengdu 610064, Sichuan, Peoples R China.</t>
  </si>
  <si>
    <t>shsheu@mail.ntust.edu.tw; ounce_liou@yahoo.com.tw; George.Zhang@wwu.edu; hntsai@nutc.edu.tw</t>
  </si>
  <si>
    <t>Tsai, Hsin-Nan/0000-0002-8520-6467</t>
  </si>
  <si>
    <t>National Science Council of Taiwan [MOST 1042221-E-468-023-MY3]</t>
  </si>
  <si>
    <t>National Science Council of Taiwan(Ministry of Science and Technology, Taiwan)</t>
  </si>
  <si>
    <t>The authors would like to thank the editors and anonymous reviewers for their constructive comments and suggestions, which greatly improved the introduction of this article. This research was supported by the National Science Council of Taiwan under Grant No. MOST 1042221-E-468-023-MY3.</t>
  </si>
  <si>
    <t>10.1016/j.cie.2019.106206</t>
  </si>
  <si>
    <t>WOS:000509784000055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</si>
</sst>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4BA10-42C2-428D-9915-464C84F7FAAD}">
  <dimension ref="A1:BT776"/>
  <sheetViews>
    <sheetView tabSelected="1" workbookViewId="0"/>
  </sheetViews>
  <sheetFormatPr baseColWidth="10" defaultRowHeight="12.5" x14ac:dyDescent="0.25"/>
  <cols>
    <col min="1" max="256" width="8.7265625" customWidth="1"/>
  </cols>
  <sheetData>
    <row r="1" spans="1:7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5">
      <c r="A2" t="s">
        <v>72</v>
      </c>
      <c r="B2" t="s">
        <v>73</v>
      </c>
      <c r="C2" t="s">
        <v>74</v>
      </c>
      <c r="D2" t="s">
        <v>74</v>
      </c>
      <c r="E2" t="s">
        <v>74</v>
      </c>
      <c r="F2" t="s">
        <v>75</v>
      </c>
      <c r="G2" t="s">
        <v>74</v>
      </c>
      <c r="H2" t="s">
        <v>74</v>
      </c>
      <c r="I2" t="s">
        <v>76</v>
      </c>
      <c r="J2" t="s">
        <v>77</v>
      </c>
      <c r="K2" t="s">
        <v>74</v>
      </c>
      <c r="L2" t="s">
        <v>74</v>
      </c>
      <c r="M2" t="s">
        <v>78</v>
      </c>
      <c r="N2" t="s">
        <v>79</v>
      </c>
      <c r="O2" t="s">
        <v>74</v>
      </c>
      <c r="P2" t="s">
        <v>74</v>
      </c>
      <c r="Q2" t="s">
        <v>74</v>
      </c>
      <c r="R2" t="s">
        <v>74</v>
      </c>
      <c r="S2" t="s">
        <v>74</v>
      </c>
      <c r="T2" t="s">
        <v>80</v>
      </c>
      <c r="U2" t="s">
        <v>81</v>
      </c>
      <c r="V2" t="s">
        <v>82</v>
      </c>
      <c r="W2" t="s">
        <v>83</v>
      </c>
      <c r="X2" t="s">
        <v>84</v>
      </c>
      <c r="Y2" t="s">
        <v>85</v>
      </c>
      <c r="Z2" t="s">
        <v>86</v>
      </c>
      <c r="AA2" t="s">
        <v>87</v>
      </c>
      <c r="AB2" t="s">
        <v>74</v>
      </c>
      <c r="AC2" t="s">
        <v>88</v>
      </c>
      <c r="AD2" t="s">
        <v>88</v>
      </c>
      <c r="AE2" t="s">
        <v>89</v>
      </c>
      <c r="AF2" t="s">
        <v>74</v>
      </c>
      <c r="AG2">
        <v>60</v>
      </c>
      <c r="AH2">
        <v>8</v>
      </c>
      <c r="AI2">
        <v>8</v>
      </c>
      <c r="AJ2">
        <v>11</v>
      </c>
      <c r="AK2">
        <v>44</v>
      </c>
      <c r="AL2" t="s">
        <v>90</v>
      </c>
      <c r="AM2" t="s">
        <v>91</v>
      </c>
      <c r="AN2" t="s">
        <v>92</v>
      </c>
      <c r="AO2" t="s">
        <v>93</v>
      </c>
      <c r="AP2" t="s">
        <v>94</v>
      </c>
      <c r="AQ2" t="s">
        <v>74</v>
      </c>
      <c r="AR2" t="s">
        <v>95</v>
      </c>
      <c r="AS2" t="s">
        <v>96</v>
      </c>
      <c r="AT2" t="s">
        <v>97</v>
      </c>
      <c r="AU2">
        <v>2022</v>
      </c>
      <c r="AV2">
        <v>28</v>
      </c>
      <c r="AW2">
        <v>4</v>
      </c>
      <c r="AX2" t="s">
        <v>74</v>
      </c>
      <c r="AY2" t="s">
        <v>74</v>
      </c>
      <c r="AZ2" t="s">
        <v>74</v>
      </c>
      <c r="BA2" t="s">
        <v>74</v>
      </c>
      <c r="BB2">
        <v>915</v>
      </c>
      <c r="BC2">
        <v>937</v>
      </c>
      <c r="BD2" t="s">
        <v>74</v>
      </c>
      <c r="BE2" t="s">
        <v>98</v>
      </c>
      <c r="BF2" t="str">
        <f>HYPERLINK("http://dx.doi.org/10.1108/JQME-08-2020-0082","http://dx.doi.org/10.1108/JQME-08-2020-0082")</f>
        <v>http://dx.doi.org/10.1108/JQME-08-2020-0082</v>
      </c>
      <c r="BG2" t="s">
        <v>74</v>
      </c>
      <c r="BH2" t="s">
        <v>99</v>
      </c>
      <c r="BI2">
        <v>23</v>
      </c>
      <c r="BJ2" t="s">
        <v>100</v>
      </c>
      <c r="BK2" t="s">
        <v>101</v>
      </c>
      <c r="BL2" t="s">
        <v>102</v>
      </c>
      <c r="BM2" t="s">
        <v>103</v>
      </c>
      <c r="BN2" t="s">
        <v>74</v>
      </c>
      <c r="BO2" t="s">
        <v>74</v>
      </c>
      <c r="BP2" t="s">
        <v>74</v>
      </c>
      <c r="BQ2" t="s">
        <v>74</v>
      </c>
      <c r="BR2" t="s">
        <v>104</v>
      </c>
      <c r="BS2" t="s">
        <v>105</v>
      </c>
      <c r="BT2" t="str">
        <f>HYPERLINK("https%3A%2F%2Fwww.webofscience.com%2Fwos%2Fwoscc%2Ffull-record%2FWOS:000708084600001","View Full Record in Web of Science")</f>
        <v>View Full Record in Web of Science</v>
      </c>
    </row>
    <row r="3" spans="1:72" x14ac:dyDescent="0.25">
      <c r="A3" t="s">
        <v>72</v>
      </c>
      <c r="B3" t="s">
        <v>106</v>
      </c>
      <c r="C3" t="s">
        <v>74</v>
      </c>
      <c r="D3" t="s">
        <v>74</v>
      </c>
      <c r="E3" t="s">
        <v>74</v>
      </c>
      <c r="F3" t="s">
        <v>107</v>
      </c>
      <c r="G3" t="s">
        <v>74</v>
      </c>
      <c r="H3" t="s">
        <v>74</v>
      </c>
      <c r="I3" t="s">
        <v>108</v>
      </c>
      <c r="J3" t="s">
        <v>77</v>
      </c>
      <c r="K3" t="s">
        <v>74</v>
      </c>
      <c r="L3" t="s">
        <v>74</v>
      </c>
      <c r="M3" t="s">
        <v>78</v>
      </c>
      <c r="N3" t="s">
        <v>79</v>
      </c>
      <c r="O3" t="s">
        <v>74</v>
      </c>
      <c r="P3" t="s">
        <v>74</v>
      </c>
      <c r="Q3" t="s">
        <v>74</v>
      </c>
      <c r="R3" t="s">
        <v>74</v>
      </c>
      <c r="S3" t="s">
        <v>74</v>
      </c>
      <c r="T3" t="s">
        <v>109</v>
      </c>
      <c r="U3" t="s">
        <v>110</v>
      </c>
      <c r="V3" t="s">
        <v>111</v>
      </c>
      <c r="W3" t="s">
        <v>112</v>
      </c>
      <c r="X3" t="s">
        <v>113</v>
      </c>
      <c r="Y3" t="s">
        <v>114</v>
      </c>
      <c r="Z3" t="s">
        <v>115</v>
      </c>
      <c r="AA3" t="s">
        <v>116</v>
      </c>
      <c r="AB3" t="s">
        <v>117</v>
      </c>
      <c r="AC3" t="s">
        <v>74</v>
      </c>
      <c r="AD3" t="s">
        <v>74</v>
      </c>
      <c r="AE3" t="s">
        <v>74</v>
      </c>
      <c r="AF3" t="s">
        <v>74</v>
      </c>
      <c r="AG3">
        <v>63</v>
      </c>
      <c r="AH3">
        <v>1</v>
      </c>
      <c r="AI3">
        <v>1</v>
      </c>
      <c r="AJ3">
        <v>1</v>
      </c>
      <c r="AK3">
        <v>11</v>
      </c>
      <c r="AL3" t="s">
        <v>90</v>
      </c>
      <c r="AM3" t="s">
        <v>118</v>
      </c>
      <c r="AN3" t="s">
        <v>119</v>
      </c>
      <c r="AO3" t="s">
        <v>93</v>
      </c>
      <c r="AP3" t="s">
        <v>94</v>
      </c>
      <c r="AQ3" t="s">
        <v>74</v>
      </c>
      <c r="AR3" t="s">
        <v>95</v>
      </c>
      <c r="AS3" t="s">
        <v>96</v>
      </c>
      <c r="AT3" t="s">
        <v>120</v>
      </c>
      <c r="AU3">
        <v>2023</v>
      </c>
      <c r="AV3">
        <v>29</v>
      </c>
      <c r="AW3">
        <v>5</v>
      </c>
      <c r="AX3" t="s">
        <v>74</v>
      </c>
      <c r="AY3" t="s">
        <v>74</v>
      </c>
      <c r="AZ3" t="s">
        <v>74</v>
      </c>
      <c r="BA3" t="s">
        <v>74</v>
      </c>
      <c r="BB3">
        <v>88</v>
      </c>
      <c r="BC3">
        <v>119</v>
      </c>
      <c r="BD3" t="s">
        <v>74</v>
      </c>
      <c r="BE3" t="s">
        <v>121</v>
      </c>
      <c r="BF3" t="str">
        <f>HYPERLINK("http://dx.doi.org/10.1108/JQME-10-2022-0063","http://dx.doi.org/10.1108/JQME-10-2022-0063")</f>
        <v>http://dx.doi.org/10.1108/JQME-10-2022-0063</v>
      </c>
      <c r="BG3" t="s">
        <v>74</v>
      </c>
      <c r="BH3" t="s">
        <v>74</v>
      </c>
      <c r="BI3">
        <v>32</v>
      </c>
      <c r="BJ3" t="s">
        <v>100</v>
      </c>
      <c r="BK3" t="s">
        <v>101</v>
      </c>
      <c r="BL3" t="s">
        <v>102</v>
      </c>
      <c r="BM3" t="s">
        <v>122</v>
      </c>
      <c r="BN3" t="s">
        <v>74</v>
      </c>
      <c r="BO3" t="s">
        <v>123</v>
      </c>
      <c r="BP3" t="s">
        <v>74</v>
      </c>
      <c r="BQ3" t="s">
        <v>74</v>
      </c>
      <c r="BR3" t="s">
        <v>104</v>
      </c>
      <c r="BS3" t="s">
        <v>124</v>
      </c>
      <c r="BT3" t="str">
        <f>HYPERLINK("https%3A%2F%2Fwww.webofscience.com%2Fwos%2Fwoscc%2Ffull-record%2FWOS:000996655000001","View Full Record in Web of Science")</f>
        <v>View Full Record in Web of Science</v>
      </c>
    </row>
    <row r="4" spans="1:72" x14ac:dyDescent="0.25">
      <c r="A4" t="s">
        <v>72</v>
      </c>
      <c r="B4" t="s">
        <v>125</v>
      </c>
      <c r="C4" t="s">
        <v>74</v>
      </c>
      <c r="D4" t="s">
        <v>74</v>
      </c>
      <c r="E4" t="s">
        <v>74</v>
      </c>
      <c r="F4" t="s">
        <v>126</v>
      </c>
      <c r="G4" t="s">
        <v>74</v>
      </c>
      <c r="H4" t="s">
        <v>74</v>
      </c>
      <c r="I4" t="s">
        <v>127</v>
      </c>
      <c r="J4" t="s">
        <v>128</v>
      </c>
      <c r="K4" t="s">
        <v>74</v>
      </c>
      <c r="L4" t="s">
        <v>74</v>
      </c>
      <c r="M4" t="s">
        <v>78</v>
      </c>
      <c r="N4" t="s">
        <v>79</v>
      </c>
      <c r="O4" t="s">
        <v>74</v>
      </c>
      <c r="P4" t="s">
        <v>74</v>
      </c>
      <c r="Q4" t="s">
        <v>74</v>
      </c>
      <c r="R4" t="s">
        <v>74</v>
      </c>
      <c r="S4" t="s">
        <v>74</v>
      </c>
      <c r="T4" t="s">
        <v>129</v>
      </c>
      <c r="U4" t="s">
        <v>130</v>
      </c>
      <c r="V4" t="s">
        <v>131</v>
      </c>
      <c r="W4" t="s">
        <v>132</v>
      </c>
      <c r="X4" t="s">
        <v>133</v>
      </c>
      <c r="Y4" t="s">
        <v>134</v>
      </c>
      <c r="Z4" t="s">
        <v>135</v>
      </c>
      <c r="AA4" t="s">
        <v>136</v>
      </c>
      <c r="AB4" t="s">
        <v>137</v>
      </c>
      <c r="AC4" t="s">
        <v>74</v>
      </c>
      <c r="AD4" t="s">
        <v>74</v>
      </c>
      <c r="AE4" t="s">
        <v>74</v>
      </c>
      <c r="AF4" t="s">
        <v>74</v>
      </c>
      <c r="AG4">
        <v>47</v>
      </c>
      <c r="AH4">
        <v>10</v>
      </c>
      <c r="AI4">
        <v>10</v>
      </c>
      <c r="AJ4">
        <v>6</v>
      </c>
      <c r="AK4">
        <v>23</v>
      </c>
      <c r="AL4" t="s">
        <v>138</v>
      </c>
      <c r="AM4" t="s">
        <v>139</v>
      </c>
      <c r="AN4" t="s">
        <v>140</v>
      </c>
      <c r="AO4" t="s">
        <v>141</v>
      </c>
      <c r="AP4" t="s">
        <v>142</v>
      </c>
      <c r="AQ4" t="s">
        <v>74</v>
      </c>
      <c r="AR4" t="s">
        <v>143</v>
      </c>
      <c r="AS4" t="s">
        <v>144</v>
      </c>
      <c r="AT4" t="s">
        <v>145</v>
      </c>
      <c r="AU4">
        <v>2023</v>
      </c>
      <c r="AV4">
        <v>240</v>
      </c>
      <c r="AW4" t="s">
        <v>74</v>
      </c>
      <c r="AX4" t="s">
        <v>74</v>
      </c>
      <c r="AY4" t="s">
        <v>74</v>
      </c>
      <c r="AZ4" t="s">
        <v>74</v>
      </c>
      <c r="BA4" t="s">
        <v>74</v>
      </c>
      <c r="BB4" t="s">
        <v>74</v>
      </c>
      <c r="BC4" t="s">
        <v>74</v>
      </c>
      <c r="BD4">
        <v>109607</v>
      </c>
      <c r="BE4" t="s">
        <v>146</v>
      </c>
      <c r="BF4" t="str">
        <f>HYPERLINK("http://dx.doi.org/10.1016/j.ress.2023.109607","http://dx.doi.org/10.1016/j.ress.2023.109607")</f>
        <v>http://dx.doi.org/10.1016/j.ress.2023.109607</v>
      </c>
      <c r="BG4" t="s">
        <v>74</v>
      </c>
      <c r="BH4" t="s">
        <v>147</v>
      </c>
      <c r="BI4">
        <v>13</v>
      </c>
      <c r="BJ4" t="s">
        <v>148</v>
      </c>
      <c r="BK4" t="s">
        <v>149</v>
      </c>
      <c r="BL4" t="s">
        <v>150</v>
      </c>
      <c r="BM4" t="s">
        <v>151</v>
      </c>
      <c r="BN4" t="s">
        <v>74</v>
      </c>
      <c r="BO4" t="s">
        <v>152</v>
      </c>
      <c r="BP4" t="s">
        <v>74</v>
      </c>
      <c r="BQ4" t="s">
        <v>74</v>
      </c>
      <c r="BR4" t="s">
        <v>104</v>
      </c>
      <c r="BS4" t="s">
        <v>153</v>
      </c>
      <c r="BT4" t="str">
        <f>HYPERLINK("https%3A%2F%2Fwww.webofscience.com%2Fwos%2Fwoscc%2Ffull-record%2FWOS:001091385900001","View Full Record in Web of Science")</f>
        <v>View Full Record in Web of Science</v>
      </c>
    </row>
    <row r="5" spans="1:72" x14ac:dyDescent="0.25">
      <c r="A5" t="s">
        <v>72</v>
      </c>
      <c r="B5" t="s">
        <v>154</v>
      </c>
      <c r="C5" t="s">
        <v>74</v>
      </c>
      <c r="D5" t="s">
        <v>74</v>
      </c>
      <c r="E5" t="s">
        <v>74</v>
      </c>
      <c r="F5" t="s">
        <v>155</v>
      </c>
      <c r="G5" t="s">
        <v>74</v>
      </c>
      <c r="H5" t="s">
        <v>74</v>
      </c>
      <c r="I5" t="s">
        <v>156</v>
      </c>
      <c r="J5" t="s">
        <v>77</v>
      </c>
      <c r="K5" t="s">
        <v>74</v>
      </c>
      <c r="L5" t="s">
        <v>74</v>
      </c>
      <c r="M5" t="s">
        <v>78</v>
      </c>
      <c r="N5" t="s">
        <v>79</v>
      </c>
      <c r="O5" t="s">
        <v>74</v>
      </c>
      <c r="P5" t="s">
        <v>74</v>
      </c>
      <c r="Q5" t="s">
        <v>74</v>
      </c>
      <c r="R5" t="s">
        <v>74</v>
      </c>
      <c r="S5" t="s">
        <v>74</v>
      </c>
      <c r="T5" t="s">
        <v>157</v>
      </c>
      <c r="U5" t="s">
        <v>158</v>
      </c>
      <c r="V5" t="s">
        <v>159</v>
      </c>
      <c r="W5" t="s">
        <v>160</v>
      </c>
      <c r="X5" t="s">
        <v>161</v>
      </c>
      <c r="Y5" t="s">
        <v>162</v>
      </c>
      <c r="Z5" t="s">
        <v>163</v>
      </c>
      <c r="AA5" t="s">
        <v>164</v>
      </c>
      <c r="AB5" t="s">
        <v>165</v>
      </c>
      <c r="AC5" t="s">
        <v>74</v>
      </c>
      <c r="AD5" t="s">
        <v>74</v>
      </c>
      <c r="AE5" t="s">
        <v>74</v>
      </c>
      <c r="AF5" t="s">
        <v>74</v>
      </c>
      <c r="AG5">
        <v>66</v>
      </c>
      <c r="AH5">
        <v>4</v>
      </c>
      <c r="AI5">
        <v>4</v>
      </c>
      <c r="AJ5">
        <v>2</v>
      </c>
      <c r="AK5">
        <v>11</v>
      </c>
      <c r="AL5" t="s">
        <v>90</v>
      </c>
      <c r="AM5" t="s">
        <v>118</v>
      </c>
      <c r="AN5" t="s">
        <v>119</v>
      </c>
      <c r="AO5" t="s">
        <v>93</v>
      </c>
      <c r="AP5" t="s">
        <v>94</v>
      </c>
      <c r="AQ5" t="s">
        <v>74</v>
      </c>
      <c r="AR5" t="s">
        <v>95</v>
      </c>
      <c r="AS5" t="s">
        <v>96</v>
      </c>
      <c r="AT5" t="s">
        <v>166</v>
      </c>
      <c r="AU5">
        <v>2022</v>
      </c>
      <c r="AV5">
        <v>29</v>
      </c>
      <c r="AW5">
        <v>5</v>
      </c>
      <c r="AX5" t="s">
        <v>74</v>
      </c>
      <c r="AY5" t="s">
        <v>74</v>
      </c>
      <c r="AZ5" t="s">
        <v>74</v>
      </c>
      <c r="BA5" t="s">
        <v>74</v>
      </c>
      <c r="BB5">
        <v>16</v>
      </c>
      <c r="BC5">
        <v>36</v>
      </c>
      <c r="BD5" t="s">
        <v>74</v>
      </c>
      <c r="BE5" t="s">
        <v>167</v>
      </c>
      <c r="BF5" t="str">
        <f>HYPERLINK("http://dx.doi.org/10.1108/JQME-05-2021-0039","http://dx.doi.org/10.1108/JQME-05-2021-0039")</f>
        <v>http://dx.doi.org/10.1108/JQME-05-2021-0039</v>
      </c>
      <c r="BG5" t="s">
        <v>74</v>
      </c>
      <c r="BH5" t="s">
        <v>168</v>
      </c>
      <c r="BI5">
        <v>21</v>
      </c>
      <c r="BJ5" t="s">
        <v>100</v>
      </c>
      <c r="BK5" t="s">
        <v>101</v>
      </c>
      <c r="BL5" t="s">
        <v>102</v>
      </c>
      <c r="BM5" t="s">
        <v>169</v>
      </c>
      <c r="BN5" t="s">
        <v>74</v>
      </c>
      <c r="BO5" t="s">
        <v>123</v>
      </c>
      <c r="BP5" t="s">
        <v>74</v>
      </c>
      <c r="BQ5" t="s">
        <v>74</v>
      </c>
      <c r="BR5" t="s">
        <v>104</v>
      </c>
      <c r="BS5" t="s">
        <v>170</v>
      </c>
      <c r="BT5" t="str">
        <f>HYPERLINK("https%3A%2F%2Fwww.webofscience.com%2Fwos%2Fwoscc%2Ffull-record%2FWOS:000813843900001","View Full Record in Web of Science")</f>
        <v>View Full Record in Web of Science</v>
      </c>
    </row>
    <row r="6" spans="1:72" x14ac:dyDescent="0.25">
      <c r="A6" t="s">
        <v>72</v>
      </c>
      <c r="B6" t="s">
        <v>73</v>
      </c>
      <c r="C6" t="s">
        <v>74</v>
      </c>
      <c r="D6" t="s">
        <v>74</v>
      </c>
      <c r="E6" t="s">
        <v>74</v>
      </c>
      <c r="F6" t="s">
        <v>171</v>
      </c>
      <c r="G6" t="s">
        <v>74</v>
      </c>
      <c r="H6" t="s">
        <v>74</v>
      </c>
      <c r="I6" t="s">
        <v>172</v>
      </c>
      <c r="J6" t="s">
        <v>77</v>
      </c>
      <c r="K6" t="s">
        <v>74</v>
      </c>
      <c r="L6" t="s">
        <v>74</v>
      </c>
      <c r="M6" t="s">
        <v>78</v>
      </c>
      <c r="N6" t="s">
        <v>79</v>
      </c>
      <c r="O6" t="s">
        <v>74</v>
      </c>
      <c r="P6" t="s">
        <v>74</v>
      </c>
      <c r="Q6" t="s">
        <v>74</v>
      </c>
      <c r="R6" t="s">
        <v>74</v>
      </c>
      <c r="S6" t="s">
        <v>74</v>
      </c>
      <c r="T6" t="s">
        <v>173</v>
      </c>
      <c r="U6" t="s">
        <v>174</v>
      </c>
      <c r="V6" t="s">
        <v>175</v>
      </c>
      <c r="W6" t="s">
        <v>176</v>
      </c>
      <c r="X6" t="s">
        <v>84</v>
      </c>
      <c r="Y6" t="s">
        <v>177</v>
      </c>
      <c r="Z6" t="s">
        <v>86</v>
      </c>
      <c r="AA6" t="s">
        <v>178</v>
      </c>
      <c r="AB6" t="s">
        <v>74</v>
      </c>
      <c r="AC6" t="s">
        <v>179</v>
      </c>
      <c r="AD6" t="s">
        <v>179</v>
      </c>
      <c r="AE6" t="s">
        <v>180</v>
      </c>
      <c r="AF6" t="s">
        <v>74</v>
      </c>
      <c r="AG6">
        <v>47</v>
      </c>
      <c r="AH6">
        <v>1</v>
      </c>
      <c r="AI6">
        <v>1</v>
      </c>
      <c r="AJ6">
        <v>1</v>
      </c>
      <c r="AK6">
        <v>4</v>
      </c>
      <c r="AL6" t="s">
        <v>90</v>
      </c>
      <c r="AM6" t="s">
        <v>91</v>
      </c>
      <c r="AN6" t="s">
        <v>92</v>
      </c>
      <c r="AO6" t="s">
        <v>93</v>
      </c>
      <c r="AP6" t="s">
        <v>94</v>
      </c>
      <c r="AQ6" t="s">
        <v>74</v>
      </c>
      <c r="AR6" t="s">
        <v>95</v>
      </c>
      <c r="AS6" t="s">
        <v>96</v>
      </c>
      <c r="AT6" t="s">
        <v>181</v>
      </c>
      <c r="AU6">
        <v>2024</v>
      </c>
      <c r="AV6">
        <v>30</v>
      </c>
      <c r="AW6">
        <v>1</v>
      </c>
      <c r="AX6" t="s">
        <v>74</v>
      </c>
      <c r="AY6" t="s">
        <v>74</v>
      </c>
      <c r="AZ6" t="s">
        <v>74</v>
      </c>
      <c r="BA6" t="s">
        <v>74</v>
      </c>
      <c r="BB6">
        <v>1</v>
      </c>
      <c r="BC6">
        <v>25</v>
      </c>
      <c r="BD6" t="s">
        <v>74</v>
      </c>
      <c r="BE6" t="s">
        <v>182</v>
      </c>
      <c r="BF6" t="str">
        <f>HYPERLINK("http://dx.doi.org/10.1108/JQME-06-2022-0038","http://dx.doi.org/10.1108/JQME-06-2022-0038")</f>
        <v>http://dx.doi.org/10.1108/JQME-06-2022-0038</v>
      </c>
      <c r="BG6" t="s">
        <v>74</v>
      </c>
      <c r="BH6" t="s">
        <v>147</v>
      </c>
      <c r="BI6">
        <v>25</v>
      </c>
      <c r="BJ6" t="s">
        <v>100</v>
      </c>
      <c r="BK6" t="s">
        <v>101</v>
      </c>
      <c r="BL6" t="s">
        <v>102</v>
      </c>
      <c r="BM6" t="s">
        <v>183</v>
      </c>
      <c r="BN6" t="s">
        <v>74</v>
      </c>
      <c r="BO6" t="s">
        <v>74</v>
      </c>
      <c r="BP6" t="s">
        <v>74</v>
      </c>
      <c r="BQ6" t="s">
        <v>74</v>
      </c>
      <c r="BR6" t="s">
        <v>104</v>
      </c>
      <c r="BS6" t="s">
        <v>184</v>
      </c>
      <c r="BT6" t="str">
        <f>HYPERLINK("https%3A%2F%2Fwww.webofscience.com%2Fwos%2Fwoscc%2Ffull-record%2FWOS:001067315700001","View Full Record in Web of Science")</f>
        <v>View Full Record in Web of Science</v>
      </c>
    </row>
    <row r="7" spans="1:72" x14ac:dyDescent="0.25">
      <c r="A7" t="s">
        <v>72</v>
      </c>
      <c r="B7" t="s">
        <v>185</v>
      </c>
      <c r="C7" t="s">
        <v>74</v>
      </c>
      <c r="D7" t="s">
        <v>74</v>
      </c>
      <c r="E7" t="s">
        <v>74</v>
      </c>
      <c r="F7" t="s">
        <v>186</v>
      </c>
      <c r="G7" t="s">
        <v>74</v>
      </c>
      <c r="H7" t="s">
        <v>74</v>
      </c>
      <c r="I7" t="s">
        <v>187</v>
      </c>
      <c r="J7" t="s">
        <v>188</v>
      </c>
      <c r="K7" t="s">
        <v>74</v>
      </c>
      <c r="L7" t="s">
        <v>74</v>
      </c>
      <c r="M7" t="s">
        <v>78</v>
      </c>
      <c r="N7" t="s">
        <v>79</v>
      </c>
      <c r="O7" t="s">
        <v>74</v>
      </c>
      <c r="P7" t="s">
        <v>74</v>
      </c>
      <c r="Q7" t="s">
        <v>74</v>
      </c>
      <c r="R7" t="s">
        <v>74</v>
      </c>
      <c r="S7" t="s">
        <v>74</v>
      </c>
      <c r="T7" t="s">
        <v>189</v>
      </c>
      <c r="U7" t="s">
        <v>190</v>
      </c>
      <c r="V7" t="s">
        <v>191</v>
      </c>
      <c r="W7" t="s">
        <v>192</v>
      </c>
      <c r="X7" t="s">
        <v>193</v>
      </c>
      <c r="Y7" t="s">
        <v>194</v>
      </c>
      <c r="Z7" t="s">
        <v>195</v>
      </c>
      <c r="AA7" t="s">
        <v>196</v>
      </c>
      <c r="AB7" t="s">
        <v>197</v>
      </c>
      <c r="AC7" t="s">
        <v>74</v>
      </c>
      <c r="AD7" t="s">
        <v>74</v>
      </c>
      <c r="AE7" t="s">
        <v>74</v>
      </c>
      <c r="AF7" t="s">
        <v>74</v>
      </c>
      <c r="AG7">
        <v>27</v>
      </c>
      <c r="AH7">
        <v>0</v>
      </c>
      <c r="AI7">
        <v>0</v>
      </c>
      <c r="AJ7">
        <v>0</v>
      </c>
      <c r="AK7">
        <v>3</v>
      </c>
      <c r="AL7" t="s">
        <v>198</v>
      </c>
      <c r="AM7" t="s">
        <v>199</v>
      </c>
      <c r="AN7" t="s">
        <v>200</v>
      </c>
      <c r="AO7" t="s">
        <v>201</v>
      </c>
      <c r="AP7" t="s">
        <v>202</v>
      </c>
      <c r="AQ7" t="s">
        <v>74</v>
      </c>
      <c r="AR7" t="s">
        <v>203</v>
      </c>
      <c r="AS7" t="s">
        <v>204</v>
      </c>
      <c r="AT7" t="s">
        <v>205</v>
      </c>
      <c r="AU7">
        <v>2023</v>
      </c>
      <c r="AV7">
        <v>14</v>
      </c>
      <c r="AW7">
        <v>3</v>
      </c>
      <c r="AX7" t="s">
        <v>74</v>
      </c>
      <c r="AY7" t="s">
        <v>74</v>
      </c>
      <c r="AZ7" t="s">
        <v>74</v>
      </c>
      <c r="BA7" t="s">
        <v>74</v>
      </c>
      <c r="BB7">
        <v>98</v>
      </c>
      <c r="BC7">
        <v>117</v>
      </c>
      <c r="BD7" t="s">
        <v>74</v>
      </c>
      <c r="BE7" t="s">
        <v>206</v>
      </c>
      <c r="BF7" t="str">
        <f>HYPERLINK("http://dx.doi.org/10.24425/mper.2023.147193","http://dx.doi.org/10.24425/mper.2023.147193")</f>
        <v>http://dx.doi.org/10.24425/mper.2023.147193</v>
      </c>
      <c r="BG7" t="s">
        <v>74</v>
      </c>
      <c r="BH7" t="s">
        <v>74</v>
      </c>
      <c r="BI7">
        <v>20</v>
      </c>
      <c r="BJ7" t="s">
        <v>100</v>
      </c>
      <c r="BK7" t="s">
        <v>101</v>
      </c>
      <c r="BL7" t="s">
        <v>102</v>
      </c>
      <c r="BM7" t="s">
        <v>207</v>
      </c>
      <c r="BN7" t="s">
        <v>74</v>
      </c>
      <c r="BO7" t="s">
        <v>208</v>
      </c>
      <c r="BP7" t="s">
        <v>74</v>
      </c>
      <c r="BQ7" t="s">
        <v>74</v>
      </c>
      <c r="BR7" t="s">
        <v>104</v>
      </c>
      <c r="BS7" t="s">
        <v>209</v>
      </c>
      <c r="BT7" t="str">
        <f>HYPERLINK("https%3A%2F%2Fwww.webofscience.com%2Fwos%2Fwoscc%2Ffull-record%2FWOS:001106735400009","View Full Record in Web of Science")</f>
        <v>View Full Record in Web of Science</v>
      </c>
    </row>
    <row r="8" spans="1:72" x14ac:dyDescent="0.25">
      <c r="A8" t="s">
        <v>72</v>
      </c>
      <c r="B8" t="s">
        <v>210</v>
      </c>
      <c r="C8" t="s">
        <v>74</v>
      </c>
      <c r="D8" t="s">
        <v>74</v>
      </c>
      <c r="E8" t="s">
        <v>74</v>
      </c>
      <c r="F8" t="s">
        <v>211</v>
      </c>
      <c r="G8" t="s">
        <v>74</v>
      </c>
      <c r="H8" t="s">
        <v>74</v>
      </c>
      <c r="I8" t="s">
        <v>212</v>
      </c>
      <c r="J8" t="s">
        <v>213</v>
      </c>
      <c r="K8" t="s">
        <v>74</v>
      </c>
      <c r="L8" t="s">
        <v>74</v>
      </c>
      <c r="M8" t="s">
        <v>78</v>
      </c>
      <c r="N8" t="s">
        <v>79</v>
      </c>
      <c r="O8" t="s">
        <v>74</v>
      </c>
      <c r="P8" t="s">
        <v>74</v>
      </c>
      <c r="Q8" t="s">
        <v>74</v>
      </c>
      <c r="R8" t="s">
        <v>74</v>
      </c>
      <c r="S8" t="s">
        <v>74</v>
      </c>
      <c r="T8" t="s">
        <v>214</v>
      </c>
      <c r="U8" t="s">
        <v>74</v>
      </c>
      <c r="V8" t="s">
        <v>215</v>
      </c>
      <c r="W8" t="s">
        <v>216</v>
      </c>
      <c r="X8" t="s">
        <v>74</v>
      </c>
      <c r="Y8" t="s">
        <v>217</v>
      </c>
      <c r="Z8" t="s">
        <v>218</v>
      </c>
      <c r="AA8" t="s">
        <v>74</v>
      </c>
      <c r="AB8" t="s">
        <v>219</v>
      </c>
      <c r="AC8" t="s">
        <v>74</v>
      </c>
      <c r="AD8" t="s">
        <v>74</v>
      </c>
      <c r="AE8" t="s">
        <v>74</v>
      </c>
      <c r="AF8" t="s">
        <v>74</v>
      </c>
      <c r="AG8">
        <v>14</v>
      </c>
      <c r="AH8">
        <v>1</v>
      </c>
      <c r="AI8">
        <v>1</v>
      </c>
      <c r="AJ8">
        <v>0</v>
      </c>
      <c r="AK8">
        <v>5</v>
      </c>
      <c r="AL8" t="s">
        <v>220</v>
      </c>
      <c r="AM8" t="s">
        <v>221</v>
      </c>
      <c r="AN8" t="s">
        <v>222</v>
      </c>
      <c r="AO8" t="s">
        <v>223</v>
      </c>
      <c r="AP8" t="s">
        <v>224</v>
      </c>
      <c r="AQ8" t="s">
        <v>74</v>
      </c>
      <c r="AR8" t="s">
        <v>225</v>
      </c>
      <c r="AS8" t="s">
        <v>226</v>
      </c>
      <c r="AT8" t="s">
        <v>227</v>
      </c>
      <c r="AU8">
        <v>2020</v>
      </c>
      <c r="AV8">
        <v>26</v>
      </c>
      <c r="AW8">
        <v>4</v>
      </c>
      <c r="AX8" t="s">
        <v>74</v>
      </c>
      <c r="AY8" t="s">
        <v>74</v>
      </c>
      <c r="AZ8" t="s">
        <v>74</v>
      </c>
      <c r="BA8" t="s">
        <v>74</v>
      </c>
      <c r="BB8">
        <v>88</v>
      </c>
      <c r="BC8">
        <v>94</v>
      </c>
      <c r="BD8" t="s">
        <v>74</v>
      </c>
      <c r="BE8" t="s">
        <v>228</v>
      </c>
      <c r="BF8" t="str">
        <f>HYPERLINK("http://dx.doi.org/10.1109/MIAS.2020.2981105","http://dx.doi.org/10.1109/MIAS.2020.2981105")</f>
        <v>http://dx.doi.org/10.1109/MIAS.2020.2981105</v>
      </c>
      <c r="BG8" t="s">
        <v>74</v>
      </c>
      <c r="BH8" t="s">
        <v>74</v>
      </c>
      <c r="BI8">
        <v>7</v>
      </c>
      <c r="BJ8" t="s">
        <v>229</v>
      </c>
      <c r="BK8" t="s">
        <v>149</v>
      </c>
      <c r="BL8" t="s">
        <v>102</v>
      </c>
      <c r="BM8" t="s">
        <v>230</v>
      </c>
      <c r="BN8" t="s">
        <v>74</v>
      </c>
      <c r="BO8" t="s">
        <v>74</v>
      </c>
      <c r="BP8" t="s">
        <v>74</v>
      </c>
      <c r="BQ8" t="s">
        <v>74</v>
      </c>
      <c r="BR8" t="s">
        <v>104</v>
      </c>
      <c r="BS8" t="s">
        <v>231</v>
      </c>
      <c r="BT8" t="str">
        <f>HYPERLINK("https%3A%2F%2Fwww.webofscience.com%2Fwos%2Fwoscc%2Ffull-record%2FWOS:000542953200014","View Full Record in Web of Science")</f>
        <v>View Full Record in Web of Science</v>
      </c>
    </row>
    <row r="9" spans="1:72" x14ac:dyDescent="0.25">
      <c r="A9" t="s">
        <v>72</v>
      </c>
      <c r="B9" t="s">
        <v>232</v>
      </c>
      <c r="C9" t="s">
        <v>74</v>
      </c>
      <c r="D9" t="s">
        <v>74</v>
      </c>
      <c r="E9" t="s">
        <v>74</v>
      </c>
      <c r="F9" t="s">
        <v>233</v>
      </c>
      <c r="G9" t="s">
        <v>74</v>
      </c>
      <c r="H9" t="s">
        <v>74</v>
      </c>
      <c r="I9" t="s">
        <v>234</v>
      </c>
      <c r="J9" t="s">
        <v>128</v>
      </c>
      <c r="K9" t="s">
        <v>74</v>
      </c>
      <c r="L9" t="s">
        <v>74</v>
      </c>
      <c r="M9" t="s">
        <v>78</v>
      </c>
      <c r="N9" t="s">
        <v>79</v>
      </c>
      <c r="O9" t="s">
        <v>74</v>
      </c>
      <c r="P9" t="s">
        <v>74</v>
      </c>
      <c r="Q9" t="s">
        <v>74</v>
      </c>
      <c r="R9" t="s">
        <v>74</v>
      </c>
      <c r="S9" t="s">
        <v>74</v>
      </c>
      <c r="T9" t="s">
        <v>235</v>
      </c>
      <c r="U9" t="s">
        <v>236</v>
      </c>
      <c r="V9" t="s">
        <v>237</v>
      </c>
      <c r="W9" t="s">
        <v>238</v>
      </c>
      <c r="X9" t="s">
        <v>239</v>
      </c>
      <c r="Y9" t="s">
        <v>240</v>
      </c>
      <c r="Z9" t="s">
        <v>241</v>
      </c>
      <c r="AA9" t="s">
        <v>242</v>
      </c>
      <c r="AB9" t="s">
        <v>74</v>
      </c>
      <c r="AC9" t="s">
        <v>243</v>
      </c>
      <c r="AD9" t="s">
        <v>244</v>
      </c>
      <c r="AE9" t="s">
        <v>245</v>
      </c>
      <c r="AF9" t="s">
        <v>74</v>
      </c>
      <c r="AG9">
        <v>62</v>
      </c>
      <c r="AH9">
        <v>16</v>
      </c>
      <c r="AI9">
        <v>16</v>
      </c>
      <c r="AJ9">
        <v>18</v>
      </c>
      <c r="AK9">
        <v>63</v>
      </c>
      <c r="AL9" t="s">
        <v>138</v>
      </c>
      <c r="AM9" t="s">
        <v>246</v>
      </c>
      <c r="AN9" t="s">
        <v>247</v>
      </c>
      <c r="AO9" t="s">
        <v>141</v>
      </c>
      <c r="AP9" t="s">
        <v>142</v>
      </c>
      <c r="AQ9" t="s">
        <v>74</v>
      </c>
      <c r="AR9" t="s">
        <v>143</v>
      </c>
      <c r="AS9" t="s">
        <v>144</v>
      </c>
      <c r="AT9" t="s">
        <v>248</v>
      </c>
      <c r="AU9">
        <v>2022</v>
      </c>
      <c r="AV9">
        <v>223</v>
      </c>
      <c r="AW9" t="s">
        <v>74</v>
      </c>
      <c r="AX9" t="s">
        <v>74</v>
      </c>
      <c r="AY9" t="s">
        <v>74</v>
      </c>
      <c r="AZ9" t="s">
        <v>74</v>
      </c>
      <c r="BA9" t="s">
        <v>74</v>
      </c>
      <c r="BB9" t="s">
        <v>74</v>
      </c>
      <c r="BC9" t="s">
        <v>74</v>
      </c>
      <c r="BD9">
        <v>108359</v>
      </c>
      <c r="BE9" t="s">
        <v>249</v>
      </c>
      <c r="BF9" t="str">
        <f>HYPERLINK("http://dx.doi.org/10.1016/j.ress.2022.108359","http://dx.doi.org/10.1016/j.ress.2022.108359")</f>
        <v>http://dx.doi.org/10.1016/j.ress.2022.108359</v>
      </c>
      <c r="BG9" t="s">
        <v>74</v>
      </c>
      <c r="BH9" t="s">
        <v>250</v>
      </c>
      <c r="BI9">
        <v>14</v>
      </c>
      <c r="BJ9" t="s">
        <v>148</v>
      </c>
      <c r="BK9" t="s">
        <v>149</v>
      </c>
      <c r="BL9" t="s">
        <v>150</v>
      </c>
      <c r="BM9" t="s">
        <v>251</v>
      </c>
      <c r="BN9" t="s">
        <v>74</v>
      </c>
      <c r="BO9" t="s">
        <v>74</v>
      </c>
      <c r="BP9" t="s">
        <v>74</v>
      </c>
      <c r="BQ9" t="s">
        <v>74</v>
      </c>
      <c r="BR9" t="s">
        <v>104</v>
      </c>
      <c r="BS9" t="s">
        <v>252</v>
      </c>
      <c r="BT9" t="str">
        <f>HYPERLINK("https%3A%2F%2Fwww.webofscience.com%2Fwos%2Fwoscc%2Ffull-record%2FWOS:000790456600011","View Full Record in Web of Science")</f>
        <v>View Full Record in Web of Science</v>
      </c>
    </row>
    <row r="10" spans="1:72" x14ac:dyDescent="0.25">
      <c r="A10" t="s">
        <v>72</v>
      </c>
      <c r="B10" t="s">
        <v>253</v>
      </c>
      <c r="C10" t="s">
        <v>74</v>
      </c>
      <c r="D10" t="s">
        <v>74</v>
      </c>
      <c r="E10" t="s">
        <v>74</v>
      </c>
      <c r="F10" t="s">
        <v>254</v>
      </c>
      <c r="G10" t="s">
        <v>74</v>
      </c>
      <c r="H10" t="s">
        <v>74</v>
      </c>
      <c r="I10" t="s">
        <v>255</v>
      </c>
      <c r="J10" t="s">
        <v>256</v>
      </c>
      <c r="K10" t="s">
        <v>74</v>
      </c>
      <c r="L10" t="s">
        <v>74</v>
      </c>
      <c r="M10" t="s">
        <v>78</v>
      </c>
      <c r="N10" t="s">
        <v>79</v>
      </c>
      <c r="O10" t="s">
        <v>74</v>
      </c>
      <c r="P10" t="s">
        <v>74</v>
      </c>
      <c r="Q10" t="s">
        <v>74</v>
      </c>
      <c r="R10" t="s">
        <v>74</v>
      </c>
      <c r="S10" t="s">
        <v>74</v>
      </c>
      <c r="T10" t="s">
        <v>257</v>
      </c>
      <c r="U10" t="s">
        <v>74</v>
      </c>
      <c r="V10" t="s">
        <v>258</v>
      </c>
      <c r="W10" t="s">
        <v>259</v>
      </c>
      <c r="X10" t="s">
        <v>260</v>
      </c>
      <c r="Y10" t="s">
        <v>261</v>
      </c>
      <c r="Z10" t="s">
        <v>262</v>
      </c>
      <c r="AA10" t="s">
        <v>263</v>
      </c>
      <c r="AB10" t="s">
        <v>264</v>
      </c>
      <c r="AC10" t="s">
        <v>265</v>
      </c>
      <c r="AD10" t="s">
        <v>266</v>
      </c>
      <c r="AE10" t="s">
        <v>267</v>
      </c>
      <c r="AF10" t="s">
        <v>74</v>
      </c>
      <c r="AG10">
        <v>34</v>
      </c>
      <c r="AH10">
        <v>10</v>
      </c>
      <c r="AI10">
        <v>12</v>
      </c>
      <c r="AJ10">
        <v>0</v>
      </c>
      <c r="AK10">
        <v>9</v>
      </c>
      <c r="AL10" t="s">
        <v>268</v>
      </c>
      <c r="AM10" t="s">
        <v>269</v>
      </c>
      <c r="AN10" t="s">
        <v>270</v>
      </c>
      <c r="AO10" t="s">
        <v>271</v>
      </c>
      <c r="AP10" t="s">
        <v>272</v>
      </c>
      <c r="AQ10" t="s">
        <v>74</v>
      </c>
      <c r="AR10" t="s">
        <v>273</v>
      </c>
      <c r="AS10" t="s">
        <v>274</v>
      </c>
      <c r="AT10" t="s">
        <v>275</v>
      </c>
      <c r="AU10">
        <v>2020</v>
      </c>
      <c r="AV10">
        <v>11</v>
      </c>
      <c r="AW10">
        <v>1</v>
      </c>
      <c r="AX10" t="s">
        <v>74</v>
      </c>
      <c r="AY10" t="s">
        <v>74</v>
      </c>
      <c r="AZ10" t="s">
        <v>74</v>
      </c>
      <c r="BA10" t="s">
        <v>74</v>
      </c>
      <c r="BB10">
        <v>3</v>
      </c>
      <c r="BC10">
        <v>18</v>
      </c>
      <c r="BD10" t="s">
        <v>74</v>
      </c>
      <c r="BE10" t="s">
        <v>276</v>
      </c>
      <c r="BF10" t="str">
        <f>HYPERLINK("http://dx.doi.org/10.24867/IJIEM-2020-1-248","http://dx.doi.org/10.24867/IJIEM-2020-1-248")</f>
        <v>http://dx.doi.org/10.24867/IJIEM-2020-1-248</v>
      </c>
      <c r="BG10" t="s">
        <v>74</v>
      </c>
      <c r="BH10" t="s">
        <v>74</v>
      </c>
      <c r="BI10">
        <v>16</v>
      </c>
      <c r="BJ10" t="s">
        <v>100</v>
      </c>
      <c r="BK10" t="s">
        <v>101</v>
      </c>
      <c r="BL10" t="s">
        <v>102</v>
      </c>
      <c r="BM10" t="s">
        <v>277</v>
      </c>
      <c r="BN10" t="s">
        <v>74</v>
      </c>
      <c r="BO10" t="s">
        <v>278</v>
      </c>
      <c r="BP10" t="s">
        <v>74</v>
      </c>
      <c r="BQ10" t="s">
        <v>74</v>
      </c>
      <c r="BR10" t="s">
        <v>104</v>
      </c>
      <c r="BS10" t="s">
        <v>279</v>
      </c>
      <c r="BT10" t="str">
        <f>HYPERLINK("https%3A%2F%2Fwww.webofscience.com%2Fwos%2Fwoscc%2Ffull-record%2FWOS:000835301900002","View Full Record in Web of Science")</f>
        <v>View Full Record in Web of Science</v>
      </c>
    </row>
    <row r="11" spans="1:72" x14ac:dyDescent="0.25">
      <c r="A11" t="s">
        <v>72</v>
      </c>
      <c r="B11" t="s">
        <v>280</v>
      </c>
      <c r="C11" t="s">
        <v>74</v>
      </c>
      <c r="D11" t="s">
        <v>74</v>
      </c>
      <c r="E11" t="s">
        <v>74</v>
      </c>
      <c r="F11" t="s">
        <v>281</v>
      </c>
      <c r="G11" t="s">
        <v>74</v>
      </c>
      <c r="H11" t="s">
        <v>74</v>
      </c>
      <c r="I11" t="s">
        <v>282</v>
      </c>
      <c r="J11" t="s">
        <v>77</v>
      </c>
      <c r="K11" t="s">
        <v>74</v>
      </c>
      <c r="L11" t="s">
        <v>74</v>
      </c>
      <c r="M11" t="s">
        <v>78</v>
      </c>
      <c r="N11" t="s">
        <v>79</v>
      </c>
      <c r="O11" t="s">
        <v>74</v>
      </c>
      <c r="P11" t="s">
        <v>74</v>
      </c>
      <c r="Q11" t="s">
        <v>74</v>
      </c>
      <c r="R11" t="s">
        <v>74</v>
      </c>
      <c r="S11" t="s">
        <v>74</v>
      </c>
      <c r="T11" t="s">
        <v>283</v>
      </c>
      <c r="U11" t="s">
        <v>284</v>
      </c>
      <c r="V11" t="s">
        <v>285</v>
      </c>
      <c r="W11" t="s">
        <v>286</v>
      </c>
      <c r="X11" t="s">
        <v>287</v>
      </c>
      <c r="Y11" t="s">
        <v>288</v>
      </c>
      <c r="Z11" t="s">
        <v>289</v>
      </c>
      <c r="AA11" t="s">
        <v>290</v>
      </c>
      <c r="AB11" t="s">
        <v>291</v>
      </c>
      <c r="AC11" t="s">
        <v>74</v>
      </c>
      <c r="AD11" t="s">
        <v>74</v>
      </c>
      <c r="AE11" t="s">
        <v>74</v>
      </c>
      <c r="AF11" t="s">
        <v>74</v>
      </c>
      <c r="AG11">
        <v>74</v>
      </c>
      <c r="AH11">
        <v>13</v>
      </c>
      <c r="AI11">
        <v>16</v>
      </c>
      <c r="AJ11">
        <v>0</v>
      </c>
      <c r="AK11">
        <v>6</v>
      </c>
      <c r="AL11" t="s">
        <v>90</v>
      </c>
      <c r="AM11" t="s">
        <v>118</v>
      </c>
      <c r="AN11" t="s">
        <v>119</v>
      </c>
      <c r="AO11" t="s">
        <v>93</v>
      </c>
      <c r="AP11" t="s">
        <v>94</v>
      </c>
      <c r="AQ11" t="s">
        <v>74</v>
      </c>
      <c r="AR11" t="s">
        <v>95</v>
      </c>
      <c r="AS11" t="s">
        <v>96</v>
      </c>
      <c r="AT11" t="s">
        <v>292</v>
      </c>
      <c r="AU11">
        <v>2020</v>
      </c>
      <c r="AV11">
        <v>26</v>
      </c>
      <c r="AW11">
        <v>2</v>
      </c>
      <c r="AX11" t="s">
        <v>74</v>
      </c>
      <c r="AY11" t="s">
        <v>74</v>
      </c>
      <c r="AZ11" t="s">
        <v>74</v>
      </c>
      <c r="BA11" t="s">
        <v>74</v>
      </c>
      <c r="BB11">
        <v>260</v>
      </c>
      <c r="BC11">
        <v>289</v>
      </c>
      <c r="BD11" t="s">
        <v>74</v>
      </c>
      <c r="BE11" t="s">
        <v>293</v>
      </c>
      <c r="BF11" t="str">
        <f>HYPERLINK("http://dx.doi.org/10.1108/JQME-10-2018-0079","http://dx.doi.org/10.1108/JQME-10-2018-0079")</f>
        <v>http://dx.doi.org/10.1108/JQME-10-2018-0079</v>
      </c>
      <c r="BG11" t="s">
        <v>74</v>
      </c>
      <c r="BH11" t="s">
        <v>74</v>
      </c>
      <c r="BI11">
        <v>30</v>
      </c>
      <c r="BJ11" t="s">
        <v>100</v>
      </c>
      <c r="BK11" t="s">
        <v>101</v>
      </c>
      <c r="BL11" t="s">
        <v>102</v>
      </c>
      <c r="BM11" t="s">
        <v>294</v>
      </c>
      <c r="BN11" t="s">
        <v>74</v>
      </c>
      <c r="BO11" t="s">
        <v>74</v>
      </c>
      <c r="BP11" t="s">
        <v>74</v>
      </c>
      <c r="BQ11" t="s">
        <v>74</v>
      </c>
      <c r="BR11" t="s">
        <v>104</v>
      </c>
      <c r="BS11" t="s">
        <v>295</v>
      </c>
      <c r="BT11" t="str">
        <f>HYPERLINK("https%3A%2F%2Fwww.webofscience.com%2Fwos%2Fwoscc%2Ffull-record%2FWOS:000524879900006","View Full Record in Web of Science")</f>
        <v>View Full Record in Web of Science</v>
      </c>
    </row>
    <row r="12" spans="1:72" x14ac:dyDescent="0.25">
      <c r="A12" t="s">
        <v>72</v>
      </c>
      <c r="B12" t="s">
        <v>296</v>
      </c>
      <c r="C12" t="s">
        <v>74</v>
      </c>
      <c r="D12" t="s">
        <v>74</v>
      </c>
      <c r="E12" t="s">
        <v>74</v>
      </c>
      <c r="F12" t="s">
        <v>297</v>
      </c>
      <c r="G12" t="s">
        <v>74</v>
      </c>
      <c r="H12" t="s">
        <v>74</v>
      </c>
      <c r="I12" t="s">
        <v>298</v>
      </c>
      <c r="J12" t="s">
        <v>299</v>
      </c>
      <c r="K12" t="s">
        <v>74</v>
      </c>
      <c r="L12" t="s">
        <v>74</v>
      </c>
      <c r="M12" t="s">
        <v>78</v>
      </c>
      <c r="N12" t="s">
        <v>79</v>
      </c>
      <c r="O12" t="s">
        <v>74</v>
      </c>
      <c r="P12" t="s">
        <v>74</v>
      </c>
      <c r="Q12" t="s">
        <v>74</v>
      </c>
      <c r="R12" t="s">
        <v>74</v>
      </c>
      <c r="S12" t="s">
        <v>74</v>
      </c>
      <c r="T12" t="s">
        <v>300</v>
      </c>
      <c r="U12" t="s">
        <v>301</v>
      </c>
      <c r="V12" t="s">
        <v>302</v>
      </c>
      <c r="W12" t="s">
        <v>303</v>
      </c>
      <c r="X12" t="s">
        <v>304</v>
      </c>
      <c r="Y12" t="s">
        <v>305</v>
      </c>
      <c r="Z12" t="s">
        <v>306</v>
      </c>
      <c r="AA12" t="s">
        <v>74</v>
      </c>
      <c r="AB12" t="s">
        <v>307</v>
      </c>
      <c r="AC12" t="s">
        <v>308</v>
      </c>
      <c r="AD12" t="s">
        <v>309</v>
      </c>
      <c r="AE12" t="s">
        <v>310</v>
      </c>
      <c r="AF12" t="s">
        <v>74</v>
      </c>
      <c r="AG12">
        <v>69</v>
      </c>
      <c r="AH12">
        <v>48</v>
      </c>
      <c r="AI12">
        <v>49</v>
      </c>
      <c r="AJ12">
        <v>5</v>
      </c>
      <c r="AK12">
        <v>38</v>
      </c>
      <c r="AL12" t="s">
        <v>311</v>
      </c>
      <c r="AM12" t="s">
        <v>312</v>
      </c>
      <c r="AN12" t="s">
        <v>313</v>
      </c>
      <c r="AO12" t="s">
        <v>314</v>
      </c>
      <c r="AP12" t="s">
        <v>315</v>
      </c>
      <c r="AQ12" t="s">
        <v>74</v>
      </c>
      <c r="AR12" t="s">
        <v>316</v>
      </c>
      <c r="AS12" t="s">
        <v>317</v>
      </c>
      <c r="AT12" t="s">
        <v>318</v>
      </c>
      <c r="AU12">
        <v>2020</v>
      </c>
      <c r="AV12">
        <v>58</v>
      </c>
      <c r="AW12">
        <v>23</v>
      </c>
      <c r="AX12" t="s">
        <v>74</v>
      </c>
      <c r="AY12" t="s">
        <v>74</v>
      </c>
      <c r="AZ12" t="s">
        <v>74</v>
      </c>
      <c r="BA12" t="s">
        <v>74</v>
      </c>
      <c r="BB12">
        <v>7292</v>
      </c>
      <c r="BC12">
        <v>7310</v>
      </c>
      <c r="BD12" t="s">
        <v>74</v>
      </c>
      <c r="BE12" t="s">
        <v>319</v>
      </c>
      <c r="BF12" t="str">
        <f>HYPERLINK("http://dx.doi.org/10.1080/00207543.2020.1808257","http://dx.doi.org/10.1080/00207543.2020.1808257")</f>
        <v>http://dx.doi.org/10.1080/00207543.2020.1808257</v>
      </c>
      <c r="BG12" t="s">
        <v>74</v>
      </c>
      <c r="BH12" t="s">
        <v>320</v>
      </c>
      <c r="BI12">
        <v>19</v>
      </c>
      <c r="BJ12" t="s">
        <v>321</v>
      </c>
      <c r="BK12" t="s">
        <v>322</v>
      </c>
      <c r="BL12" t="s">
        <v>150</v>
      </c>
      <c r="BM12" t="s">
        <v>323</v>
      </c>
      <c r="BN12" t="s">
        <v>74</v>
      </c>
      <c r="BO12" t="s">
        <v>324</v>
      </c>
      <c r="BP12" t="s">
        <v>74</v>
      </c>
      <c r="BQ12" t="s">
        <v>74</v>
      </c>
      <c r="BR12" t="s">
        <v>104</v>
      </c>
      <c r="BS12" t="s">
        <v>325</v>
      </c>
      <c r="BT12" t="str">
        <f>HYPERLINK("https%3A%2F%2Fwww.webofscience.com%2Fwos%2Fwoscc%2Ffull-record%2FWOS:000567088200001","View Full Record in Web of Science")</f>
        <v>View Full Record in Web of Science</v>
      </c>
    </row>
    <row r="13" spans="1:72" x14ac:dyDescent="0.25">
      <c r="A13" t="s">
        <v>72</v>
      </c>
      <c r="B13" t="s">
        <v>326</v>
      </c>
      <c r="C13" t="s">
        <v>74</v>
      </c>
      <c r="D13" t="s">
        <v>74</v>
      </c>
      <c r="E13" t="s">
        <v>74</v>
      </c>
      <c r="F13" t="s">
        <v>327</v>
      </c>
      <c r="G13" t="s">
        <v>74</v>
      </c>
      <c r="H13" t="s">
        <v>74</v>
      </c>
      <c r="I13" t="s">
        <v>328</v>
      </c>
      <c r="J13" t="s">
        <v>329</v>
      </c>
      <c r="K13" t="s">
        <v>74</v>
      </c>
      <c r="L13" t="s">
        <v>74</v>
      </c>
      <c r="M13" t="s">
        <v>78</v>
      </c>
      <c r="N13" t="s">
        <v>79</v>
      </c>
      <c r="O13" t="s">
        <v>74</v>
      </c>
      <c r="P13" t="s">
        <v>74</v>
      </c>
      <c r="Q13" t="s">
        <v>74</v>
      </c>
      <c r="R13" t="s">
        <v>74</v>
      </c>
      <c r="S13" t="s">
        <v>74</v>
      </c>
      <c r="T13" t="s">
        <v>330</v>
      </c>
      <c r="U13" t="s">
        <v>331</v>
      </c>
      <c r="V13" t="s">
        <v>332</v>
      </c>
      <c r="W13" t="s">
        <v>333</v>
      </c>
      <c r="X13" t="s">
        <v>334</v>
      </c>
      <c r="Y13" t="s">
        <v>335</v>
      </c>
      <c r="Z13" t="s">
        <v>336</v>
      </c>
      <c r="AA13" t="s">
        <v>337</v>
      </c>
      <c r="AB13" t="s">
        <v>338</v>
      </c>
      <c r="AC13" t="s">
        <v>74</v>
      </c>
      <c r="AD13" t="s">
        <v>74</v>
      </c>
      <c r="AE13" t="s">
        <v>74</v>
      </c>
      <c r="AF13" t="s">
        <v>74</v>
      </c>
      <c r="AG13">
        <v>58</v>
      </c>
      <c r="AH13">
        <v>5</v>
      </c>
      <c r="AI13">
        <v>7</v>
      </c>
      <c r="AJ13">
        <v>1</v>
      </c>
      <c r="AK13">
        <v>31</v>
      </c>
      <c r="AL13" t="s">
        <v>339</v>
      </c>
      <c r="AM13" t="s">
        <v>340</v>
      </c>
      <c r="AN13" t="s">
        <v>341</v>
      </c>
      <c r="AO13" t="s">
        <v>342</v>
      </c>
      <c r="AP13" t="s">
        <v>343</v>
      </c>
      <c r="AQ13" t="s">
        <v>74</v>
      </c>
      <c r="AR13" t="s">
        <v>344</v>
      </c>
      <c r="AS13" t="s">
        <v>345</v>
      </c>
      <c r="AT13" t="s">
        <v>346</v>
      </c>
      <c r="AU13">
        <v>2019</v>
      </c>
      <c r="AV13">
        <v>35</v>
      </c>
      <c r="AW13">
        <v>3</v>
      </c>
      <c r="AX13" t="s">
        <v>74</v>
      </c>
      <c r="AY13" t="s">
        <v>74</v>
      </c>
      <c r="AZ13" t="s">
        <v>74</v>
      </c>
      <c r="BA13" t="s">
        <v>74</v>
      </c>
      <c r="BB13" t="s">
        <v>74</v>
      </c>
      <c r="BC13" t="s">
        <v>74</v>
      </c>
      <c r="BD13">
        <v>4019007</v>
      </c>
      <c r="BE13" t="s">
        <v>347</v>
      </c>
      <c r="BF13" t="str">
        <f>HYPERLINK("http://dx.doi.org/10.1061/(ASCE)ME.1943-5479.0000689","http://dx.doi.org/10.1061/(ASCE)ME.1943-5479.0000689")</f>
        <v>http://dx.doi.org/10.1061/(ASCE)ME.1943-5479.0000689</v>
      </c>
      <c r="BG13" t="s">
        <v>74</v>
      </c>
      <c r="BH13" t="s">
        <v>74</v>
      </c>
      <c r="BI13">
        <v>16</v>
      </c>
      <c r="BJ13" t="s">
        <v>348</v>
      </c>
      <c r="BK13" t="s">
        <v>322</v>
      </c>
      <c r="BL13" t="s">
        <v>102</v>
      </c>
      <c r="BM13" t="s">
        <v>349</v>
      </c>
      <c r="BN13" t="s">
        <v>74</v>
      </c>
      <c r="BO13" t="s">
        <v>74</v>
      </c>
      <c r="BP13" t="s">
        <v>74</v>
      </c>
      <c r="BQ13" t="s">
        <v>74</v>
      </c>
      <c r="BR13" t="s">
        <v>104</v>
      </c>
      <c r="BS13" t="s">
        <v>350</v>
      </c>
      <c r="BT13" t="str">
        <f>HYPERLINK("https%3A%2F%2Fwww.webofscience.com%2Fwos%2Fwoscc%2Ffull-record%2FWOS:000464392900002","View Full Record in Web of Science")</f>
        <v>View Full Record in Web of Science</v>
      </c>
    </row>
    <row r="14" spans="1:72" x14ac:dyDescent="0.25">
      <c r="A14" t="s">
        <v>72</v>
      </c>
      <c r="B14" t="s">
        <v>351</v>
      </c>
      <c r="C14" t="s">
        <v>74</v>
      </c>
      <c r="D14" t="s">
        <v>74</v>
      </c>
      <c r="E14" t="s">
        <v>74</v>
      </c>
      <c r="F14" t="s">
        <v>352</v>
      </c>
      <c r="G14" t="s">
        <v>74</v>
      </c>
      <c r="H14" t="s">
        <v>74</v>
      </c>
      <c r="I14" t="s">
        <v>353</v>
      </c>
      <c r="J14" t="s">
        <v>128</v>
      </c>
      <c r="K14" t="s">
        <v>74</v>
      </c>
      <c r="L14" t="s">
        <v>74</v>
      </c>
      <c r="M14" t="s">
        <v>78</v>
      </c>
      <c r="N14" t="s">
        <v>79</v>
      </c>
      <c r="O14" t="s">
        <v>74</v>
      </c>
      <c r="P14" t="s">
        <v>74</v>
      </c>
      <c r="Q14" t="s">
        <v>74</v>
      </c>
      <c r="R14" t="s">
        <v>74</v>
      </c>
      <c r="S14" t="s">
        <v>74</v>
      </c>
      <c r="T14" t="s">
        <v>354</v>
      </c>
      <c r="U14" t="s">
        <v>355</v>
      </c>
      <c r="V14" t="s">
        <v>356</v>
      </c>
      <c r="W14" t="s">
        <v>357</v>
      </c>
      <c r="X14" t="s">
        <v>133</v>
      </c>
      <c r="Y14" t="s">
        <v>134</v>
      </c>
      <c r="Z14" t="s">
        <v>135</v>
      </c>
      <c r="AA14" t="s">
        <v>358</v>
      </c>
      <c r="AB14" t="s">
        <v>359</v>
      </c>
      <c r="AC14" t="s">
        <v>74</v>
      </c>
      <c r="AD14" t="s">
        <v>74</v>
      </c>
      <c r="AE14" t="s">
        <v>74</v>
      </c>
      <c r="AF14" t="s">
        <v>74</v>
      </c>
      <c r="AG14">
        <v>47</v>
      </c>
      <c r="AH14">
        <v>4</v>
      </c>
      <c r="AI14">
        <v>4</v>
      </c>
      <c r="AJ14">
        <v>14</v>
      </c>
      <c r="AK14">
        <v>21</v>
      </c>
      <c r="AL14" t="s">
        <v>138</v>
      </c>
      <c r="AM14" t="s">
        <v>139</v>
      </c>
      <c r="AN14" t="s">
        <v>140</v>
      </c>
      <c r="AO14" t="s">
        <v>141</v>
      </c>
      <c r="AP14" t="s">
        <v>142</v>
      </c>
      <c r="AQ14" t="s">
        <v>74</v>
      </c>
      <c r="AR14" t="s">
        <v>143</v>
      </c>
      <c r="AS14" t="s">
        <v>144</v>
      </c>
      <c r="AT14" t="s">
        <v>205</v>
      </c>
      <c r="AU14">
        <v>2024</v>
      </c>
      <c r="AV14">
        <v>249</v>
      </c>
      <c r="AW14" t="s">
        <v>74</v>
      </c>
      <c r="AX14" t="s">
        <v>74</v>
      </c>
      <c r="AY14" t="s">
        <v>74</v>
      </c>
      <c r="AZ14" t="s">
        <v>74</v>
      </c>
      <c r="BA14" t="s">
        <v>74</v>
      </c>
      <c r="BB14" t="s">
        <v>74</v>
      </c>
      <c r="BC14" t="s">
        <v>74</v>
      </c>
      <c r="BD14">
        <v>110243</v>
      </c>
      <c r="BE14" t="s">
        <v>360</v>
      </c>
      <c r="BF14" t="str">
        <f>HYPERLINK("http://dx.doi.org/10.1016/j.ress.2024.110243","http://dx.doi.org/10.1016/j.ress.2024.110243")</f>
        <v>http://dx.doi.org/10.1016/j.ress.2024.110243</v>
      </c>
      <c r="BG14" t="s">
        <v>74</v>
      </c>
      <c r="BH14" t="s">
        <v>361</v>
      </c>
      <c r="BI14">
        <v>11</v>
      </c>
      <c r="BJ14" t="s">
        <v>148</v>
      </c>
      <c r="BK14" t="s">
        <v>149</v>
      </c>
      <c r="BL14" t="s">
        <v>150</v>
      </c>
      <c r="BM14" t="s">
        <v>362</v>
      </c>
      <c r="BN14" t="s">
        <v>74</v>
      </c>
      <c r="BO14" t="s">
        <v>152</v>
      </c>
      <c r="BP14" t="s">
        <v>74</v>
      </c>
      <c r="BQ14" t="s">
        <v>74</v>
      </c>
      <c r="BR14" t="s">
        <v>104</v>
      </c>
      <c r="BS14" t="s">
        <v>363</v>
      </c>
      <c r="BT14" t="str">
        <f>HYPERLINK("https%3A%2F%2Fwww.webofscience.com%2Fwos%2Fwoscc%2Ffull-record%2FWOS:001250688700001","View Full Record in Web of Science")</f>
        <v>View Full Record in Web of Science</v>
      </c>
    </row>
    <row r="15" spans="1:72" x14ac:dyDescent="0.25">
      <c r="A15" t="s">
        <v>72</v>
      </c>
      <c r="B15" t="s">
        <v>364</v>
      </c>
      <c r="C15" t="s">
        <v>74</v>
      </c>
      <c r="D15" t="s">
        <v>74</v>
      </c>
      <c r="E15" t="s">
        <v>74</v>
      </c>
      <c r="F15" t="s">
        <v>365</v>
      </c>
      <c r="G15" t="s">
        <v>74</v>
      </c>
      <c r="H15" t="s">
        <v>74</v>
      </c>
      <c r="I15" t="s">
        <v>366</v>
      </c>
      <c r="J15" t="s">
        <v>77</v>
      </c>
      <c r="K15" t="s">
        <v>74</v>
      </c>
      <c r="L15" t="s">
        <v>74</v>
      </c>
      <c r="M15" t="s">
        <v>78</v>
      </c>
      <c r="N15" t="s">
        <v>79</v>
      </c>
      <c r="O15" t="s">
        <v>74</v>
      </c>
      <c r="P15" t="s">
        <v>74</v>
      </c>
      <c r="Q15" t="s">
        <v>74</v>
      </c>
      <c r="R15" t="s">
        <v>74</v>
      </c>
      <c r="S15" t="s">
        <v>74</v>
      </c>
      <c r="T15" t="s">
        <v>367</v>
      </c>
      <c r="U15" t="s">
        <v>368</v>
      </c>
      <c r="V15" t="s">
        <v>369</v>
      </c>
      <c r="W15" t="s">
        <v>370</v>
      </c>
      <c r="X15" t="s">
        <v>371</v>
      </c>
      <c r="Y15" t="s">
        <v>372</v>
      </c>
      <c r="Z15" t="s">
        <v>373</v>
      </c>
      <c r="AA15" t="s">
        <v>374</v>
      </c>
      <c r="AB15" t="s">
        <v>375</v>
      </c>
      <c r="AC15" t="s">
        <v>74</v>
      </c>
      <c r="AD15" t="s">
        <v>74</v>
      </c>
      <c r="AE15" t="s">
        <v>74</v>
      </c>
      <c r="AF15" t="s">
        <v>74</v>
      </c>
      <c r="AG15">
        <v>42</v>
      </c>
      <c r="AH15">
        <v>9</v>
      </c>
      <c r="AI15">
        <v>10</v>
      </c>
      <c r="AJ15">
        <v>3</v>
      </c>
      <c r="AK15">
        <v>33</v>
      </c>
      <c r="AL15" t="s">
        <v>90</v>
      </c>
      <c r="AM15" t="s">
        <v>118</v>
      </c>
      <c r="AN15" t="s">
        <v>119</v>
      </c>
      <c r="AO15" t="s">
        <v>93</v>
      </c>
      <c r="AP15" t="s">
        <v>94</v>
      </c>
      <c r="AQ15" t="s">
        <v>74</v>
      </c>
      <c r="AR15" t="s">
        <v>95</v>
      </c>
      <c r="AS15" t="s">
        <v>96</v>
      </c>
      <c r="AT15" t="s">
        <v>292</v>
      </c>
      <c r="AU15">
        <v>2020</v>
      </c>
      <c r="AV15">
        <v>26</v>
      </c>
      <c r="AW15">
        <v>2</v>
      </c>
      <c r="AX15" t="s">
        <v>74</v>
      </c>
      <c r="AY15" t="s">
        <v>74</v>
      </c>
      <c r="AZ15" t="s">
        <v>74</v>
      </c>
      <c r="BA15" t="s">
        <v>74</v>
      </c>
      <c r="BB15">
        <v>290</v>
      </c>
      <c r="BC15">
        <v>310</v>
      </c>
      <c r="BD15" t="s">
        <v>74</v>
      </c>
      <c r="BE15" t="s">
        <v>376</v>
      </c>
      <c r="BF15" t="str">
        <f>HYPERLINK("http://dx.doi.org/10.1108/JQME-10-2018-0083","http://dx.doi.org/10.1108/JQME-10-2018-0083")</f>
        <v>http://dx.doi.org/10.1108/JQME-10-2018-0083</v>
      </c>
      <c r="BG15" t="s">
        <v>74</v>
      </c>
      <c r="BH15" t="s">
        <v>74</v>
      </c>
      <c r="BI15">
        <v>21</v>
      </c>
      <c r="BJ15" t="s">
        <v>100</v>
      </c>
      <c r="BK15" t="s">
        <v>101</v>
      </c>
      <c r="BL15" t="s">
        <v>102</v>
      </c>
      <c r="BM15" t="s">
        <v>294</v>
      </c>
      <c r="BN15" t="s">
        <v>74</v>
      </c>
      <c r="BO15" t="s">
        <v>74</v>
      </c>
      <c r="BP15" t="s">
        <v>74</v>
      </c>
      <c r="BQ15" t="s">
        <v>74</v>
      </c>
      <c r="BR15" t="s">
        <v>104</v>
      </c>
      <c r="BS15" t="s">
        <v>377</v>
      </c>
      <c r="BT15" t="str">
        <f>HYPERLINK("https%3A%2F%2Fwww.webofscience.com%2Fwos%2Fwoscc%2Ffull-record%2FWOS:000524879900007","View Full Record in Web of Science")</f>
        <v>View Full Record in Web of Science</v>
      </c>
    </row>
    <row r="16" spans="1:72" x14ac:dyDescent="0.25">
      <c r="A16" t="s">
        <v>72</v>
      </c>
      <c r="B16" t="s">
        <v>378</v>
      </c>
      <c r="C16" t="s">
        <v>74</v>
      </c>
      <c r="D16" t="s">
        <v>74</v>
      </c>
      <c r="E16" t="s">
        <v>74</v>
      </c>
      <c r="F16" t="s">
        <v>379</v>
      </c>
      <c r="G16" t="s">
        <v>74</v>
      </c>
      <c r="H16" t="s">
        <v>74</v>
      </c>
      <c r="I16" t="s">
        <v>380</v>
      </c>
      <c r="J16" t="s">
        <v>381</v>
      </c>
      <c r="K16" t="s">
        <v>74</v>
      </c>
      <c r="L16" t="s">
        <v>74</v>
      </c>
      <c r="M16" t="s">
        <v>78</v>
      </c>
      <c r="N16" t="s">
        <v>79</v>
      </c>
      <c r="O16" t="s">
        <v>74</v>
      </c>
      <c r="P16" t="s">
        <v>74</v>
      </c>
      <c r="Q16" t="s">
        <v>74</v>
      </c>
      <c r="R16" t="s">
        <v>74</v>
      </c>
      <c r="S16" t="s">
        <v>74</v>
      </c>
      <c r="T16" t="s">
        <v>382</v>
      </c>
      <c r="U16" t="s">
        <v>74</v>
      </c>
      <c r="V16" t="s">
        <v>383</v>
      </c>
      <c r="W16" t="s">
        <v>384</v>
      </c>
      <c r="X16" t="s">
        <v>385</v>
      </c>
      <c r="Y16" t="s">
        <v>386</v>
      </c>
      <c r="Z16" t="s">
        <v>387</v>
      </c>
      <c r="AA16" t="s">
        <v>388</v>
      </c>
      <c r="AB16" t="s">
        <v>389</v>
      </c>
      <c r="AC16" t="s">
        <v>74</v>
      </c>
      <c r="AD16" t="s">
        <v>74</v>
      </c>
      <c r="AE16" t="s">
        <v>74</v>
      </c>
      <c r="AF16" t="s">
        <v>74</v>
      </c>
      <c r="AG16">
        <v>80</v>
      </c>
      <c r="AH16">
        <v>4</v>
      </c>
      <c r="AI16">
        <v>4</v>
      </c>
      <c r="AJ16">
        <v>5</v>
      </c>
      <c r="AK16">
        <v>17</v>
      </c>
      <c r="AL16" t="s">
        <v>90</v>
      </c>
      <c r="AM16" t="s">
        <v>91</v>
      </c>
      <c r="AN16" t="s">
        <v>92</v>
      </c>
      <c r="AO16" t="s">
        <v>390</v>
      </c>
      <c r="AP16" t="s">
        <v>391</v>
      </c>
      <c r="AQ16" t="s">
        <v>74</v>
      </c>
      <c r="AR16" t="s">
        <v>392</v>
      </c>
      <c r="AS16" t="s">
        <v>393</v>
      </c>
      <c r="AT16" t="s">
        <v>394</v>
      </c>
      <c r="AU16">
        <v>2024</v>
      </c>
      <c r="AV16">
        <v>31</v>
      </c>
      <c r="AW16">
        <v>4</v>
      </c>
      <c r="AX16" t="s">
        <v>74</v>
      </c>
      <c r="AY16" t="s">
        <v>74</v>
      </c>
      <c r="AZ16" t="s">
        <v>74</v>
      </c>
      <c r="BA16" t="s">
        <v>74</v>
      </c>
      <c r="BB16">
        <v>1556</v>
      </c>
      <c r="BC16">
        <v>1584</v>
      </c>
      <c r="BD16" t="s">
        <v>74</v>
      </c>
      <c r="BE16" t="s">
        <v>395</v>
      </c>
      <c r="BF16" t="str">
        <f>HYPERLINK("http://dx.doi.org/10.1108/ECAM-07-2022-0658","http://dx.doi.org/10.1108/ECAM-07-2022-0658")</f>
        <v>http://dx.doi.org/10.1108/ECAM-07-2022-0658</v>
      </c>
      <c r="BG16" t="s">
        <v>74</v>
      </c>
      <c r="BH16" t="s">
        <v>396</v>
      </c>
      <c r="BI16">
        <v>29</v>
      </c>
      <c r="BJ16" t="s">
        <v>397</v>
      </c>
      <c r="BK16" t="s">
        <v>322</v>
      </c>
      <c r="BL16" t="s">
        <v>398</v>
      </c>
      <c r="BM16" t="s">
        <v>399</v>
      </c>
      <c r="BN16" t="s">
        <v>74</v>
      </c>
      <c r="BO16" t="s">
        <v>400</v>
      </c>
      <c r="BP16" t="s">
        <v>74</v>
      </c>
      <c r="BQ16" t="s">
        <v>74</v>
      </c>
      <c r="BR16" t="s">
        <v>104</v>
      </c>
      <c r="BS16" t="s">
        <v>401</v>
      </c>
      <c r="BT16" t="str">
        <f>HYPERLINK("https%3A%2F%2Fwww.webofscience.com%2Fwos%2Fwoscc%2Ffull-record%2FWOS:000897877500001","View Full Record in Web of Science")</f>
        <v>View Full Record in Web of Science</v>
      </c>
    </row>
    <row r="17" spans="1:72" x14ac:dyDescent="0.25">
      <c r="A17" t="s">
        <v>72</v>
      </c>
      <c r="B17" t="s">
        <v>402</v>
      </c>
      <c r="C17" t="s">
        <v>74</v>
      </c>
      <c r="D17" t="s">
        <v>74</v>
      </c>
      <c r="E17" t="s">
        <v>74</v>
      </c>
      <c r="F17" t="s">
        <v>403</v>
      </c>
      <c r="G17" t="s">
        <v>74</v>
      </c>
      <c r="H17" t="s">
        <v>74</v>
      </c>
      <c r="I17" t="s">
        <v>404</v>
      </c>
      <c r="J17" t="s">
        <v>77</v>
      </c>
      <c r="K17" t="s">
        <v>74</v>
      </c>
      <c r="L17" t="s">
        <v>74</v>
      </c>
      <c r="M17" t="s">
        <v>78</v>
      </c>
      <c r="N17" t="s">
        <v>79</v>
      </c>
      <c r="O17" t="s">
        <v>74</v>
      </c>
      <c r="P17" t="s">
        <v>74</v>
      </c>
      <c r="Q17" t="s">
        <v>74</v>
      </c>
      <c r="R17" t="s">
        <v>74</v>
      </c>
      <c r="S17" t="s">
        <v>74</v>
      </c>
      <c r="T17" t="s">
        <v>405</v>
      </c>
      <c r="U17" t="s">
        <v>406</v>
      </c>
      <c r="V17" t="s">
        <v>407</v>
      </c>
      <c r="W17" t="s">
        <v>408</v>
      </c>
      <c r="X17" t="s">
        <v>409</v>
      </c>
      <c r="Y17" t="s">
        <v>410</v>
      </c>
      <c r="Z17" t="s">
        <v>411</v>
      </c>
      <c r="AA17" t="s">
        <v>74</v>
      </c>
      <c r="AB17" t="s">
        <v>412</v>
      </c>
      <c r="AC17" t="s">
        <v>74</v>
      </c>
      <c r="AD17" t="s">
        <v>74</v>
      </c>
      <c r="AE17" t="s">
        <v>74</v>
      </c>
      <c r="AF17" t="s">
        <v>74</v>
      </c>
      <c r="AG17">
        <v>65</v>
      </c>
      <c r="AH17">
        <v>0</v>
      </c>
      <c r="AI17">
        <v>0</v>
      </c>
      <c r="AJ17">
        <v>1</v>
      </c>
      <c r="AK17">
        <v>1</v>
      </c>
      <c r="AL17" t="s">
        <v>90</v>
      </c>
      <c r="AM17" t="s">
        <v>91</v>
      </c>
      <c r="AN17" t="s">
        <v>92</v>
      </c>
      <c r="AO17" t="s">
        <v>93</v>
      </c>
      <c r="AP17" t="s">
        <v>94</v>
      </c>
      <c r="AQ17" t="s">
        <v>74</v>
      </c>
      <c r="AR17" t="s">
        <v>95</v>
      </c>
      <c r="AS17" t="s">
        <v>96</v>
      </c>
      <c r="AT17" t="s">
        <v>413</v>
      </c>
      <c r="AU17">
        <v>2024</v>
      </c>
      <c r="AV17">
        <v>30</v>
      </c>
      <c r="AW17">
        <v>4</v>
      </c>
      <c r="AX17" t="s">
        <v>74</v>
      </c>
      <c r="AY17" t="s">
        <v>74</v>
      </c>
      <c r="AZ17" t="s">
        <v>74</v>
      </c>
      <c r="BA17" t="s">
        <v>74</v>
      </c>
      <c r="BB17">
        <v>605</v>
      </c>
      <c r="BC17">
        <v>623</v>
      </c>
      <c r="BD17" t="s">
        <v>74</v>
      </c>
      <c r="BE17" t="s">
        <v>414</v>
      </c>
      <c r="BF17" t="str">
        <f>HYPERLINK("http://dx.doi.org/10.1108/JQME-11-2023-0110","http://dx.doi.org/10.1108/JQME-11-2023-0110")</f>
        <v>http://dx.doi.org/10.1108/JQME-11-2023-0110</v>
      </c>
      <c r="BG17" t="s">
        <v>74</v>
      </c>
      <c r="BH17" t="s">
        <v>415</v>
      </c>
      <c r="BI17">
        <v>19</v>
      </c>
      <c r="BJ17" t="s">
        <v>100</v>
      </c>
      <c r="BK17" t="s">
        <v>101</v>
      </c>
      <c r="BL17" t="s">
        <v>102</v>
      </c>
      <c r="BM17" t="s">
        <v>416</v>
      </c>
      <c r="BN17" t="s">
        <v>74</v>
      </c>
      <c r="BO17" t="s">
        <v>74</v>
      </c>
      <c r="BP17" t="s">
        <v>74</v>
      </c>
      <c r="BQ17" t="s">
        <v>74</v>
      </c>
      <c r="BR17" t="s">
        <v>104</v>
      </c>
      <c r="BS17" t="s">
        <v>417</v>
      </c>
      <c r="BT17" t="str">
        <f>HYPERLINK("https%3A%2F%2Fwww.webofscience.com%2Fwos%2Fwoscc%2Ffull-record%2FWOS:001338749700001","View Full Record in Web of Science")</f>
        <v>View Full Record in Web of Science</v>
      </c>
    </row>
    <row r="18" spans="1:72" x14ac:dyDescent="0.25">
      <c r="A18" t="s">
        <v>72</v>
      </c>
      <c r="B18" t="s">
        <v>418</v>
      </c>
      <c r="C18" t="s">
        <v>74</v>
      </c>
      <c r="D18" t="s">
        <v>74</v>
      </c>
      <c r="E18" t="s">
        <v>74</v>
      </c>
      <c r="F18" t="s">
        <v>419</v>
      </c>
      <c r="G18" t="s">
        <v>74</v>
      </c>
      <c r="H18" t="s">
        <v>74</v>
      </c>
      <c r="I18" t="s">
        <v>420</v>
      </c>
      <c r="J18" t="s">
        <v>77</v>
      </c>
      <c r="K18" t="s">
        <v>74</v>
      </c>
      <c r="L18" t="s">
        <v>74</v>
      </c>
      <c r="M18" t="s">
        <v>78</v>
      </c>
      <c r="N18" t="s">
        <v>79</v>
      </c>
      <c r="O18" t="s">
        <v>74</v>
      </c>
      <c r="P18" t="s">
        <v>74</v>
      </c>
      <c r="Q18" t="s">
        <v>74</v>
      </c>
      <c r="R18" t="s">
        <v>74</v>
      </c>
      <c r="S18" t="s">
        <v>74</v>
      </c>
      <c r="T18" t="s">
        <v>421</v>
      </c>
      <c r="U18" t="s">
        <v>422</v>
      </c>
      <c r="V18" t="s">
        <v>423</v>
      </c>
      <c r="W18" t="s">
        <v>424</v>
      </c>
      <c r="X18" t="s">
        <v>425</v>
      </c>
      <c r="Y18" t="s">
        <v>426</v>
      </c>
      <c r="Z18" t="s">
        <v>427</v>
      </c>
      <c r="AA18" t="s">
        <v>74</v>
      </c>
      <c r="AB18" t="s">
        <v>428</v>
      </c>
      <c r="AC18" t="s">
        <v>429</v>
      </c>
      <c r="AD18" t="s">
        <v>430</v>
      </c>
      <c r="AE18" t="s">
        <v>431</v>
      </c>
      <c r="AF18" t="s">
        <v>74</v>
      </c>
      <c r="AG18">
        <v>79</v>
      </c>
      <c r="AH18">
        <v>2</v>
      </c>
      <c r="AI18">
        <v>2</v>
      </c>
      <c r="AJ18">
        <v>1</v>
      </c>
      <c r="AK18">
        <v>9</v>
      </c>
      <c r="AL18" t="s">
        <v>90</v>
      </c>
      <c r="AM18" t="s">
        <v>91</v>
      </c>
      <c r="AN18" t="s">
        <v>92</v>
      </c>
      <c r="AO18" t="s">
        <v>93</v>
      </c>
      <c r="AP18" t="s">
        <v>94</v>
      </c>
      <c r="AQ18" t="s">
        <v>74</v>
      </c>
      <c r="AR18" t="s">
        <v>95</v>
      </c>
      <c r="AS18" t="s">
        <v>96</v>
      </c>
      <c r="AT18" t="s">
        <v>432</v>
      </c>
      <c r="AU18">
        <v>2022</v>
      </c>
      <c r="AV18">
        <v>28</v>
      </c>
      <c r="AW18">
        <v>1</v>
      </c>
      <c r="AX18" t="s">
        <v>74</v>
      </c>
      <c r="AY18" t="s">
        <v>74</v>
      </c>
      <c r="AZ18" t="s">
        <v>74</v>
      </c>
      <c r="BA18" t="s">
        <v>74</v>
      </c>
      <c r="BB18">
        <v>213</v>
      </c>
      <c r="BC18">
        <v>232</v>
      </c>
      <c r="BD18" t="s">
        <v>74</v>
      </c>
      <c r="BE18" t="s">
        <v>433</v>
      </c>
      <c r="BF18" t="str">
        <f>HYPERLINK("http://dx.doi.org/10.1108/JQME-03-2020-0013","http://dx.doi.org/10.1108/JQME-03-2020-0013")</f>
        <v>http://dx.doi.org/10.1108/JQME-03-2020-0013</v>
      </c>
      <c r="BG18" t="s">
        <v>74</v>
      </c>
      <c r="BH18" t="s">
        <v>434</v>
      </c>
      <c r="BI18">
        <v>20</v>
      </c>
      <c r="BJ18" t="s">
        <v>100</v>
      </c>
      <c r="BK18" t="s">
        <v>101</v>
      </c>
      <c r="BL18" t="s">
        <v>102</v>
      </c>
      <c r="BM18" t="s">
        <v>435</v>
      </c>
      <c r="BN18" t="s">
        <v>74</v>
      </c>
      <c r="BO18" t="s">
        <v>400</v>
      </c>
      <c r="BP18" t="s">
        <v>74</v>
      </c>
      <c r="BQ18" t="s">
        <v>74</v>
      </c>
      <c r="BR18" t="s">
        <v>104</v>
      </c>
      <c r="BS18" t="s">
        <v>436</v>
      </c>
      <c r="BT18" t="str">
        <f>HYPERLINK("https%3A%2F%2Fwww.webofscience.com%2Fwos%2Fwoscc%2Ffull-record%2FWOS:000599419400001","View Full Record in Web of Science")</f>
        <v>View Full Record in Web of Science</v>
      </c>
    </row>
    <row r="19" spans="1:72" x14ac:dyDescent="0.25">
      <c r="A19" t="s">
        <v>72</v>
      </c>
      <c r="B19" t="s">
        <v>437</v>
      </c>
      <c r="C19" t="s">
        <v>74</v>
      </c>
      <c r="D19" t="s">
        <v>74</v>
      </c>
      <c r="E19" t="s">
        <v>74</v>
      </c>
      <c r="F19" t="s">
        <v>438</v>
      </c>
      <c r="G19" t="s">
        <v>74</v>
      </c>
      <c r="H19" t="s">
        <v>74</v>
      </c>
      <c r="I19" t="s">
        <v>439</v>
      </c>
      <c r="J19" t="s">
        <v>77</v>
      </c>
      <c r="K19" t="s">
        <v>74</v>
      </c>
      <c r="L19" t="s">
        <v>74</v>
      </c>
      <c r="M19" t="s">
        <v>78</v>
      </c>
      <c r="N19" t="s">
        <v>79</v>
      </c>
      <c r="O19" t="s">
        <v>74</v>
      </c>
      <c r="P19" t="s">
        <v>74</v>
      </c>
      <c r="Q19" t="s">
        <v>74</v>
      </c>
      <c r="R19" t="s">
        <v>74</v>
      </c>
      <c r="S19" t="s">
        <v>74</v>
      </c>
      <c r="T19" t="s">
        <v>440</v>
      </c>
      <c r="U19" t="s">
        <v>441</v>
      </c>
      <c r="V19" t="s">
        <v>442</v>
      </c>
      <c r="W19" t="s">
        <v>443</v>
      </c>
      <c r="X19" t="s">
        <v>444</v>
      </c>
      <c r="Y19" t="s">
        <v>445</v>
      </c>
      <c r="Z19" t="s">
        <v>446</v>
      </c>
      <c r="AA19" t="s">
        <v>74</v>
      </c>
      <c r="AB19" t="s">
        <v>447</v>
      </c>
      <c r="AC19" t="s">
        <v>74</v>
      </c>
      <c r="AD19" t="s">
        <v>74</v>
      </c>
      <c r="AE19" t="s">
        <v>74</v>
      </c>
      <c r="AF19" t="s">
        <v>74</v>
      </c>
      <c r="AG19">
        <v>60</v>
      </c>
      <c r="AH19">
        <v>2</v>
      </c>
      <c r="AI19">
        <v>2</v>
      </c>
      <c r="AJ19">
        <v>1</v>
      </c>
      <c r="AK19">
        <v>6</v>
      </c>
      <c r="AL19" t="s">
        <v>90</v>
      </c>
      <c r="AM19" t="s">
        <v>91</v>
      </c>
      <c r="AN19" t="s">
        <v>92</v>
      </c>
      <c r="AO19" t="s">
        <v>93</v>
      </c>
      <c r="AP19" t="s">
        <v>94</v>
      </c>
      <c r="AQ19" t="s">
        <v>74</v>
      </c>
      <c r="AR19" t="s">
        <v>95</v>
      </c>
      <c r="AS19" t="s">
        <v>96</v>
      </c>
      <c r="AT19" t="s">
        <v>181</v>
      </c>
      <c r="AU19">
        <v>2024</v>
      </c>
      <c r="AV19">
        <v>30</v>
      </c>
      <c r="AW19">
        <v>1</v>
      </c>
      <c r="AX19" t="s">
        <v>74</v>
      </c>
      <c r="AY19" t="s">
        <v>74</v>
      </c>
      <c r="AZ19" t="s">
        <v>74</v>
      </c>
      <c r="BA19" t="s">
        <v>74</v>
      </c>
      <c r="BB19">
        <v>202</v>
      </c>
      <c r="BC19">
        <v>220</v>
      </c>
      <c r="BD19" t="s">
        <v>74</v>
      </c>
      <c r="BE19" t="s">
        <v>448</v>
      </c>
      <c r="BF19" t="str">
        <f>HYPERLINK("http://dx.doi.org/10.1108/JQME-04-2023-0038","http://dx.doi.org/10.1108/JQME-04-2023-0038")</f>
        <v>http://dx.doi.org/10.1108/JQME-04-2023-0038</v>
      </c>
      <c r="BG19" t="s">
        <v>74</v>
      </c>
      <c r="BH19" t="s">
        <v>449</v>
      </c>
      <c r="BI19">
        <v>19</v>
      </c>
      <c r="BJ19" t="s">
        <v>100</v>
      </c>
      <c r="BK19" t="s">
        <v>101</v>
      </c>
      <c r="BL19" t="s">
        <v>102</v>
      </c>
      <c r="BM19" t="s">
        <v>183</v>
      </c>
      <c r="BN19" t="s">
        <v>74</v>
      </c>
      <c r="BO19" t="s">
        <v>74</v>
      </c>
      <c r="BP19" t="s">
        <v>74</v>
      </c>
      <c r="BQ19" t="s">
        <v>74</v>
      </c>
      <c r="BR19" t="s">
        <v>104</v>
      </c>
      <c r="BS19" t="s">
        <v>450</v>
      </c>
      <c r="BT19" t="str">
        <f>HYPERLINK("https%3A%2F%2Fwww.webofscience.com%2Fwos%2Fwoscc%2Ffull-record%2FWOS:001129383200001","View Full Record in Web of Science")</f>
        <v>View Full Record in Web of Science</v>
      </c>
    </row>
    <row r="20" spans="1:72" x14ac:dyDescent="0.25">
      <c r="A20" t="s">
        <v>72</v>
      </c>
      <c r="B20" t="s">
        <v>451</v>
      </c>
      <c r="C20" t="s">
        <v>74</v>
      </c>
      <c r="D20" t="s">
        <v>74</v>
      </c>
      <c r="E20" t="s">
        <v>74</v>
      </c>
      <c r="F20" t="s">
        <v>452</v>
      </c>
      <c r="G20" t="s">
        <v>74</v>
      </c>
      <c r="H20" t="s">
        <v>74</v>
      </c>
      <c r="I20" t="s">
        <v>453</v>
      </c>
      <c r="J20" t="s">
        <v>77</v>
      </c>
      <c r="K20" t="s">
        <v>74</v>
      </c>
      <c r="L20" t="s">
        <v>74</v>
      </c>
      <c r="M20" t="s">
        <v>78</v>
      </c>
      <c r="N20" t="s">
        <v>79</v>
      </c>
      <c r="O20" t="s">
        <v>74</v>
      </c>
      <c r="P20" t="s">
        <v>74</v>
      </c>
      <c r="Q20" t="s">
        <v>74</v>
      </c>
      <c r="R20" t="s">
        <v>74</v>
      </c>
      <c r="S20" t="s">
        <v>74</v>
      </c>
      <c r="T20" t="s">
        <v>454</v>
      </c>
      <c r="U20" t="s">
        <v>455</v>
      </c>
      <c r="V20" t="s">
        <v>456</v>
      </c>
      <c r="W20" t="s">
        <v>457</v>
      </c>
      <c r="X20" t="s">
        <v>458</v>
      </c>
      <c r="Y20" t="s">
        <v>459</v>
      </c>
      <c r="Z20" t="s">
        <v>460</v>
      </c>
      <c r="AA20" t="s">
        <v>461</v>
      </c>
      <c r="AB20" t="s">
        <v>462</v>
      </c>
      <c r="AC20" t="s">
        <v>463</v>
      </c>
      <c r="AD20" t="s">
        <v>463</v>
      </c>
      <c r="AE20" t="s">
        <v>464</v>
      </c>
      <c r="AF20" t="s">
        <v>74</v>
      </c>
      <c r="AG20">
        <v>34</v>
      </c>
      <c r="AH20">
        <v>2</v>
      </c>
      <c r="AI20">
        <v>2</v>
      </c>
      <c r="AJ20">
        <v>1</v>
      </c>
      <c r="AK20">
        <v>5</v>
      </c>
      <c r="AL20" t="s">
        <v>90</v>
      </c>
      <c r="AM20" t="s">
        <v>118</v>
      </c>
      <c r="AN20" t="s">
        <v>119</v>
      </c>
      <c r="AO20" t="s">
        <v>93</v>
      </c>
      <c r="AP20" t="s">
        <v>94</v>
      </c>
      <c r="AQ20" t="s">
        <v>74</v>
      </c>
      <c r="AR20" t="s">
        <v>95</v>
      </c>
      <c r="AS20" t="s">
        <v>96</v>
      </c>
      <c r="AT20" t="s">
        <v>465</v>
      </c>
      <c r="AU20">
        <v>2022</v>
      </c>
      <c r="AV20">
        <v>29</v>
      </c>
      <c r="AW20">
        <v>5</v>
      </c>
      <c r="AX20" t="s">
        <v>74</v>
      </c>
      <c r="AY20" t="s">
        <v>74</v>
      </c>
      <c r="AZ20" t="s">
        <v>74</v>
      </c>
      <c r="BA20" t="s">
        <v>74</v>
      </c>
      <c r="BB20">
        <v>1</v>
      </c>
      <c r="BC20">
        <v>15</v>
      </c>
      <c r="BD20" t="s">
        <v>74</v>
      </c>
      <c r="BE20" t="s">
        <v>466</v>
      </c>
      <c r="BF20" t="str">
        <f>HYPERLINK("http://dx.doi.org/10.1108/JQME-07-2021-0056","http://dx.doi.org/10.1108/JQME-07-2021-0056")</f>
        <v>http://dx.doi.org/10.1108/JQME-07-2021-0056</v>
      </c>
      <c r="BG20" t="s">
        <v>74</v>
      </c>
      <c r="BH20" t="s">
        <v>168</v>
      </c>
      <c r="BI20">
        <v>15</v>
      </c>
      <c r="BJ20" t="s">
        <v>100</v>
      </c>
      <c r="BK20" t="s">
        <v>101</v>
      </c>
      <c r="BL20" t="s">
        <v>102</v>
      </c>
      <c r="BM20" t="s">
        <v>467</v>
      </c>
      <c r="BN20" t="s">
        <v>74</v>
      </c>
      <c r="BO20" t="s">
        <v>123</v>
      </c>
      <c r="BP20" t="s">
        <v>74</v>
      </c>
      <c r="BQ20" t="s">
        <v>74</v>
      </c>
      <c r="BR20" t="s">
        <v>104</v>
      </c>
      <c r="BS20" t="s">
        <v>468</v>
      </c>
      <c r="BT20" t="str">
        <f>HYPERLINK("https%3A%2F%2Fwww.webofscience.com%2Fwos%2Fwoscc%2Ffull-record%2FWOS:000809166300001","View Full Record in Web of Science")</f>
        <v>View Full Record in Web of Science</v>
      </c>
    </row>
    <row r="21" spans="1:72" x14ac:dyDescent="0.25">
      <c r="A21" t="s">
        <v>72</v>
      </c>
      <c r="B21" t="s">
        <v>469</v>
      </c>
      <c r="C21" t="s">
        <v>74</v>
      </c>
      <c r="D21" t="s">
        <v>74</v>
      </c>
      <c r="E21" t="s">
        <v>74</v>
      </c>
      <c r="F21" t="s">
        <v>470</v>
      </c>
      <c r="G21" t="s">
        <v>74</v>
      </c>
      <c r="H21" t="s">
        <v>74</v>
      </c>
      <c r="I21" t="s">
        <v>471</v>
      </c>
      <c r="J21" t="s">
        <v>472</v>
      </c>
      <c r="K21" t="s">
        <v>74</v>
      </c>
      <c r="L21" t="s">
        <v>74</v>
      </c>
      <c r="M21" t="s">
        <v>78</v>
      </c>
      <c r="N21" t="s">
        <v>79</v>
      </c>
      <c r="O21" t="s">
        <v>74</v>
      </c>
      <c r="P21" t="s">
        <v>74</v>
      </c>
      <c r="Q21" t="s">
        <v>74</v>
      </c>
      <c r="R21" t="s">
        <v>74</v>
      </c>
      <c r="S21" t="s">
        <v>74</v>
      </c>
      <c r="T21" t="s">
        <v>473</v>
      </c>
      <c r="U21" t="s">
        <v>474</v>
      </c>
      <c r="V21" t="s">
        <v>475</v>
      </c>
      <c r="W21" t="s">
        <v>476</v>
      </c>
      <c r="X21" t="s">
        <v>477</v>
      </c>
      <c r="Y21" t="s">
        <v>478</v>
      </c>
      <c r="Z21" t="s">
        <v>479</v>
      </c>
      <c r="AA21" t="s">
        <v>74</v>
      </c>
      <c r="AB21" t="s">
        <v>480</v>
      </c>
      <c r="AC21" t="s">
        <v>481</v>
      </c>
      <c r="AD21" t="s">
        <v>482</v>
      </c>
      <c r="AE21" t="s">
        <v>483</v>
      </c>
      <c r="AF21" t="s">
        <v>74</v>
      </c>
      <c r="AG21">
        <v>41</v>
      </c>
      <c r="AH21">
        <v>5</v>
      </c>
      <c r="AI21">
        <v>5</v>
      </c>
      <c r="AJ21">
        <v>11</v>
      </c>
      <c r="AK21">
        <v>15</v>
      </c>
      <c r="AL21" t="s">
        <v>484</v>
      </c>
      <c r="AM21" t="s">
        <v>485</v>
      </c>
      <c r="AN21" t="s">
        <v>486</v>
      </c>
      <c r="AO21" t="s">
        <v>487</v>
      </c>
      <c r="AP21" t="s">
        <v>488</v>
      </c>
      <c r="AQ21" t="s">
        <v>74</v>
      </c>
      <c r="AR21" t="s">
        <v>489</v>
      </c>
      <c r="AS21" t="s">
        <v>490</v>
      </c>
      <c r="AT21" t="s">
        <v>491</v>
      </c>
      <c r="AU21">
        <v>2024</v>
      </c>
      <c r="AV21">
        <v>40</v>
      </c>
      <c r="AW21">
        <v>7</v>
      </c>
      <c r="AX21" t="s">
        <v>74</v>
      </c>
      <c r="AY21" t="s">
        <v>74</v>
      </c>
      <c r="AZ21" t="s">
        <v>74</v>
      </c>
      <c r="BA21" t="s">
        <v>74</v>
      </c>
      <c r="BB21">
        <v>3691</v>
      </c>
      <c r="BC21">
        <v>3708</v>
      </c>
      <c r="BD21" t="s">
        <v>74</v>
      </c>
      <c r="BE21" t="s">
        <v>492</v>
      </c>
      <c r="BF21" t="str">
        <f>HYPERLINK("http://dx.doi.org/10.1002/qre.3613","http://dx.doi.org/10.1002/qre.3613")</f>
        <v>http://dx.doi.org/10.1002/qre.3613</v>
      </c>
      <c r="BG21" t="s">
        <v>74</v>
      </c>
      <c r="BH21" t="s">
        <v>493</v>
      </c>
      <c r="BI21">
        <v>18</v>
      </c>
      <c r="BJ21" t="s">
        <v>494</v>
      </c>
      <c r="BK21" t="s">
        <v>149</v>
      </c>
      <c r="BL21" t="s">
        <v>150</v>
      </c>
      <c r="BM21" t="s">
        <v>495</v>
      </c>
      <c r="BN21" t="s">
        <v>74</v>
      </c>
      <c r="BO21" t="s">
        <v>74</v>
      </c>
      <c r="BP21" t="s">
        <v>74</v>
      </c>
      <c r="BQ21" t="s">
        <v>74</v>
      </c>
      <c r="BR21" t="s">
        <v>104</v>
      </c>
      <c r="BS21" t="s">
        <v>496</v>
      </c>
      <c r="BT21" t="str">
        <f>HYPERLINK("https%3A%2F%2Fwww.webofscience.com%2Fwos%2Fwoscc%2Ffull-record%2FWOS:001262114900001","View Full Record in Web of Science")</f>
        <v>View Full Record in Web of Science</v>
      </c>
    </row>
    <row r="22" spans="1:72" x14ac:dyDescent="0.25">
      <c r="A22" t="s">
        <v>72</v>
      </c>
      <c r="B22" t="s">
        <v>497</v>
      </c>
      <c r="C22" t="s">
        <v>74</v>
      </c>
      <c r="D22" t="s">
        <v>74</v>
      </c>
      <c r="E22" t="s">
        <v>74</v>
      </c>
      <c r="F22" t="s">
        <v>498</v>
      </c>
      <c r="G22" t="s">
        <v>74</v>
      </c>
      <c r="H22" t="s">
        <v>74</v>
      </c>
      <c r="I22" t="s">
        <v>499</v>
      </c>
      <c r="J22" t="s">
        <v>500</v>
      </c>
      <c r="K22" t="s">
        <v>74</v>
      </c>
      <c r="L22" t="s">
        <v>74</v>
      </c>
      <c r="M22" t="s">
        <v>78</v>
      </c>
      <c r="N22" t="s">
        <v>79</v>
      </c>
      <c r="O22" t="s">
        <v>74</v>
      </c>
      <c r="P22" t="s">
        <v>74</v>
      </c>
      <c r="Q22" t="s">
        <v>74</v>
      </c>
      <c r="R22" t="s">
        <v>74</v>
      </c>
      <c r="S22" t="s">
        <v>74</v>
      </c>
      <c r="T22" t="s">
        <v>501</v>
      </c>
      <c r="U22" t="s">
        <v>74</v>
      </c>
      <c r="V22" t="s">
        <v>502</v>
      </c>
      <c r="W22" t="s">
        <v>503</v>
      </c>
      <c r="X22" t="s">
        <v>504</v>
      </c>
      <c r="Y22" t="s">
        <v>505</v>
      </c>
      <c r="Z22" t="s">
        <v>506</v>
      </c>
      <c r="AA22" t="s">
        <v>507</v>
      </c>
      <c r="AB22" t="s">
        <v>508</v>
      </c>
      <c r="AC22" t="s">
        <v>74</v>
      </c>
      <c r="AD22" t="s">
        <v>74</v>
      </c>
      <c r="AE22" t="s">
        <v>74</v>
      </c>
      <c r="AF22" t="s">
        <v>74</v>
      </c>
      <c r="AG22">
        <v>10</v>
      </c>
      <c r="AH22">
        <v>1</v>
      </c>
      <c r="AI22">
        <v>1</v>
      </c>
      <c r="AJ22">
        <v>2</v>
      </c>
      <c r="AK22">
        <v>2</v>
      </c>
      <c r="AL22" t="s">
        <v>509</v>
      </c>
      <c r="AM22" t="s">
        <v>510</v>
      </c>
      <c r="AN22" t="s">
        <v>511</v>
      </c>
      <c r="AO22" t="s">
        <v>512</v>
      </c>
      <c r="AP22" t="s">
        <v>74</v>
      </c>
      <c r="AQ22" t="s">
        <v>74</v>
      </c>
      <c r="AR22" t="s">
        <v>513</v>
      </c>
      <c r="AS22" t="s">
        <v>514</v>
      </c>
      <c r="AT22" t="s">
        <v>145</v>
      </c>
      <c r="AU22">
        <v>2024</v>
      </c>
      <c r="AV22">
        <v>57</v>
      </c>
      <c r="AW22" t="s">
        <v>74</v>
      </c>
      <c r="AX22" t="s">
        <v>74</v>
      </c>
      <c r="AY22" t="s">
        <v>74</v>
      </c>
      <c r="AZ22" t="s">
        <v>74</v>
      </c>
      <c r="BA22" t="s">
        <v>74</v>
      </c>
      <c r="BB22" t="s">
        <v>74</v>
      </c>
      <c r="BC22" t="s">
        <v>74</v>
      </c>
      <c r="BD22">
        <v>110845</v>
      </c>
      <c r="BE22" t="s">
        <v>515</v>
      </c>
      <c r="BF22" t="str">
        <f>HYPERLINK("http://dx.doi.org/10.1016/j.dib.2024.110845","http://dx.doi.org/10.1016/j.dib.2024.110845")</f>
        <v>http://dx.doi.org/10.1016/j.dib.2024.110845</v>
      </c>
      <c r="BG22" t="s">
        <v>74</v>
      </c>
      <c r="BH22" t="s">
        <v>516</v>
      </c>
      <c r="BI22">
        <v>8</v>
      </c>
      <c r="BJ22" t="s">
        <v>517</v>
      </c>
      <c r="BK22" t="s">
        <v>101</v>
      </c>
      <c r="BL22" t="s">
        <v>518</v>
      </c>
      <c r="BM22" t="s">
        <v>519</v>
      </c>
      <c r="BN22">
        <v>39390997</v>
      </c>
      <c r="BO22" t="s">
        <v>520</v>
      </c>
      <c r="BP22" t="s">
        <v>74</v>
      </c>
      <c r="BQ22" t="s">
        <v>74</v>
      </c>
      <c r="BR22" t="s">
        <v>104</v>
      </c>
      <c r="BS22" t="s">
        <v>521</v>
      </c>
      <c r="BT22" t="str">
        <f>HYPERLINK("https%3A%2F%2Fwww.webofscience.com%2Fwos%2Fwoscc%2Ffull-record%2FWOS:001324454200001","View Full Record in Web of Science")</f>
        <v>View Full Record in Web of Science</v>
      </c>
    </row>
    <row r="23" spans="1:72" x14ac:dyDescent="0.25">
      <c r="A23" t="s">
        <v>72</v>
      </c>
      <c r="B23" t="s">
        <v>522</v>
      </c>
      <c r="C23" t="s">
        <v>74</v>
      </c>
      <c r="D23" t="s">
        <v>74</v>
      </c>
      <c r="E23" t="s">
        <v>74</v>
      </c>
      <c r="F23" t="s">
        <v>523</v>
      </c>
      <c r="G23" t="s">
        <v>74</v>
      </c>
      <c r="H23" t="s">
        <v>74</v>
      </c>
      <c r="I23" t="s">
        <v>524</v>
      </c>
      <c r="J23" t="s">
        <v>128</v>
      </c>
      <c r="K23" t="s">
        <v>74</v>
      </c>
      <c r="L23" t="s">
        <v>74</v>
      </c>
      <c r="M23" t="s">
        <v>78</v>
      </c>
      <c r="N23" t="s">
        <v>79</v>
      </c>
      <c r="O23" t="s">
        <v>74</v>
      </c>
      <c r="P23" t="s">
        <v>74</v>
      </c>
      <c r="Q23" t="s">
        <v>74</v>
      </c>
      <c r="R23" t="s">
        <v>74</v>
      </c>
      <c r="S23" t="s">
        <v>74</v>
      </c>
      <c r="T23" t="s">
        <v>525</v>
      </c>
      <c r="U23" t="s">
        <v>526</v>
      </c>
      <c r="V23" t="s">
        <v>527</v>
      </c>
      <c r="W23" t="s">
        <v>528</v>
      </c>
      <c r="X23" t="s">
        <v>529</v>
      </c>
      <c r="Y23" t="s">
        <v>530</v>
      </c>
      <c r="Z23" t="s">
        <v>531</v>
      </c>
      <c r="AA23" t="s">
        <v>532</v>
      </c>
      <c r="AB23" t="s">
        <v>74</v>
      </c>
      <c r="AC23" t="s">
        <v>74</v>
      </c>
      <c r="AD23" t="s">
        <v>74</v>
      </c>
      <c r="AE23" t="s">
        <v>74</v>
      </c>
      <c r="AF23" t="s">
        <v>74</v>
      </c>
      <c r="AG23">
        <v>30</v>
      </c>
      <c r="AH23">
        <v>12</v>
      </c>
      <c r="AI23">
        <v>12</v>
      </c>
      <c r="AJ23">
        <v>3</v>
      </c>
      <c r="AK23">
        <v>17</v>
      </c>
      <c r="AL23" t="s">
        <v>138</v>
      </c>
      <c r="AM23" t="s">
        <v>139</v>
      </c>
      <c r="AN23" t="s">
        <v>140</v>
      </c>
      <c r="AO23" t="s">
        <v>141</v>
      </c>
      <c r="AP23" t="s">
        <v>142</v>
      </c>
      <c r="AQ23" t="s">
        <v>74</v>
      </c>
      <c r="AR23" t="s">
        <v>143</v>
      </c>
      <c r="AS23" t="s">
        <v>144</v>
      </c>
      <c r="AT23" t="s">
        <v>533</v>
      </c>
      <c r="AU23">
        <v>2022</v>
      </c>
      <c r="AV23">
        <v>218</v>
      </c>
      <c r="AW23" t="s">
        <v>74</v>
      </c>
      <c r="AX23" t="s">
        <v>534</v>
      </c>
      <c r="AY23" t="s">
        <v>74</v>
      </c>
      <c r="AZ23" t="s">
        <v>74</v>
      </c>
      <c r="BA23" t="s">
        <v>74</v>
      </c>
      <c r="BB23" t="s">
        <v>74</v>
      </c>
      <c r="BC23" t="s">
        <v>74</v>
      </c>
      <c r="BD23">
        <v>108148</v>
      </c>
      <c r="BE23" t="s">
        <v>535</v>
      </c>
      <c r="BF23" t="str">
        <f>HYPERLINK("http://dx.doi.org/10.1016/j.ress.2021.108148","http://dx.doi.org/10.1016/j.ress.2021.108148")</f>
        <v>http://dx.doi.org/10.1016/j.ress.2021.108148</v>
      </c>
      <c r="BG23" t="s">
        <v>74</v>
      </c>
      <c r="BH23" t="s">
        <v>536</v>
      </c>
      <c r="BI23">
        <v>12</v>
      </c>
      <c r="BJ23" t="s">
        <v>148</v>
      </c>
      <c r="BK23" t="s">
        <v>149</v>
      </c>
      <c r="BL23" t="s">
        <v>150</v>
      </c>
      <c r="BM23" t="s">
        <v>537</v>
      </c>
      <c r="BN23" t="s">
        <v>74</v>
      </c>
      <c r="BO23" t="s">
        <v>74</v>
      </c>
      <c r="BP23" t="s">
        <v>74</v>
      </c>
      <c r="BQ23" t="s">
        <v>74</v>
      </c>
      <c r="BR23" t="s">
        <v>104</v>
      </c>
      <c r="BS23" t="s">
        <v>538</v>
      </c>
      <c r="BT23" t="str">
        <f>HYPERLINK("https%3A%2F%2Fwww.webofscience.com%2Fwos%2Fwoscc%2Ffull-record%2FWOS:000728599800002","View Full Record in Web of Science")</f>
        <v>View Full Record in Web of Science</v>
      </c>
    </row>
    <row r="24" spans="1:72" x14ac:dyDescent="0.25">
      <c r="A24" t="s">
        <v>72</v>
      </c>
      <c r="B24" t="s">
        <v>539</v>
      </c>
      <c r="C24" t="s">
        <v>74</v>
      </c>
      <c r="D24" t="s">
        <v>74</v>
      </c>
      <c r="E24" t="s">
        <v>74</v>
      </c>
      <c r="F24" t="s">
        <v>540</v>
      </c>
      <c r="G24" t="s">
        <v>74</v>
      </c>
      <c r="H24" t="s">
        <v>74</v>
      </c>
      <c r="I24" t="s">
        <v>541</v>
      </c>
      <c r="J24" t="s">
        <v>542</v>
      </c>
      <c r="K24" t="s">
        <v>74</v>
      </c>
      <c r="L24" t="s">
        <v>74</v>
      </c>
      <c r="M24" t="s">
        <v>78</v>
      </c>
      <c r="N24" t="s">
        <v>79</v>
      </c>
      <c r="O24" t="s">
        <v>74</v>
      </c>
      <c r="P24" t="s">
        <v>74</v>
      </c>
      <c r="Q24" t="s">
        <v>74</v>
      </c>
      <c r="R24" t="s">
        <v>74</v>
      </c>
      <c r="S24" t="s">
        <v>74</v>
      </c>
      <c r="T24" t="s">
        <v>543</v>
      </c>
      <c r="U24" t="s">
        <v>74</v>
      </c>
      <c r="V24" t="s">
        <v>544</v>
      </c>
      <c r="W24" t="s">
        <v>545</v>
      </c>
      <c r="X24" t="s">
        <v>546</v>
      </c>
      <c r="Y24" t="s">
        <v>547</v>
      </c>
      <c r="Z24" t="s">
        <v>548</v>
      </c>
      <c r="AA24" t="s">
        <v>74</v>
      </c>
      <c r="AB24" t="s">
        <v>74</v>
      </c>
      <c r="AC24" t="s">
        <v>549</v>
      </c>
      <c r="AD24" t="s">
        <v>550</v>
      </c>
      <c r="AE24" t="s">
        <v>551</v>
      </c>
      <c r="AF24" t="s">
        <v>74</v>
      </c>
      <c r="AG24">
        <v>23</v>
      </c>
      <c r="AH24">
        <v>3</v>
      </c>
      <c r="AI24">
        <v>3</v>
      </c>
      <c r="AJ24">
        <v>7</v>
      </c>
      <c r="AK24">
        <v>36</v>
      </c>
      <c r="AL24" t="s">
        <v>552</v>
      </c>
      <c r="AM24" t="s">
        <v>553</v>
      </c>
      <c r="AN24" t="s">
        <v>554</v>
      </c>
      <c r="AO24" t="s">
        <v>555</v>
      </c>
      <c r="AP24" t="s">
        <v>556</v>
      </c>
      <c r="AQ24" t="s">
        <v>74</v>
      </c>
      <c r="AR24" t="s">
        <v>557</v>
      </c>
      <c r="AS24" t="s">
        <v>558</v>
      </c>
      <c r="AT24" t="s">
        <v>559</v>
      </c>
      <c r="AU24">
        <v>2023</v>
      </c>
      <c r="AV24">
        <v>237</v>
      </c>
      <c r="AW24">
        <v>3</v>
      </c>
      <c r="AX24" t="s">
        <v>74</v>
      </c>
      <c r="AY24" t="s">
        <v>74</v>
      </c>
      <c r="AZ24" t="s">
        <v>560</v>
      </c>
      <c r="BA24" t="s">
        <v>74</v>
      </c>
      <c r="BB24">
        <v>604</v>
      </c>
      <c r="BC24">
        <v>616</v>
      </c>
      <c r="BD24" t="s">
        <v>561</v>
      </c>
      <c r="BE24" t="s">
        <v>562</v>
      </c>
      <c r="BF24" t="str">
        <f>HYPERLINK("http://dx.doi.org/10.1177/1748006X221099767","http://dx.doi.org/10.1177/1748006X221099767")</f>
        <v>http://dx.doi.org/10.1177/1748006X221099767</v>
      </c>
      <c r="BG24" t="s">
        <v>74</v>
      </c>
      <c r="BH24" t="s">
        <v>168</v>
      </c>
      <c r="BI24">
        <v>13</v>
      </c>
      <c r="BJ24" t="s">
        <v>494</v>
      </c>
      <c r="BK24" t="s">
        <v>149</v>
      </c>
      <c r="BL24" t="s">
        <v>150</v>
      </c>
      <c r="BM24" t="s">
        <v>563</v>
      </c>
      <c r="BN24" t="s">
        <v>74</v>
      </c>
      <c r="BO24" t="s">
        <v>74</v>
      </c>
      <c r="BP24" t="s">
        <v>74</v>
      </c>
      <c r="BQ24" t="s">
        <v>74</v>
      </c>
      <c r="BR24" t="s">
        <v>104</v>
      </c>
      <c r="BS24" t="s">
        <v>564</v>
      </c>
      <c r="BT24" t="str">
        <f>HYPERLINK("https%3A%2F%2Fwww.webofscience.com%2Fwos%2Fwoscc%2Ffull-record%2FWOS:000810980100001","View Full Record in Web of Science")</f>
        <v>View Full Record in Web of Science</v>
      </c>
    </row>
    <row r="25" spans="1:72" x14ac:dyDescent="0.25">
      <c r="A25" t="s">
        <v>72</v>
      </c>
      <c r="B25" t="s">
        <v>565</v>
      </c>
      <c r="C25" t="s">
        <v>74</v>
      </c>
      <c r="D25" t="s">
        <v>74</v>
      </c>
      <c r="E25" t="s">
        <v>74</v>
      </c>
      <c r="F25" t="s">
        <v>566</v>
      </c>
      <c r="G25" t="s">
        <v>74</v>
      </c>
      <c r="H25" t="s">
        <v>74</v>
      </c>
      <c r="I25" t="s">
        <v>567</v>
      </c>
      <c r="J25" t="s">
        <v>77</v>
      </c>
      <c r="K25" t="s">
        <v>74</v>
      </c>
      <c r="L25" t="s">
        <v>74</v>
      </c>
      <c r="M25" t="s">
        <v>78</v>
      </c>
      <c r="N25" t="s">
        <v>79</v>
      </c>
      <c r="O25" t="s">
        <v>74</v>
      </c>
      <c r="P25" t="s">
        <v>74</v>
      </c>
      <c r="Q25" t="s">
        <v>74</v>
      </c>
      <c r="R25" t="s">
        <v>74</v>
      </c>
      <c r="S25" t="s">
        <v>74</v>
      </c>
      <c r="T25" t="s">
        <v>568</v>
      </c>
      <c r="U25" t="s">
        <v>569</v>
      </c>
      <c r="V25" t="s">
        <v>570</v>
      </c>
      <c r="W25" t="s">
        <v>571</v>
      </c>
      <c r="X25" t="s">
        <v>572</v>
      </c>
      <c r="Y25" t="s">
        <v>573</v>
      </c>
      <c r="Z25" t="s">
        <v>574</v>
      </c>
      <c r="AA25" t="s">
        <v>575</v>
      </c>
      <c r="AB25" t="s">
        <v>576</v>
      </c>
      <c r="AC25" t="s">
        <v>577</v>
      </c>
      <c r="AD25" t="s">
        <v>74</v>
      </c>
      <c r="AE25" t="s">
        <v>578</v>
      </c>
      <c r="AF25" t="s">
        <v>74</v>
      </c>
      <c r="AG25">
        <v>69</v>
      </c>
      <c r="AH25">
        <v>3</v>
      </c>
      <c r="AI25">
        <v>3</v>
      </c>
      <c r="AJ25">
        <v>2</v>
      </c>
      <c r="AK25">
        <v>15</v>
      </c>
      <c r="AL25" t="s">
        <v>90</v>
      </c>
      <c r="AM25" t="s">
        <v>118</v>
      </c>
      <c r="AN25" t="s">
        <v>119</v>
      </c>
      <c r="AO25" t="s">
        <v>93</v>
      </c>
      <c r="AP25" t="s">
        <v>94</v>
      </c>
      <c r="AQ25" t="s">
        <v>74</v>
      </c>
      <c r="AR25" t="s">
        <v>95</v>
      </c>
      <c r="AS25" t="s">
        <v>96</v>
      </c>
      <c r="AT25" t="s">
        <v>579</v>
      </c>
      <c r="AU25">
        <v>2023</v>
      </c>
      <c r="AV25">
        <v>29</v>
      </c>
      <c r="AW25">
        <v>2</v>
      </c>
      <c r="AX25" t="s">
        <v>74</v>
      </c>
      <c r="AY25" t="s">
        <v>74</v>
      </c>
      <c r="AZ25" t="s">
        <v>74</v>
      </c>
      <c r="BA25" t="s">
        <v>74</v>
      </c>
      <c r="BB25">
        <v>509</v>
      </c>
      <c r="BC25">
        <v>529</v>
      </c>
      <c r="BD25" t="s">
        <v>74</v>
      </c>
      <c r="BE25" t="s">
        <v>580</v>
      </c>
      <c r="BF25" t="str">
        <f>HYPERLINK("http://dx.doi.org/10.1108/JQME-10-2021-0077","http://dx.doi.org/10.1108/JQME-10-2021-0077")</f>
        <v>http://dx.doi.org/10.1108/JQME-10-2021-0077</v>
      </c>
      <c r="BG25" t="s">
        <v>74</v>
      </c>
      <c r="BH25" t="s">
        <v>581</v>
      </c>
      <c r="BI25">
        <v>21</v>
      </c>
      <c r="BJ25" t="s">
        <v>100</v>
      </c>
      <c r="BK25" t="s">
        <v>101</v>
      </c>
      <c r="BL25" t="s">
        <v>102</v>
      </c>
      <c r="BM25" t="s">
        <v>582</v>
      </c>
      <c r="BN25" t="s">
        <v>74</v>
      </c>
      <c r="BO25" t="s">
        <v>74</v>
      </c>
      <c r="BP25" t="s">
        <v>74</v>
      </c>
      <c r="BQ25" t="s">
        <v>74</v>
      </c>
      <c r="BR25" t="s">
        <v>104</v>
      </c>
      <c r="BS25" t="s">
        <v>583</v>
      </c>
      <c r="BT25" t="str">
        <f>HYPERLINK("https%3A%2F%2Fwww.webofscience.com%2Fwos%2Fwoscc%2Ffull-record%2FWOS:000799886800001","View Full Record in Web of Science")</f>
        <v>View Full Record in Web of Science</v>
      </c>
    </row>
    <row r="26" spans="1:72" x14ac:dyDescent="0.25">
      <c r="A26" t="s">
        <v>72</v>
      </c>
      <c r="B26" t="s">
        <v>584</v>
      </c>
      <c r="C26" t="s">
        <v>74</v>
      </c>
      <c r="D26" t="s">
        <v>74</v>
      </c>
      <c r="E26" t="s">
        <v>74</v>
      </c>
      <c r="F26" t="s">
        <v>585</v>
      </c>
      <c r="G26" t="s">
        <v>74</v>
      </c>
      <c r="H26" t="s">
        <v>74</v>
      </c>
      <c r="I26" t="s">
        <v>586</v>
      </c>
      <c r="J26" t="s">
        <v>77</v>
      </c>
      <c r="K26" t="s">
        <v>74</v>
      </c>
      <c r="L26" t="s">
        <v>74</v>
      </c>
      <c r="M26" t="s">
        <v>78</v>
      </c>
      <c r="N26" t="s">
        <v>79</v>
      </c>
      <c r="O26" t="s">
        <v>74</v>
      </c>
      <c r="P26" t="s">
        <v>74</v>
      </c>
      <c r="Q26" t="s">
        <v>74</v>
      </c>
      <c r="R26" t="s">
        <v>74</v>
      </c>
      <c r="S26" t="s">
        <v>74</v>
      </c>
      <c r="T26" t="s">
        <v>587</v>
      </c>
      <c r="U26" t="s">
        <v>588</v>
      </c>
      <c r="V26" t="s">
        <v>589</v>
      </c>
      <c r="W26" t="s">
        <v>590</v>
      </c>
      <c r="X26" t="s">
        <v>591</v>
      </c>
      <c r="Y26" t="s">
        <v>592</v>
      </c>
      <c r="Z26" t="s">
        <v>593</v>
      </c>
      <c r="AA26" t="s">
        <v>74</v>
      </c>
      <c r="AB26" t="s">
        <v>594</v>
      </c>
      <c r="AC26" t="s">
        <v>74</v>
      </c>
      <c r="AD26" t="s">
        <v>74</v>
      </c>
      <c r="AE26" t="s">
        <v>74</v>
      </c>
      <c r="AF26" t="s">
        <v>74</v>
      </c>
      <c r="AG26">
        <v>75</v>
      </c>
      <c r="AH26">
        <v>12</v>
      </c>
      <c r="AI26">
        <v>13</v>
      </c>
      <c r="AJ26">
        <v>2</v>
      </c>
      <c r="AK26">
        <v>23</v>
      </c>
      <c r="AL26" t="s">
        <v>90</v>
      </c>
      <c r="AM26" t="s">
        <v>118</v>
      </c>
      <c r="AN26" t="s">
        <v>119</v>
      </c>
      <c r="AO26" t="s">
        <v>93</v>
      </c>
      <c r="AP26" t="s">
        <v>94</v>
      </c>
      <c r="AQ26" t="s">
        <v>74</v>
      </c>
      <c r="AR26" t="s">
        <v>95</v>
      </c>
      <c r="AS26" t="s">
        <v>96</v>
      </c>
      <c r="AT26" t="s">
        <v>595</v>
      </c>
      <c r="AU26">
        <v>2021</v>
      </c>
      <c r="AV26">
        <v>27</v>
      </c>
      <c r="AW26">
        <v>2</v>
      </c>
      <c r="AX26" t="s">
        <v>74</v>
      </c>
      <c r="AY26" t="s">
        <v>74</v>
      </c>
      <c r="AZ26" t="s">
        <v>74</v>
      </c>
      <c r="BA26" t="s">
        <v>74</v>
      </c>
      <c r="BB26">
        <v>430</v>
      </c>
      <c r="BC26">
        <v>450</v>
      </c>
      <c r="BD26" t="s">
        <v>74</v>
      </c>
      <c r="BE26" t="s">
        <v>596</v>
      </c>
      <c r="BF26" t="str">
        <f>HYPERLINK("http://dx.doi.org/10.1108/JQME-09-2019-0089","http://dx.doi.org/10.1108/JQME-09-2019-0089")</f>
        <v>http://dx.doi.org/10.1108/JQME-09-2019-0089</v>
      </c>
      <c r="BG26" t="s">
        <v>74</v>
      </c>
      <c r="BH26" t="s">
        <v>597</v>
      </c>
      <c r="BI26">
        <v>21</v>
      </c>
      <c r="BJ26" t="s">
        <v>100</v>
      </c>
      <c r="BK26" t="s">
        <v>101</v>
      </c>
      <c r="BL26" t="s">
        <v>102</v>
      </c>
      <c r="BM26" t="s">
        <v>598</v>
      </c>
      <c r="BN26" t="s">
        <v>74</v>
      </c>
      <c r="BO26" t="s">
        <v>74</v>
      </c>
      <c r="BP26" t="s">
        <v>74</v>
      </c>
      <c r="BQ26" t="s">
        <v>74</v>
      </c>
      <c r="BR26" t="s">
        <v>104</v>
      </c>
      <c r="BS26" t="s">
        <v>599</v>
      </c>
      <c r="BT26" t="str">
        <f>HYPERLINK("https%3A%2F%2Fwww.webofscience.com%2Fwos%2Fwoscc%2Ffull-record%2FWOS:000528887400001","View Full Record in Web of Science")</f>
        <v>View Full Record in Web of Science</v>
      </c>
    </row>
    <row r="27" spans="1:72" x14ac:dyDescent="0.25">
      <c r="A27" t="s">
        <v>72</v>
      </c>
      <c r="B27" t="s">
        <v>600</v>
      </c>
      <c r="C27" t="s">
        <v>74</v>
      </c>
      <c r="D27" t="s">
        <v>74</v>
      </c>
      <c r="E27" t="s">
        <v>74</v>
      </c>
      <c r="F27" t="s">
        <v>601</v>
      </c>
      <c r="G27" t="s">
        <v>74</v>
      </c>
      <c r="H27" t="s">
        <v>74</v>
      </c>
      <c r="I27" t="s">
        <v>602</v>
      </c>
      <c r="J27" t="s">
        <v>603</v>
      </c>
      <c r="K27" t="s">
        <v>74</v>
      </c>
      <c r="L27" t="s">
        <v>74</v>
      </c>
      <c r="M27" t="s">
        <v>78</v>
      </c>
      <c r="N27" t="s">
        <v>79</v>
      </c>
      <c r="O27" t="s">
        <v>74</v>
      </c>
      <c r="P27" t="s">
        <v>74</v>
      </c>
      <c r="Q27" t="s">
        <v>74</v>
      </c>
      <c r="R27" t="s">
        <v>74</v>
      </c>
      <c r="S27" t="s">
        <v>74</v>
      </c>
      <c r="T27" t="s">
        <v>604</v>
      </c>
      <c r="U27" t="s">
        <v>605</v>
      </c>
      <c r="V27" t="s">
        <v>606</v>
      </c>
      <c r="W27" t="s">
        <v>607</v>
      </c>
      <c r="X27" t="s">
        <v>608</v>
      </c>
      <c r="Y27" t="s">
        <v>609</v>
      </c>
      <c r="Z27" t="s">
        <v>610</v>
      </c>
      <c r="AA27" t="s">
        <v>611</v>
      </c>
      <c r="AB27" t="s">
        <v>612</v>
      </c>
      <c r="AC27" t="s">
        <v>74</v>
      </c>
      <c r="AD27" t="s">
        <v>74</v>
      </c>
      <c r="AE27" t="s">
        <v>74</v>
      </c>
      <c r="AF27" t="s">
        <v>74</v>
      </c>
      <c r="AG27">
        <v>21</v>
      </c>
      <c r="AH27">
        <v>0</v>
      </c>
      <c r="AI27">
        <v>0</v>
      </c>
      <c r="AJ27">
        <v>1</v>
      </c>
      <c r="AK27">
        <v>1</v>
      </c>
      <c r="AL27" t="s">
        <v>613</v>
      </c>
      <c r="AM27" t="s">
        <v>614</v>
      </c>
      <c r="AN27" t="s">
        <v>615</v>
      </c>
      <c r="AO27" t="s">
        <v>616</v>
      </c>
      <c r="AP27" t="s">
        <v>617</v>
      </c>
      <c r="AQ27" t="s">
        <v>74</v>
      </c>
      <c r="AR27" t="s">
        <v>618</v>
      </c>
      <c r="AS27" t="s">
        <v>619</v>
      </c>
      <c r="AT27" t="s">
        <v>145</v>
      </c>
      <c r="AU27">
        <v>2023</v>
      </c>
      <c r="AV27">
        <v>22</v>
      </c>
      <c r="AW27">
        <v>4</v>
      </c>
      <c r="AX27" t="s">
        <v>74</v>
      </c>
      <c r="AY27" t="s">
        <v>74</v>
      </c>
      <c r="AZ27" t="s">
        <v>74</v>
      </c>
      <c r="BA27" t="s">
        <v>74</v>
      </c>
      <c r="BB27">
        <v>363</v>
      </c>
      <c r="BC27">
        <v>378</v>
      </c>
      <c r="BD27" t="s">
        <v>74</v>
      </c>
      <c r="BE27" t="s">
        <v>620</v>
      </c>
      <c r="BF27" t="str">
        <f>HYPERLINK("http://dx.doi.org/10.7232/iems.2023.22.4.363","http://dx.doi.org/10.7232/iems.2023.22.4.363")</f>
        <v>http://dx.doi.org/10.7232/iems.2023.22.4.363</v>
      </c>
      <c r="BG27" t="s">
        <v>74</v>
      </c>
      <c r="BH27" t="s">
        <v>74</v>
      </c>
      <c r="BI27">
        <v>16</v>
      </c>
      <c r="BJ27" t="s">
        <v>100</v>
      </c>
      <c r="BK27" t="s">
        <v>101</v>
      </c>
      <c r="BL27" t="s">
        <v>102</v>
      </c>
      <c r="BM27" t="s">
        <v>621</v>
      </c>
      <c r="BN27" t="s">
        <v>74</v>
      </c>
      <c r="BO27" t="s">
        <v>74</v>
      </c>
      <c r="BP27" t="s">
        <v>74</v>
      </c>
      <c r="BQ27" t="s">
        <v>74</v>
      </c>
      <c r="BR27" t="s">
        <v>104</v>
      </c>
      <c r="BS27" t="s">
        <v>622</v>
      </c>
      <c r="BT27" t="str">
        <f>HYPERLINK("https%3A%2F%2Fwww.webofscience.com%2Fwos%2Fwoscc%2Ffull-record%2FWOS:001167610600001","View Full Record in Web of Science")</f>
        <v>View Full Record in Web of Science</v>
      </c>
    </row>
    <row r="28" spans="1:72" x14ac:dyDescent="0.25">
      <c r="A28" t="s">
        <v>72</v>
      </c>
      <c r="B28" t="s">
        <v>623</v>
      </c>
      <c r="C28" t="s">
        <v>74</v>
      </c>
      <c r="D28" t="s">
        <v>74</v>
      </c>
      <c r="E28" t="s">
        <v>74</v>
      </c>
      <c r="F28" t="s">
        <v>624</v>
      </c>
      <c r="G28" t="s">
        <v>74</v>
      </c>
      <c r="H28" t="s">
        <v>74</v>
      </c>
      <c r="I28" t="s">
        <v>625</v>
      </c>
      <c r="J28" t="s">
        <v>128</v>
      </c>
      <c r="K28" t="s">
        <v>74</v>
      </c>
      <c r="L28" t="s">
        <v>74</v>
      </c>
      <c r="M28" t="s">
        <v>78</v>
      </c>
      <c r="N28" t="s">
        <v>79</v>
      </c>
      <c r="O28" t="s">
        <v>74</v>
      </c>
      <c r="P28" t="s">
        <v>74</v>
      </c>
      <c r="Q28" t="s">
        <v>74</v>
      </c>
      <c r="R28" t="s">
        <v>74</v>
      </c>
      <c r="S28" t="s">
        <v>74</v>
      </c>
      <c r="T28" t="s">
        <v>626</v>
      </c>
      <c r="U28" t="s">
        <v>627</v>
      </c>
      <c r="V28" t="s">
        <v>628</v>
      </c>
      <c r="W28" t="s">
        <v>629</v>
      </c>
      <c r="X28" t="s">
        <v>630</v>
      </c>
      <c r="Y28" t="s">
        <v>631</v>
      </c>
      <c r="Z28" t="s">
        <v>632</v>
      </c>
      <c r="AA28" t="s">
        <v>633</v>
      </c>
      <c r="AB28" t="s">
        <v>634</v>
      </c>
      <c r="AC28" t="s">
        <v>635</v>
      </c>
      <c r="AD28" t="s">
        <v>636</v>
      </c>
      <c r="AE28" t="s">
        <v>637</v>
      </c>
      <c r="AF28" t="s">
        <v>74</v>
      </c>
      <c r="AG28">
        <v>62</v>
      </c>
      <c r="AH28">
        <v>40</v>
      </c>
      <c r="AI28">
        <v>40</v>
      </c>
      <c r="AJ28">
        <v>4</v>
      </c>
      <c r="AK28">
        <v>36</v>
      </c>
      <c r="AL28" t="s">
        <v>138</v>
      </c>
      <c r="AM28" t="s">
        <v>246</v>
      </c>
      <c r="AN28" t="s">
        <v>247</v>
      </c>
      <c r="AO28" t="s">
        <v>141</v>
      </c>
      <c r="AP28" t="s">
        <v>142</v>
      </c>
      <c r="AQ28" t="s">
        <v>74</v>
      </c>
      <c r="AR28" t="s">
        <v>143</v>
      </c>
      <c r="AS28" t="s">
        <v>144</v>
      </c>
      <c r="AT28" t="s">
        <v>559</v>
      </c>
      <c r="AU28">
        <v>2021</v>
      </c>
      <c r="AV28">
        <v>210</v>
      </c>
      <c r="AW28" t="s">
        <v>74</v>
      </c>
      <c r="AX28" t="s">
        <v>74</v>
      </c>
      <c r="AY28" t="s">
        <v>74</v>
      </c>
      <c r="AZ28" t="s">
        <v>74</v>
      </c>
      <c r="BA28" t="s">
        <v>74</v>
      </c>
      <c r="BB28" t="s">
        <v>74</v>
      </c>
      <c r="BC28" t="s">
        <v>74</v>
      </c>
      <c r="BD28">
        <v>107536</v>
      </c>
      <c r="BE28" t="s">
        <v>638</v>
      </c>
      <c r="BF28" t="str">
        <f>HYPERLINK("http://dx.doi.org/10.1016/j.ress.2021.107536","http://dx.doi.org/10.1016/j.ress.2021.107536")</f>
        <v>http://dx.doi.org/10.1016/j.ress.2021.107536</v>
      </c>
      <c r="BG28" t="s">
        <v>74</v>
      </c>
      <c r="BH28" t="s">
        <v>639</v>
      </c>
      <c r="BI28">
        <v>10</v>
      </c>
      <c r="BJ28" t="s">
        <v>148</v>
      </c>
      <c r="BK28" t="s">
        <v>149</v>
      </c>
      <c r="BL28" t="s">
        <v>150</v>
      </c>
      <c r="BM28" t="s">
        <v>640</v>
      </c>
      <c r="BN28" t="s">
        <v>74</v>
      </c>
      <c r="BO28" t="s">
        <v>641</v>
      </c>
      <c r="BP28" t="s">
        <v>74</v>
      </c>
      <c r="BQ28" t="s">
        <v>74</v>
      </c>
      <c r="BR28" t="s">
        <v>104</v>
      </c>
      <c r="BS28" t="s">
        <v>642</v>
      </c>
      <c r="BT28" t="str">
        <f>HYPERLINK("https%3A%2F%2Fwww.webofscience.com%2Fwos%2Fwoscc%2Ffull-record%2FWOS:000663909400036","View Full Record in Web of Science")</f>
        <v>View Full Record in Web of Science</v>
      </c>
    </row>
    <row r="29" spans="1:72" x14ac:dyDescent="0.25">
      <c r="A29" t="s">
        <v>72</v>
      </c>
      <c r="B29" t="s">
        <v>643</v>
      </c>
      <c r="C29" t="s">
        <v>74</v>
      </c>
      <c r="D29" t="s">
        <v>74</v>
      </c>
      <c r="E29" t="s">
        <v>74</v>
      </c>
      <c r="F29" t="s">
        <v>644</v>
      </c>
      <c r="G29" t="s">
        <v>74</v>
      </c>
      <c r="H29" t="s">
        <v>74</v>
      </c>
      <c r="I29" t="s">
        <v>645</v>
      </c>
      <c r="J29" t="s">
        <v>472</v>
      </c>
      <c r="K29" t="s">
        <v>74</v>
      </c>
      <c r="L29" t="s">
        <v>74</v>
      </c>
      <c r="M29" t="s">
        <v>78</v>
      </c>
      <c r="N29" t="s">
        <v>79</v>
      </c>
      <c r="O29" t="s">
        <v>74</v>
      </c>
      <c r="P29" t="s">
        <v>74</v>
      </c>
      <c r="Q29" t="s">
        <v>74</v>
      </c>
      <c r="R29" t="s">
        <v>74</v>
      </c>
      <c r="S29" t="s">
        <v>74</v>
      </c>
      <c r="T29" t="s">
        <v>646</v>
      </c>
      <c r="U29" t="s">
        <v>647</v>
      </c>
      <c r="V29" t="s">
        <v>648</v>
      </c>
      <c r="W29" t="s">
        <v>649</v>
      </c>
      <c r="X29" t="s">
        <v>650</v>
      </c>
      <c r="Y29" t="s">
        <v>651</v>
      </c>
      <c r="Z29" t="s">
        <v>652</v>
      </c>
      <c r="AA29" t="s">
        <v>653</v>
      </c>
      <c r="AB29" t="s">
        <v>74</v>
      </c>
      <c r="AC29" t="s">
        <v>654</v>
      </c>
      <c r="AD29" t="s">
        <v>655</v>
      </c>
      <c r="AE29" t="s">
        <v>656</v>
      </c>
      <c r="AF29" t="s">
        <v>74</v>
      </c>
      <c r="AG29">
        <v>47</v>
      </c>
      <c r="AH29">
        <v>7</v>
      </c>
      <c r="AI29">
        <v>7</v>
      </c>
      <c r="AJ29">
        <v>13</v>
      </c>
      <c r="AK29">
        <v>78</v>
      </c>
      <c r="AL29" t="s">
        <v>484</v>
      </c>
      <c r="AM29" t="s">
        <v>485</v>
      </c>
      <c r="AN29" t="s">
        <v>486</v>
      </c>
      <c r="AO29" t="s">
        <v>487</v>
      </c>
      <c r="AP29" t="s">
        <v>488</v>
      </c>
      <c r="AQ29" t="s">
        <v>74</v>
      </c>
      <c r="AR29" t="s">
        <v>489</v>
      </c>
      <c r="AS29" t="s">
        <v>490</v>
      </c>
      <c r="AT29" t="s">
        <v>248</v>
      </c>
      <c r="AU29">
        <v>2023</v>
      </c>
      <c r="AV29">
        <v>39</v>
      </c>
      <c r="AW29">
        <v>5</v>
      </c>
      <c r="AX29" t="s">
        <v>74</v>
      </c>
      <c r="AY29" t="s">
        <v>74</v>
      </c>
      <c r="AZ29" t="s">
        <v>560</v>
      </c>
      <c r="BA29" t="s">
        <v>74</v>
      </c>
      <c r="BB29">
        <v>1548</v>
      </c>
      <c r="BC29">
        <v>1558</v>
      </c>
      <c r="BD29" t="s">
        <v>74</v>
      </c>
      <c r="BE29" t="s">
        <v>657</v>
      </c>
      <c r="BF29" t="str">
        <f>HYPERLINK("http://dx.doi.org/10.1002/qre.3192","http://dx.doi.org/10.1002/qre.3192")</f>
        <v>http://dx.doi.org/10.1002/qre.3192</v>
      </c>
      <c r="BG29" t="s">
        <v>74</v>
      </c>
      <c r="BH29" t="s">
        <v>658</v>
      </c>
      <c r="BI29">
        <v>11</v>
      </c>
      <c r="BJ29" t="s">
        <v>494</v>
      </c>
      <c r="BK29" t="s">
        <v>149</v>
      </c>
      <c r="BL29" t="s">
        <v>150</v>
      </c>
      <c r="BM29" t="s">
        <v>659</v>
      </c>
      <c r="BN29" t="s">
        <v>74</v>
      </c>
      <c r="BO29" t="s">
        <v>74</v>
      </c>
      <c r="BP29" t="s">
        <v>74</v>
      </c>
      <c r="BQ29" t="s">
        <v>74</v>
      </c>
      <c r="BR29" t="s">
        <v>104</v>
      </c>
      <c r="BS29" t="s">
        <v>660</v>
      </c>
      <c r="BT29" t="str">
        <f>HYPERLINK("https%3A%2F%2Fwww.webofscience.com%2Fwos%2Fwoscc%2Ffull-record%2FWOS:000847113900001","View Full Record in Web of Science")</f>
        <v>View Full Record in Web of Science</v>
      </c>
    </row>
    <row r="30" spans="1:72" x14ac:dyDescent="0.25">
      <c r="A30" t="s">
        <v>72</v>
      </c>
      <c r="B30" t="s">
        <v>661</v>
      </c>
      <c r="C30" t="s">
        <v>74</v>
      </c>
      <c r="D30" t="s">
        <v>74</v>
      </c>
      <c r="E30" t="s">
        <v>74</v>
      </c>
      <c r="F30" t="s">
        <v>662</v>
      </c>
      <c r="G30" t="s">
        <v>74</v>
      </c>
      <c r="H30" t="s">
        <v>74</v>
      </c>
      <c r="I30" t="s">
        <v>663</v>
      </c>
      <c r="J30" t="s">
        <v>77</v>
      </c>
      <c r="K30" t="s">
        <v>74</v>
      </c>
      <c r="L30" t="s">
        <v>74</v>
      </c>
      <c r="M30" t="s">
        <v>78</v>
      </c>
      <c r="N30" t="s">
        <v>79</v>
      </c>
      <c r="O30" t="s">
        <v>74</v>
      </c>
      <c r="P30" t="s">
        <v>74</v>
      </c>
      <c r="Q30" t="s">
        <v>74</v>
      </c>
      <c r="R30" t="s">
        <v>74</v>
      </c>
      <c r="S30" t="s">
        <v>74</v>
      </c>
      <c r="T30" t="s">
        <v>664</v>
      </c>
      <c r="U30" t="s">
        <v>665</v>
      </c>
      <c r="V30" t="s">
        <v>666</v>
      </c>
      <c r="W30" t="s">
        <v>667</v>
      </c>
      <c r="X30" t="s">
        <v>668</v>
      </c>
      <c r="Y30" t="s">
        <v>669</v>
      </c>
      <c r="Z30" t="s">
        <v>670</v>
      </c>
      <c r="AA30" t="s">
        <v>671</v>
      </c>
      <c r="AB30" t="s">
        <v>672</v>
      </c>
      <c r="AC30" t="s">
        <v>74</v>
      </c>
      <c r="AD30" t="s">
        <v>74</v>
      </c>
      <c r="AE30" t="s">
        <v>74</v>
      </c>
      <c r="AF30" t="s">
        <v>74</v>
      </c>
      <c r="AG30">
        <v>36</v>
      </c>
      <c r="AH30">
        <v>11</v>
      </c>
      <c r="AI30">
        <v>11</v>
      </c>
      <c r="AJ30">
        <v>11</v>
      </c>
      <c r="AK30">
        <v>52</v>
      </c>
      <c r="AL30" t="s">
        <v>90</v>
      </c>
      <c r="AM30" t="s">
        <v>118</v>
      </c>
      <c r="AN30" t="s">
        <v>119</v>
      </c>
      <c r="AO30" t="s">
        <v>93</v>
      </c>
      <c r="AP30" t="s">
        <v>94</v>
      </c>
      <c r="AQ30" t="s">
        <v>74</v>
      </c>
      <c r="AR30" t="s">
        <v>95</v>
      </c>
      <c r="AS30" t="s">
        <v>96</v>
      </c>
      <c r="AT30" t="s">
        <v>673</v>
      </c>
      <c r="AU30">
        <v>2023</v>
      </c>
      <c r="AV30">
        <v>29</v>
      </c>
      <c r="AW30">
        <v>1</v>
      </c>
      <c r="AX30" t="s">
        <v>74</v>
      </c>
      <c r="AY30" t="s">
        <v>74</v>
      </c>
      <c r="AZ30" t="s">
        <v>74</v>
      </c>
      <c r="BA30" t="s">
        <v>74</v>
      </c>
      <c r="BB30">
        <v>50</v>
      </c>
      <c r="BC30">
        <v>70</v>
      </c>
      <c r="BD30" t="s">
        <v>74</v>
      </c>
      <c r="BE30" t="s">
        <v>674</v>
      </c>
      <c r="BF30" t="str">
        <f>HYPERLINK("http://dx.doi.org/10.1108/JQME-05-2021-0035","http://dx.doi.org/10.1108/JQME-05-2021-0035")</f>
        <v>http://dx.doi.org/10.1108/JQME-05-2021-0035</v>
      </c>
      <c r="BG30" t="s">
        <v>74</v>
      </c>
      <c r="BH30" t="s">
        <v>536</v>
      </c>
      <c r="BI30">
        <v>21</v>
      </c>
      <c r="BJ30" t="s">
        <v>100</v>
      </c>
      <c r="BK30" t="s">
        <v>101</v>
      </c>
      <c r="BL30" t="s">
        <v>102</v>
      </c>
      <c r="BM30" t="s">
        <v>675</v>
      </c>
      <c r="BN30" t="s">
        <v>74</v>
      </c>
      <c r="BO30" t="s">
        <v>74</v>
      </c>
      <c r="BP30" t="s">
        <v>74</v>
      </c>
      <c r="BQ30" t="s">
        <v>74</v>
      </c>
      <c r="BR30" t="s">
        <v>104</v>
      </c>
      <c r="BS30" t="s">
        <v>676</v>
      </c>
      <c r="BT30" t="str">
        <f>HYPERLINK("https%3A%2F%2Fwww.webofscience.com%2Fwos%2Fwoscc%2Ffull-record%2FWOS:000722886300001","View Full Record in Web of Science")</f>
        <v>View Full Record in Web of Science</v>
      </c>
    </row>
    <row r="31" spans="1:72" x14ac:dyDescent="0.25">
      <c r="A31" t="s">
        <v>72</v>
      </c>
      <c r="B31" t="s">
        <v>677</v>
      </c>
      <c r="C31" t="s">
        <v>74</v>
      </c>
      <c r="D31" t="s">
        <v>74</v>
      </c>
      <c r="E31" t="s">
        <v>74</v>
      </c>
      <c r="F31" t="s">
        <v>678</v>
      </c>
      <c r="G31" t="s">
        <v>74</v>
      </c>
      <c r="H31" t="s">
        <v>74</v>
      </c>
      <c r="I31" t="s">
        <v>679</v>
      </c>
      <c r="J31" t="s">
        <v>77</v>
      </c>
      <c r="K31" t="s">
        <v>74</v>
      </c>
      <c r="L31" t="s">
        <v>74</v>
      </c>
      <c r="M31" t="s">
        <v>78</v>
      </c>
      <c r="N31" t="s">
        <v>79</v>
      </c>
      <c r="O31" t="s">
        <v>74</v>
      </c>
      <c r="P31" t="s">
        <v>74</v>
      </c>
      <c r="Q31" t="s">
        <v>74</v>
      </c>
      <c r="R31" t="s">
        <v>74</v>
      </c>
      <c r="S31" t="s">
        <v>74</v>
      </c>
      <c r="T31" t="s">
        <v>680</v>
      </c>
      <c r="U31" t="s">
        <v>681</v>
      </c>
      <c r="V31" t="s">
        <v>682</v>
      </c>
      <c r="W31" t="s">
        <v>683</v>
      </c>
      <c r="X31" t="s">
        <v>684</v>
      </c>
      <c r="Y31" t="s">
        <v>685</v>
      </c>
      <c r="Z31" t="s">
        <v>686</v>
      </c>
      <c r="AA31" t="s">
        <v>687</v>
      </c>
      <c r="AB31" t="s">
        <v>688</v>
      </c>
      <c r="AC31" t="s">
        <v>74</v>
      </c>
      <c r="AD31" t="s">
        <v>74</v>
      </c>
      <c r="AE31" t="s">
        <v>74</v>
      </c>
      <c r="AF31" t="s">
        <v>74</v>
      </c>
      <c r="AG31">
        <v>34</v>
      </c>
      <c r="AH31">
        <v>4</v>
      </c>
      <c r="AI31">
        <v>5</v>
      </c>
      <c r="AJ31">
        <v>1</v>
      </c>
      <c r="AK31">
        <v>7</v>
      </c>
      <c r="AL31" t="s">
        <v>90</v>
      </c>
      <c r="AM31" t="s">
        <v>118</v>
      </c>
      <c r="AN31" t="s">
        <v>119</v>
      </c>
      <c r="AO31" t="s">
        <v>93</v>
      </c>
      <c r="AP31" t="s">
        <v>94</v>
      </c>
      <c r="AQ31" t="s">
        <v>74</v>
      </c>
      <c r="AR31" t="s">
        <v>95</v>
      </c>
      <c r="AS31" t="s">
        <v>96</v>
      </c>
      <c r="AT31" t="s">
        <v>689</v>
      </c>
      <c r="AU31">
        <v>2021</v>
      </c>
      <c r="AV31">
        <v>27</v>
      </c>
      <c r="AW31">
        <v>1</v>
      </c>
      <c r="AX31" t="s">
        <v>74</v>
      </c>
      <c r="AY31" t="s">
        <v>74</v>
      </c>
      <c r="AZ31" t="s">
        <v>74</v>
      </c>
      <c r="BA31" t="s">
        <v>74</v>
      </c>
      <c r="BB31">
        <v>187</v>
      </c>
      <c r="BC31">
        <v>202</v>
      </c>
      <c r="BD31" t="s">
        <v>74</v>
      </c>
      <c r="BE31" t="s">
        <v>690</v>
      </c>
      <c r="BF31" t="str">
        <f>HYPERLINK("http://dx.doi.org/10.1108/JQME-08-2018-0064","http://dx.doi.org/10.1108/JQME-08-2018-0064")</f>
        <v>http://dx.doi.org/10.1108/JQME-08-2018-0064</v>
      </c>
      <c r="BG31" t="s">
        <v>74</v>
      </c>
      <c r="BH31" t="s">
        <v>691</v>
      </c>
      <c r="BI31">
        <v>16</v>
      </c>
      <c r="BJ31" t="s">
        <v>100</v>
      </c>
      <c r="BK31" t="s">
        <v>101</v>
      </c>
      <c r="BL31" t="s">
        <v>102</v>
      </c>
      <c r="BM31" t="s">
        <v>692</v>
      </c>
      <c r="BN31" t="s">
        <v>74</v>
      </c>
      <c r="BO31" t="s">
        <v>74</v>
      </c>
      <c r="BP31" t="s">
        <v>74</v>
      </c>
      <c r="BQ31" t="s">
        <v>74</v>
      </c>
      <c r="BR31" t="s">
        <v>104</v>
      </c>
      <c r="BS31" t="s">
        <v>693</v>
      </c>
      <c r="BT31" t="str">
        <f>HYPERLINK("https%3A%2F%2Fwww.webofscience.com%2Fwos%2Fwoscc%2Ffull-record%2FWOS:000541628600001","View Full Record in Web of Science")</f>
        <v>View Full Record in Web of Science</v>
      </c>
    </row>
    <row r="32" spans="1:72" x14ac:dyDescent="0.25">
      <c r="A32" t="s">
        <v>72</v>
      </c>
      <c r="B32" t="s">
        <v>694</v>
      </c>
      <c r="C32" t="s">
        <v>74</v>
      </c>
      <c r="D32" t="s">
        <v>74</v>
      </c>
      <c r="E32" t="s">
        <v>74</v>
      </c>
      <c r="F32" t="s">
        <v>695</v>
      </c>
      <c r="G32" t="s">
        <v>74</v>
      </c>
      <c r="H32" t="s">
        <v>74</v>
      </c>
      <c r="I32" t="s">
        <v>696</v>
      </c>
      <c r="J32" t="s">
        <v>697</v>
      </c>
      <c r="K32" t="s">
        <v>74</v>
      </c>
      <c r="L32" t="s">
        <v>74</v>
      </c>
      <c r="M32" t="s">
        <v>78</v>
      </c>
      <c r="N32" t="s">
        <v>79</v>
      </c>
      <c r="O32" t="s">
        <v>74</v>
      </c>
      <c r="P32" t="s">
        <v>74</v>
      </c>
      <c r="Q32" t="s">
        <v>74</v>
      </c>
      <c r="R32" t="s">
        <v>74</v>
      </c>
      <c r="S32" t="s">
        <v>74</v>
      </c>
      <c r="T32" t="s">
        <v>698</v>
      </c>
      <c r="U32" t="s">
        <v>699</v>
      </c>
      <c r="V32" t="s">
        <v>700</v>
      </c>
      <c r="W32" t="s">
        <v>701</v>
      </c>
      <c r="X32" t="s">
        <v>702</v>
      </c>
      <c r="Y32" t="s">
        <v>703</v>
      </c>
      <c r="Z32" t="s">
        <v>704</v>
      </c>
      <c r="AA32" t="s">
        <v>705</v>
      </c>
      <c r="AB32" t="s">
        <v>706</v>
      </c>
      <c r="AC32" t="s">
        <v>74</v>
      </c>
      <c r="AD32" t="s">
        <v>74</v>
      </c>
      <c r="AE32" t="s">
        <v>74</v>
      </c>
      <c r="AF32" t="s">
        <v>74</v>
      </c>
      <c r="AG32">
        <v>31</v>
      </c>
      <c r="AH32">
        <v>24</v>
      </c>
      <c r="AI32">
        <v>25</v>
      </c>
      <c r="AJ32">
        <v>11</v>
      </c>
      <c r="AK32">
        <v>77</v>
      </c>
      <c r="AL32" t="s">
        <v>707</v>
      </c>
      <c r="AM32" t="s">
        <v>246</v>
      </c>
      <c r="AN32" t="s">
        <v>708</v>
      </c>
      <c r="AO32" t="s">
        <v>709</v>
      </c>
      <c r="AP32" t="s">
        <v>710</v>
      </c>
      <c r="AQ32" t="s">
        <v>74</v>
      </c>
      <c r="AR32" t="s">
        <v>711</v>
      </c>
      <c r="AS32" t="s">
        <v>712</v>
      </c>
      <c r="AT32" t="s">
        <v>559</v>
      </c>
      <c r="AU32">
        <v>2021</v>
      </c>
      <c r="AV32">
        <v>156</v>
      </c>
      <c r="AW32" t="s">
        <v>74</v>
      </c>
      <c r="AX32" t="s">
        <v>74</v>
      </c>
      <c r="AY32" t="s">
        <v>74</v>
      </c>
      <c r="AZ32" t="s">
        <v>74</v>
      </c>
      <c r="BA32" t="s">
        <v>74</v>
      </c>
      <c r="BB32" t="s">
        <v>74</v>
      </c>
      <c r="BC32" t="s">
        <v>74</v>
      </c>
      <c r="BD32">
        <v>107278</v>
      </c>
      <c r="BE32" t="s">
        <v>713</v>
      </c>
      <c r="BF32" t="str">
        <f>HYPERLINK("http://dx.doi.org/10.1016/j.cie.2021.107278","http://dx.doi.org/10.1016/j.cie.2021.107278")</f>
        <v>http://dx.doi.org/10.1016/j.cie.2021.107278</v>
      </c>
      <c r="BG32" t="s">
        <v>74</v>
      </c>
      <c r="BH32" t="s">
        <v>714</v>
      </c>
      <c r="BI32">
        <v>16</v>
      </c>
      <c r="BJ32" t="s">
        <v>715</v>
      </c>
      <c r="BK32" t="s">
        <v>149</v>
      </c>
      <c r="BL32" t="s">
        <v>716</v>
      </c>
      <c r="BM32" t="s">
        <v>717</v>
      </c>
      <c r="BN32" t="s">
        <v>74</v>
      </c>
      <c r="BO32" t="s">
        <v>400</v>
      </c>
      <c r="BP32" t="s">
        <v>74</v>
      </c>
      <c r="BQ32" t="s">
        <v>74</v>
      </c>
      <c r="BR32" t="s">
        <v>104</v>
      </c>
      <c r="BS32" t="s">
        <v>718</v>
      </c>
      <c r="BT32" t="str">
        <f>HYPERLINK("https%3A%2F%2Fwww.webofscience.com%2Fwos%2Fwoscc%2Ffull-record%2FWOS:000647845400048","View Full Record in Web of Science")</f>
        <v>View Full Record in Web of Science</v>
      </c>
    </row>
    <row r="33" spans="1:72" x14ac:dyDescent="0.25">
      <c r="A33" t="s">
        <v>72</v>
      </c>
      <c r="B33" t="s">
        <v>719</v>
      </c>
      <c r="C33" t="s">
        <v>74</v>
      </c>
      <c r="D33" t="s">
        <v>74</v>
      </c>
      <c r="E33" t="s">
        <v>74</v>
      </c>
      <c r="F33" t="s">
        <v>720</v>
      </c>
      <c r="G33" t="s">
        <v>74</v>
      </c>
      <c r="H33" t="s">
        <v>74</v>
      </c>
      <c r="I33" t="s">
        <v>721</v>
      </c>
      <c r="J33" t="s">
        <v>722</v>
      </c>
      <c r="K33" t="s">
        <v>74</v>
      </c>
      <c r="L33" t="s">
        <v>74</v>
      </c>
      <c r="M33" t="s">
        <v>78</v>
      </c>
      <c r="N33" t="s">
        <v>79</v>
      </c>
      <c r="O33" t="s">
        <v>74</v>
      </c>
      <c r="P33" t="s">
        <v>74</v>
      </c>
      <c r="Q33" t="s">
        <v>74</v>
      </c>
      <c r="R33" t="s">
        <v>74</v>
      </c>
      <c r="S33" t="s">
        <v>74</v>
      </c>
      <c r="T33" t="s">
        <v>723</v>
      </c>
      <c r="U33" t="s">
        <v>724</v>
      </c>
      <c r="V33" t="s">
        <v>725</v>
      </c>
      <c r="W33" t="s">
        <v>726</v>
      </c>
      <c r="X33" t="s">
        <v>727</v>
      </c>
      <c r="Y33" t="s">
        <v>728</v>
      </c>
      <c r="Z33" t="s">
        <v>729</v>
      </c>
      <c r="AA33" t="s">
        <v>730</v>
      </c>
      <c r="AB33" t="s">
        <v>731</v>
      </c>
      <c r="AC33" t="s">
        <v>74</v>
      </c>
      <c r="AD33" t="s">
        <v>74</v>
      </c>
      <c r="AE33" t="s">
        <v>74</v>
      </c>
      <c r="AF33" t="s">
        <v>74</v>
      </c>
      <c r="AG33">
        <v>57</v>
      </c>
      <c r="AH33">
        <v>0</v>
      </c>
      <c r="AI33">
        <v>0</v>
      </c>
      <c r="AJ33">
        <v>3</v>
      </c>
      <c r="AK33">
        <v>30</v>
      </c>
      <c r="AL33" t="s">
        <v>732</v>
      </c>
      <c r="AM33" t="s">
        <v>733</v>
      </c>
      <c r="AN33" t="s">
        <v>734</v>
      </c>
      <c r="AO33" t="s">
        <v>735</v>
      </c>
      <c r="AP33" t="s">
        <v>736</v>
      </c>
      <c r="AQ33" t="s">
        <v>74</v>
      </c>
      <c r="AR33" t="s">
        <v>737</v>
      </c>
      <c r="AS33" t="s">
        <v>738</v>
      </c>
      <c r="AT33" t="s">
        <v>74</v>
      </c>
      <c r="AU33">
        <v>2021</v>
      </c>
      <c r="AV33">
        <v>15</v>
      </c>
      <c r="AW33">
        <v>2</v>
      </c>
      <c r="AX33" t="s">
        <v>74</v>
      </c>
      <c r="AY33" t="s">
        <v>74</v>
      </c>
      <c r="AZ33" t="s">
        <v>74</v>
      </c>
      <c r="BA33" t="s">
        <v>74</v>
      </c>
      <c r="BB33">
        <v>167</v>
      </c>
      <c r="BC33">
        <v>205</v>
      </c>
      <c r="BD33" t="s">
        <v>74</v>
      </c>
      <c r="BE33" t="s">
        <v>739</v>
      </c>
      <c r="BF33" t="str">
        <f>HYPERLINK("http://dx.doi.org/10.1504/EJIE.2021.114019","http://dx.doi.org/10.1504/EJIE.2021.114019")</f>
        <v>http://dx.doi.org/10.1504/EJIE.2021.114019</v>
      </c>
      <c r="BG33" t="s">
        <v>74</v>
      </c>
      <c r="BH33" t="s">
        <v>74</v>
      </c>
      <c r="BI33">
        <v>39</v>
      </c>
      <c r="BJ33" t="s">
        <v>148</v>
      </c>
      <c r="BK33" t="s">
        <v>322</v>
      </c>
      <c r="BL33" t="s">
        <v>150</v>
      </c>
      <c r="BM33" t="s">
        <v>740</v>
      </c>
      <c r="BN33" t="s">
        <v>74</v>
      </c>
      <c r="BO33" t="s">
        <v>74</v>
      </c>
      <c r="BP33" t="s">
        <v>74</v>
      </c>
      <c r="BQ33" t="s">
        <v>74</v>
      </c>
      <c r="BR33" t="s">
        <v>104</v>
      </c>
      <c r="BS33" t="s">
        <v>741</v>
      </c>
      <c r="BT33" t="str">
        <f>HYPERLINK("https%3A%2F%2Fwww.webofscience.com%2Fwos%2Fwoscc%2Ffull-record%2FWOS:000637797100001","View Full Record in Web of Science")</f>
        <v>View Full Record in Web of Science</v>
      </c>
    </row>
    <row r="34" spans="1:72" x14ac:dyDescent="0.25">
      <c r="A34" t="s">
        <v>72</v>
      </c>
      <c r="B34" t="s">
        <v>742</v>
      </c>
      <c r="C34" t="s">
        <v>74</v>
      </c>
      <c r="D34" t="s">
        <v>74</v>
      </c>
      <c r="E34" t="s">
        <v>74</v>
      </c>
      <c r="F34" t="s">
        <v>743</v>
      </c>
      <c r="G34" t="s">
        <v>74</v>
      </c>
      <c r="H34" t="s">
        <v>74</v>
      </c>
      <c r="I34" t="s">
        <v>744</v>
      </c>
      <c r="J34" t="s">
        <v>77</v>
      </c>
      <c r="K34" t="s">
        <v>74</v>
      </c>
      <c r="L34" t="s">
        <v>74</v>
      </c>
      <c r="M34" t="s">
        <v>78</v>
      </c>
      <c r="N34" t="s">
        <v>79</v>
      </c>
      <c r="O34" t="s">
        <v>74</v>
      </c>
      <c r="P34" t="s">
        <v>74</v>
      </c>
      <c r="Q34" t="s">
        <v>74</v>
      </c>
      <c r="R34" t="s">
        <v>74</v>
      </c>
      <c r="S34" t="s">
        <v>74</v>
      </c>
      <c r="T34" t="s">
        <v>745</v>
      </c>
      <c r="U34" t="s">
        <v>74</v>
      </c>
      <c r="V34" t="s">
        <v>746</v>
      </c>
      <c r="W34" t="s">
        <v>747</v>
      </c>
      <c r="X34" t="s">
        <v>458</v>
      </c>
      <c r="Y34" t="s">
        <v>748</v>
      </c>
      <c r="Z34" t="s">
        <v>749</v>
      </c>
      <c r="AA34" t="s">
        <v>750</v>
      </c>
      <c r="AB34" t="s">
        <v>751</v>
      </c>
      <c r="AC34" t="s">
        <v>752</v>
      </c>
      <c r="AD34" t="s">
        <v>752</v>
      </c>
      <c r="AE34" t="s">
        <v>753</v>
      </c>
      <c r="AF34" t="s">
        <v>74</v>
      </c>
      <c r="AG34">
        <v>48</v>
      </c>
      <c r="AH34">
        <v>5</v>
      </c>
      <c r="AI34">
        <v>5</v>
      </c>
      <c r="AJ34">
        <v>2</v>
      </c>
      <c r="AK34">
        <v>3</v>
      </c>
      <c r="AL34" t="s">
        <v>90</v>
      </c>
      <c r="AM34" t="s">
        <v>118</v>
      </c>
      <c r="AN34" t="s">
        <v>119</v>
      </c>
      <c r="AO34" t="s">
        <v>93</v>
      </c>
      <c r="AP34" t="s">
        <v>94</v>
      </c>
      <c r="AQ34" t="s">
        <v>74</v>
      </c>
      <c r="AR34" t="s">
        <v>95</v>
      </c>
      <c r="AS34" t="s">
        <v>96</v>
      </c>
      <c r="AT34" t="s">
        <v>754</v>
      </c>
      <c r="AU34">
        <v>2022</v>
      </c>
      <c r="AV34">
        <v>28</v>
      </c>
      <c r="AW34">
        <v>2</v>
      </c>
      <c r="AX34" t="s">
        <v>74</v>
      </c>
      <c r="AY34" t="s">
        <v>74</v>
      </c>
      <c r="AZ34" t="s">
        <v>74</v>
      </c>
      <c r="BA34" t="s">
        <v>74</v>
      </c>
      <c r="BB34">
        <v>474</v>
      </c>
      <c r="BC34">
        <v>490</v>
      </c>
      <c r="BD34" t="s">
        <v>74</v>
      </c>
      <c r="BE34" t="s">
        <v>755</v>
      </c>
      <c r="BF34" t="str">
        <f>HYPERLINK("http://dx.doi.org/10.1108/JQME-01-2020-0004","http://dx.doi.org/10.1108/JQME-01-2020-0004")</f>
        <v>http://dx.doi.org/10.1108/JQME-01-2020-0004</v>
      </c>
      <c r="BG34" t="s">
        <v>74</v>
      </c>
      <c r="BH34" t="s">
        <v>756</v>
      </c>
      <c r="BI34">
        <v>17</v>
      </c>
      <c r="BJ34" t="s">
        <v>100</v>
      </c>
      <c r="BK34" t="s">
        <v>101</v>
      </c>
      <c r="BL34" t="s">
        <v>102</v>
      </c>
      <c r="BM34" t="s">
        <v>757</v>
      </c>
      <c r="BN34" t="s">
        <v>74</v>
      </c>
      <c r="BO34" t="s">
        <v>758</v>
      </c>
      <c r="BP34" t="s">
        <v>74</v>
      </c>
      <c r="BQ34" t="s">
        <v>74</v>
      </c>
      <c r="BR34" t="s">
        <v>104</v>
      </c>
      <c r="BS34" t="s">
        <v>759</v>
      </c>
      <c r="BT34" t="str">
        <f>HYPERLINK("https%3A%2F%2Fwww.webofscience.com%2Fwos%2Fwoscc%2Ffull-record%2FWOS:000634569900001","View Full Record in Web of Science")</f>
        <v>View Full Record in Web of Science</v>
      </c>
    </row>
    <row r="35" spans="1:72" x14ac:dyDescent="0.25">
      <c r="A35" t="s">
        <v>72</v>
      </c>
      <c r="B35" t="s">
        <v>760</v>
      </c>
      <c r="C35" t="s">
        <v>74</v>
      </c>
      <c r="D35" t="s">
        <v>74</v>
      </c>
      <c r="E35" t="s">
        <v>74</v>
      </c>
      <c r="F35" t="s">
        <v>761</v>
      </c>
      <c r="G35" t="s">
        <v>74</v>
      </c>
      <c r="H35" t="s">
        <v>74</v>
      </c>
      <c r="I35" t="s">
        <v>762</v>
      </c>
      <c r="J35" t="s">
        <v>77</v>
      </c>
      <c r="K35" t="s">
        <v>74</v>
      </c>
      <c r="L35" t="s">
        <v>74</v>
      </c>
      <c r="M35" t="s">
        <v>78</v>
      </c>
      <c r="N35" t="s">
        <v>79</v>
      </c>
      <c r="O35" t="s">
        <v>74</v>
      </c>
      <c r="P35" t="s">
        <v>74</v>
      </c>
      <c r="Q35" t="s">
        <v>74</v>
      </c>
      <c r="R35" t="s">
        <v>74</v>
      </c>
      <c r="S35" t="s">
        <v>74</v>
      </c>
      <c r="T35" t="s">
        <v>763</v>
      </c>
      <c r="U35" t="s">
        <v>74</v>
      </c>
      <c r="V35" t="s">
        <v>764</v>
      </c>
      <c r="W35" t="s">
        <v>765</v>
      </c>
      <c r="X35" t="s">
        <v>766</v>
      </c>
      <c r="Y35" t="s">
        <v>767</v>
      </c>
      <c r="Z35" t="s">
        <v>768</v>
      </c>
      <c r="AA35" t="s">
        <v>74</v>
      </c>
      <c r="AB35" t="s">
        <v>74</v>
      </c>
      <c r="AC35" t="s">
        <v>769</v>
      </c>
      <c r="AD35" t="s">
        <v>770</v>
      </c>
      <c r="AE35" t="s">
        <v>771</v>
      </c>
      <c r="AF35" t="s">
        <v>74</v>
      </c>
      <c r="AG35">
        <v>67</v>
      </c>
      <c r="AH35">
        <v>0</v>
      </c>
      <c r="AI35">
        <v>0</v>
      </c>
      <c r="AJ35">
        <v>0</v>
      </c>
      <c r="AK35">
        <v>4</v>
      </c>
      <c r="AL35" t="s">
        <v>90</v>
      </c>
      <c r="AM35" t="s">
        <v>118</v>
      </c>
      <c r="AN35" t="s">
        <v>119</v>
      </c>
      <c r="AO35" t="s">
        <v>93</v>
      </c>
      <c r="AP35" t="s">
        <v>94</v>
      </c>
      <c r="AQ35" t="s">
        <v>74</v>
      </c>
      <c r="AR35" t="s">
        <v>95</v>
      </c>
      <c r="AS35" t="s">
        <v>96</v>
      </c>
      <c r="AT35" t="s">
        <v>432</v>
      </c>
      <c r="AU35">
        <v>2022</v>
      </c>
      <c r="AV35">
        <v>28</v>
      </c>
      <c r="AW35">
        <v>1</v>
      </c>
      <c r="AX35" t="s">
        <v>74</v>
      </c>
      <c r="AY35" t="s">
        <v>74</v>
      </c>
      <c r="AZ35" t="s">
        <v>74</v>
      </c>
      <c r="BA35" t="s">
        <v>74</v>
      </c>
      <c r="BB35">
        <v>233</v>
      </c>
      <c r="BC35">
        <v>251</v>
      </c>
      <c r="BD35" t="s">
        <v>74</v>
      </c>
      <c r="BE35" t="s">
        <v>772</v>
      </c>
      <c r="BF35" t="str">
        <f>HYPERLINK("http://dx.doi.org/10.1108/JQME-03-2018-0023","http://dx.doi.org/10.1108/JQME-03-2018-0023")</f>
        <v>http://dx.doi.org/10.1108/JQME-03-2018-0023</v>
      </c>
      <c r="BG35" t="s">
        <v>74</v>
      </c>
      <c r="BH35" t="s">
        <v>773</v>
      </c>
      <c r="BI35">
        <v>19</v>
      </c>
      <c r="BJ35" t="s">
        <v>100</v>
      </c>
      <c r="BK35" t="s">
        <v>101</v>
      </c>
      <c r="BL35" t="s">
        <v>102</v>
      </c>
      <c r="BM35" t="s">
        <v>435</v>
      </c>
      <c r="BN35" t="s">
        <v>74</v>
      </c>
      <c r="BO35" t="s">
        <v>758</v>
      </c>
      <c r="BP35" t="s">
        <v>74</v>
      </c>
      <c r="BQ35" t="s">
        <v>74</v>
      </c>
      <c r="BR35" t="s">
        <v>104</v>
      </c>
      <c r="BS35" t="s">
        <v>774</v>
      </c>
      <c r="BT35" t="str">
        <f>HYPERLINK("https%3A%2F%2Fwww.webofscience.com%2Fwos%2Fwoscc%2Ffull-record%2FWOS:000607787500001","View Full Record in Web of Science")</f>
        <v>View Full Record in Web of Science</v>
      </c>
    </row>
    <row r="36" spans="1:72" x14ac:dyDescent="0.25">
      <c r="A36" t="s">
        <v>72</v>
      </c>
      <c r="B36" t="s">
        <v>775</v>
      </c>
      <c r="C36" t="s">
        <v>74</v>
      </c>
      <c r="D36" t="s">
        <v>74</v>
      </c>
      <c r="E36" t="s">
        <v>74</v>
      </c>
      <c r="F36" t="s">
        <v>776</v>
      </c>
      <c r="G36" t="s">
        <v>74</v>
      </c>
      <c r="H36" t="s">
        <v>74</v>
      </c>
      <c r="I36" t="s">
        <v>777</v>
      </c>
      <c r="J36" t="s">
        <v>778</v>
      </c>
      <c r="K36" t="s">
        <v>74</v>
      </c>
      <c r="L36" t="s">
        <v>74</v>
      </c>
      <c r="M36" t="s">
        <v>78</v>
      </c>
      <c r="N36" t="s">
        <v>79</v>
      </c>
      <c r="O36" t="s">
        <v>74</v>
      </c>
      <c r="P36" t="s">
        <v>74</v>
      </c>
      <c r="Q36" t="s">
        <v>74</v>
      </c>
      <c r="R36" t="s">
        <v>74</v>
      </c>
      <c r="S36" t="s">
        <v>74</v>
      </c>
      <c r="T36" t="s">
        <v>779</v>
      </c>
      <c r="U36" t="s">
        <v>780</v>
      </c>
      <c r="V36" t="s">
        <v>781</v>
      </c>
      <c r="W36" t="s">
        <v>782</v>
      </c>
      <c r="X36" t="s">
        <v>783</v>
      </c>
      <c r="Y36" t="s">
        <v>784</v>
      </c>
      <c r="Z36" t="s">
        <v>785</v>
      </c>
      <c r="AA36" t="s">
        <v>786</v>
      </c>
      <c r="AB36" t="s">
        <v>787</v>
      </c>
      <c r="AC36" t="s">
        <v>74</v>
      </c>
      <c r="AD36" t="s">
        <v>74</v>
      </c>
      <c r="AE36" t="s">
        <v>74</v>
      </c>
      <c r="AF36" t="s">
        <v>74</v>
      </c>
      <c r="AG36">
        <v>71</v>
      </c>
      <c r="AH36">
        <v>13</v>
      </c>
      <c r="AI36">
        <v>13</v>
      </c>
      <c r="AJ36">
        <v>3</v>
      </c>
      <c r="AK36">
        <v>21</v>
      </c>
      <c r="AL36" t="s">
        <v>311</v>
      </c>
      <c r="AM36" t="s">
        <v>312</v>
      </c>
      <c r="AN36" t="s">
        <v>313</v>
      </c>
      <c r="AO36" t="s">
        <v>788</v>
      </c>
      <c r="AP36" t="s">
        <v>789</v>
      </c>
      <c r="AQ36" t="s">
        <v>74</v>
      </c>
      <c r="AR36" t="s">
        <v>790</v>
      </c>
      <c r="AS36" t="s">
        <v>791</v>
      </c>
      <c r="AT36" t="s">
        <v>792</v>
      </c>
      <c r="AU36">
        <v>2023</v>
      </c>
      <c r="AV36">
        <v>34</v>
      </c>
      <c r="AW36">
        <v>14</v>
      </c>
      <c r="AX36" t="s">
        <v>74</v>
      </c>
      <c r="AY36" t="s">
        <v>74</v>
      </c>
      <c r="AZ36" t="s">
        <v>74</v>
      </c>
      <c r="BA36" t="s">
        <v>74</v>
      </c>
      <c r="BB36">
        <v>1333</v>
      </c>
      <c r="BC36">
        <v>1349</v>
      </c>
      <c r="BD36" t="s">
        <v>74</v>
      </c>
      <c r="BE36" t="s">
        <v>793</v>
      </c>
      <c r="BF36" t="str">
        <f>HYPERLINK("http://dx.doi.org/10.1080/09537287.2021.2010823","http://dx.doi.org/10.1080/09537287.2021.2010823")</f>
        <v>http://dx.doi.org/10.1080/09537287.2021.2010823</v>
      </c>
      <c r="BG36" t="s">
        <v>74</v>
      </c>
      <c r="BH36" t="s">
        <v>794</v>
      </c>
      <c r="BI36">
        <v>17</v>
      </c>
      <c r="BJ36" t="s">
        <v>321</v>
      </c>
      <c r="BK36" t="s">
        <v>149</v>
      </c>
      <c r="BL36" t="s">
        <v>150</v>
      </c>
      <c r="BM36" t="s">
        <v>795</v>
      </c>
      <c r="BN36" t="s">
        <v>74</v>
      </c>
      <c r="BO36" t="s">
        <v>400</v>
      </c>
      <c r="BP36" t="s">
        <v>74</v>
      </c>
      <c r="BQ36" t="s">
        <v>74</v>
      </c>
      <c r="BR36" t="s">
        <v>104</v>
      </c>
      <c r="BS36" t="s">
        <v>796</v>
      </c>
      <c r="BT36" t="str">
        <f>HYPERLINK("https%3A%2F%2Fwww.webofscience.com%2Fwos%2Fwoscc%2Ffull-record%2FWOS:000728646500001","View Full Record in Web of Science")</f>
        <v>View Full Record in Web of Science</v>
      </c>
    </row>
    <row r="37" spans="1:72" x14ac:dyDescent="0.25">
      <c r="A37" t="s">
        <v>72</v>
      </c>
      <c r="B37" t="s">
        <v>797</v>
      </c>
      <c r="C37" t="s">
        <v>74</v>
      </c>
      <c r="D37" t="s">
        <v>74</v>
      </c>
      <c r="E37" t="s">
        <v>74</v>
      </c>
      <c r="F37" t="s">
        <v>798</v>
      </c>
      <c r="G37" t="s">
        <v>74</v>
      </c>
      <c r="H37" t="s">
        <v>74</v>
      </c>
      <c r="I37" t="s">
        <v>799</v>
      </c>
      <c r="J37" t="s">
        <v>128</v>
      </c>
      <c r="K37" t="s">
        <v>74</v>
      </c>
      <c r="L37" t="s">
        <v>74</v>
      </c>
      <c r="M37" t="s">
        <v>78</v>
      </c>
      <c r="N37" t="s">
        <v>79</v>
      </c>
      <c r="O37" t="s">
        <v>74</v>
      </c>
      <c r="P37" t="s">
        <v>74</v>
      </c>
      <c r="Q37" t="s">
        <v>74</v>
      </c>
      <c r="R37" t="s">
        <v>74</v>
      </c>
      <c r="S37" t="s">
        <v>74</v>
      </c>
      <c r="T37" t="s">
        <v>800</v>
      </c>
      <c r="U37" t="s">
        <v>801</v>
      </c>
      <c r="V37" t="s">
        <v>802</v>
      </c>
      <c r="W37" t="s">
        <v>803</v>
      </c>
      <c r="X37" t="s">
        <v>804</v>
      </c>
      <c r="Y37" t="s">
        <v>805</v>
      </c>
      <c r="Z37" t="s">
        <v>806</v>
      </c>
      <c r="AA37" t="s">
        <v>807</v>
      </c>
      <c r="AB37" t="s">
        <v>808</v>
      </c>
      <c r="AC37" t="s">
        <v>809</v>
      </c>
      <c r="AD37" t="s">
        <v>810</v>
      </c>
      <c r="AE37" t="s">
        <v>811</v>
      </c>
      <c r="AF37" t="s">
        <v>74</v>
      </c>
      <c r="AG37">
        <v>32</v>
      </c>
      <c r="AH37">
        <v>15</v>
      </c>
      <c r="AI37">
        <v>15</v>
      </c>
      <c r="AJ37">
        <v>10</v>
      </c>
      <c r="AK37">
        <v>69</v>
      </c>
      <c r="AL37" t="s">
        <v>138</v>
      </c>
      <c r="AM37" t="s">
        <v>246</v>
      </c>
      <c r="AN37" t="s">
        <v>247</v>
      </c>
      <c r="AO37" t="s">
        <v>141</v>
      </c>
      <c r="AP37" t="s">
        <v>142</v>
      </c>
      <c r="AQ37" t="s">
        <v>74</v>
      </c>
      <c r="AR37" t="s">
        <v>143</v>
      </c>
      <c r="AS37" t="s">
        <v>144</v>
      </c>
      <c r="AT37" t="s">
        <v>559</v>
      </c>
      <c r="AU37">
        <v>2022</v>
      </c>
      <c r="AV37">
        <v>222</v>
      </c>
      <c r="AW37" t="s">
        <v>74</v>
      </c>
      <c r="AX37" t="s">
        <v>74</v>
      </c>
      <c r="AY37" t="s">
        <v>74</v>
      </c>
      <c r="AZ37" t="s">
        <v>74</v>
      </c>
      <c r="BA37" t="s">
        <v>74</v>
      </c>
      <c r="BB37" t="s">
        <v>74</v>
      </c>
      <c r="BC37" t="s">
        <v>74</v>
      </c>
      <c r="BD37">
        <v>108435</v>
      </c>
      <c r="BE37" t="s">
        <v>812</v>
      </c>
      <c r="BF37" t="str">
        <f>HYPERLINK("http://dx.doi.org/10.1016/j.ress.2022.108435","http://dx.doi.org/10.1016/j.ress.2022.108435")</f>
        <v>http://dx.doi.org/10.1016/j.ress.2022.108435</v>
      </c>
      <c r="BG37" t="s">
        <v>74</v>
      </c>
      <c r="BH37" t="s">
        <v>813</v>
      </c>
      <c r="BI37">
        <v>16</v>
      </c>
      <c r="BJ37" t="s">
        <v>148</v>
      </c>
      <c r="BK37" t="s">
        <v>149</v>
      </c>
      <c r="BL37" t="s">
        <v>150</v>
      </c>
      <c r="BM37" t="s">
        <v>814</v>
      </c>
      <c r="BN37" t="s">
        <v>74</v>
      </c>
      <c r="BO37" t="s">
        <v>74</v>
      </c>
      <c r="BP37" t="s">
        <v>74</v>
      </c>
      <c r="BQ37" t="s">
        <v>74</v>
      </c>
      <c r="BR37" t="s">
        <v>104</v>
      </c>
      <c r="BS37" t="s">
        <v>815</v>
      </c>
      <c r="BT37" t="str">
        <f>HYPERLINK("https%3A%2F%2Fwww.webofscience.com%2Fwos%2Fwoscc%2Ffull-record%2FWOS:000771562000045","View Full Record in Web of Science")</f>
        <v>View Full Record in Web of Science</v>
      </c>
    </row>
    <row r="38" spans="1:72" x14ac:dyDescent="0.25">
      <c r="A38" t="s">
        <v>72</v>
      </c>
      <c r="B38" t="s">
        <v>816</v>
      </c>
      <c r="C38" t="s">
        <v>74</v>
      </c>
      <c r="D38" t="s">
        <v>74</v>
      </c>
      <c r="E38" t="s">
        <v>74</v>
      </c>
      <c r="F38" t="s">
        <v>817</v>
      </c>
      <c r="G38" t="s">
        <v>74</v>
      </c>
      <c r="H38" t="s">
        <v>74</v>
      </c>
      <c r="I38" t="s">
        <v>818</v>
      </c>
      <c r="J38" t="s">
        <v>128</v>
      </c>
      <c r="K38" t="s">
        <v>74</v>
      </c>
      <c r="L38" t="s">
        <v>74</v>
      </c>
      <c r="M38" t="s">
        <v>78</v>
      </c>
      <c r="N38" t="s">
        <v>79</v>
      </c>
      <c r="O38" t="s">
        <v>74</v>
      </c>
      <c r="P38" t="s">
        <v>74</v>
      </c>
      <c r="Q38" t="s">
        <v>74</v>
      </c>
      <c r="R38" t="s">
        <v>74</v>
      </c>
      <c r="S38" t="s">
        <v>74</v>
      </c>
      <c r="T38" t="s">
        <v>819</v>
      </c>
      <c r="U38" t="s">
        <v>820</v>
      </c>
      <c r="V38" t="s">
        <v>821</v>
      </c>
      <c r="W38" t="s">
        <v>822</v>
      </c>
      <c r="X38" t="s">
        <v>823</v>
      </c>
      <c r="Y38" t="s">
        <v>824</v>
      </c>
      <c r="Z38" t="s">
        <v>825</v>
      </c>
      <c r="AA38" t="s">
        <v>74</v>
      </c>
      <c r="AB38" t="s">
        <v>826</v>
      </c>
      <c r="AC38" t="s">
        <v>827</v>
      </c>
      <c r="AD38" t="s">
        <v>828</v>
      </c>
      <c r="AE38" t="s">
        <v>829</v>
      </c>
      <c r="AF38" t="s">
        <v>74</v>
      </c>
      <c r="AG38">
        <v>25</v>
      </c>
      <c r="AH38">
        <v>4</v>
      </c>
      <c r="AI38">
        <v>4</v>
      </c>
      <c r="AJ38">
        <v>10</v>
      </c>
      <c r="AK38">
        <v>13</v>
      </c>
      <c r="AL38" t="s">
        <v>138</v>
      </c>
      <c r="AM38" t="s">
        <v>139</v>
      </c>
      <c r="AN38" t="s">
        <v>140</v>
      </c>
      <c r="AO38" t="s">
        <v>141</v>
      </c>
      <c r="AP38" t="s">
        <v>142</v>
      </c>
      <c r="AQ38" t="s">
        <v>74</v>
      </c>
      <c r="AR38" t="s">
        <v>143</v>
      </c>
      <c r="AS38" t="s">
        <v>144</v>
      </c>
      <c r="AT38" t="s">
        <v>275</v>
      </c>
      <c r="AU38">
        <v>2024</v>
      </c>
      <c r="AV38">
        <v>243</v>
      </c>
      <c r="AW38" t="s">
        <v>74</v>
      </c>
      <c r="AX38" t="s">
        <v>74</v>
      </c>
      <c r="AY38" t="s">
        <v>74</v>
      </c>
      <c r="AZ38" t="s">
        <v>74</v>
      </c>
      <c r="BA38" t="s">
        <v>74</v>
      </c>
      <c r="BB38" t="s">
        <v>74</v>
      </c>
      <c r="BC38" t="s">
        <v>74</v>
      </c>
      <c r="BD38">
        <v>109828</v>
      </c>
      <c r="BE38" t="s">
        <v>830</v>
      </c>
      <c r="BF38" t="str">
        <f>HYPERLINK("http://dx.doi.org/10.1016/j.ress.2023.109828","http://dx.doi.org/10.1016/j.ress.2023.109828")</f>
        <v>http://dx.doi.org/10.1016/j.ress.2023.109828</v>
      </c>
      <c r="BG38" t="s">
        <v>74</v>
      </c>
      <c r="BH38" t="s">
        <v>449</v>
      </c>
      <c r="BI38">
        <v>20</v>
      </c>
      <c r="BJ38" t="s">
        <v>148</v>
      </c>
      <c r="BK38" t="s">
        <v>149</v>
      </c>
      <c r="BL38" t="s">
        <v>150</v>
      </c>
      <c r="BM38" t="s">
        <v>831</v>
      </c>
      <c r="BN38" t="s">
        <v>74</v>
      </c>
      <c r="BO38" t="s">
        <v>641</v>
      </c>
      <c r="BP38" t="s">
        <v>74</v>
      </c>
      <c r="BQ38" t="s">
        <v>74</v>
      </c>
      <c r="BR38" t="s">
        <v>104</v>
      </c>
      <c r="BS38" t="s">
        <v>832</v>
      </c>
      <c r="BT38" t="str">
        <f>HYPERLINK("https%3A%2F%2Fwww.webofscience.com%2Fwos%2Fwoscc%2Ffull-record%2FWOS:001135904500001","View Full Record in Web of Science")</f>
        <v>View Full Record in Web of Science</v>
      </c>
    </row>
    <row r="39" spans="1:72" x14ac:dyDescent="0.25">
      <c r="A39" t="s">
        <v>72</v>
      </c>
      <c r="B39" t="s">
        <v>833</v>
      </c>
      <c r="C39" t="s">
        <v>74</v>
      </c>
      <c r="D39" t="s">
        <v>74</v>
      </c>
      <c r="E39" t="s">
        <v>74</v>
      </c>
      <c r="F39" t="s">
        <v>834</v>
      </c>
      <c r="G39" t="s">
        <v>74</v>
      </c>
      <c r="H39" t="s">
        <v>74</v>
      </c>
      <c r="I39" t="s">
        <v>835</v>
      </c>
      <c r="J39" t="s">
        <v>697</v>
      </c>
      <c r="K39" t="s">
        <v>74</v>
      </c>
      <c r="L39" t="s">
        <v>74</v>
      </c>
      <c r="M39" t="s">
        <v>78</v>
      </c>
      <c r="N39" t="s">
        <v>79</v>
      </c>
      <c r="O39" t="s">
        <v>74</v>
      </c>
      <c r="P39" t="s">
        <v>74</v>
      </c>
      <c r="Q39" t="s">
        <v>74</v>
      </c>
      <c r="R39" t="s">
        <v>74</v>
      </c>
      <c r="S39" t="s">
        <v>74</v>
      </c>
      <c r="T39" t="s">
        <v>836</v>
      </c>
      <c r="U39" t="s">
        <v>837</v>
      </c>
      <c r="V39" t="s">
        <v>838</v>
      </c>
      <c r="W39" t="s">
        <v>839</v>
      </c>
      <c r="X39" t="s">
        <v>840</v>
      </c>
      <c r="Y39" t="s">
        <v>841</v>
      </c>
      <c r="Z39" t="s">
        <v>842</v>
      </c>
      <c r="AA39" t="s">
        <v>843</v>
      </c>
      <c r="AB39" t="s">
        <v>844</v>
      </c>
      <c r="AC39" t="s">
        <v>74</v>
      </c>
      <c r="AD39" t="s">
        <v>74</v>
      </c>
      <c r="AE39" t="s">
        <v>74</v>
      </c>
      <c r="AF39" t="s">
        <v>74</v>
      </c>
      <c r="AG39">
        <v>57</v>
      </c>
      <c r="AH39">
        <v>3</v>
      </c>
      <c r="AI39">
        <v>3</v>
      </c>
      <c r="AJ39">
        <v>0</v>
      </c>
      <c r="AK39">
        <v>1</v>
      </c>
      <c r="AL39" t="s">
        <v>707</v>
      </c>
      <c r="AM39" t="s">
        <v>246</v>
      </c>
      <c r="AN39" t="s">
        <v>708</v>
      </c>
      <c r="AO39" t="s">
        <v>709</v>
      </c>
      <c r="AP39" t="s">
        <v>710</v>
      </c>
      <c r="AQ39" t="s">
        <v>74</v>
      </c>
      <c r="AR39" t="s">
        <v>711</v>
      </c>
      <c r="AS39" t="s">
        <v>712</v>
      </c>
      <c r="AT39" t="s">
        <v>491</v>
      </c>
      <c r="AU39">
        <v>2023</v>
      </c>
      <c r="AV39">
        <v>185</v>
      </c>
      <c r="AW39" t="s">
        <v>74</v>
      </c>
      <c r="AX39" t="s">
        <v>74</v>
      </c>
      <c r="AY39" t="s">
        <v>74</v>
      </c>
      <c r="AZ39" t="s">
        <v>74</v>
      </c>
      <c r="BA39" t="s">
        <v>74</v>
      </c>
      <c r="BB39" t="s">
        <v>74</v>
      </c>
      <c r="BC39" t="s">
        <v>74</v>
      </c>
      <c r="BD39">
        <v>109671</v>
      </c>
      <c r="BE39" t="s">
        <v>845</v>
      </c>
      <c r="BF39" t="str">
        <f>HYPERLINK("http://dx.doi.org/10.1016/j.cie.2023.109671","http://dx.doi.org/10.1016/j.cie.2023.109671")</f>
        <v>http://dx.doi.org/10.1016/j.cie.2023.109671</v>
      </c>
      <c r="BG39" t="s">
        <v>74</v>
      </c>
      <c r="BH39" t="s">
        <v>846</v>
      </c>
      <c r="BI39">
        <v>14</v>
      </c>
      <c r="BJ39" t="s">
        <v>715</v>
      </c>
      <c r="BK39" t="s">
        <v>149</v>
      </c>
      <c r="BL39" t="s">
        <v>716</v>
      </c>
      <c r="BM39" t="s">
        <v>847</v>
      </c>
      <c r="BN39" t="s">
        <v>74</v>
      </c>
      <c r="BO39" t="s">
        <v>74</v>
      </c>
      <c r="BP39" t="s">
        <v>74</v>
      </c>
      <c r="BQ39" t="s">
        <v>74</v>
      </c>
      <c r="BR39" t="s">
        <v>104</v>
      </c>
      <c r="BS39" t="s">
        <v>848</v>
      </c>
      <c r="BT39" t="str">
        <f>HYPERLINK("https%3A%2F%2Fwww.webofscience.com%2Fwos%2Fwoscc%2Ffull-record%2FWOS:001094974000001","View Full Record in Web of Science")</f>
        <v>View Full Record in Web of Science</v>
      </c>
    </row>
    <row r="40" spans="1:72" x14ac:dyDescent="0.25">
      <c r="A40" t="s">
        <v>72</v>
      </c>
      <c r="B40" t="s">
        <v>849</v>
      </c>
      <c r="C40" t="s">
        <v>74</v>
      </c>
      <c r="D40" t="s">
        <v>74</v>
      </c>
      <c r="E40" t="s">
        <v>74</v>
      </c>
      <c r="F40" t="s">
        <v>850</v>
      </c>
      <c r="G40" t="s">
        <v>74</v>
      </c>
      <c r="H40" t="s">
        <v>74</v>
      </c>
      <c r="I40" t="s">
        <v>851</v>
      </c>
      <c r="J40" t="s">
        <v>697</v>
      </c>
      <c r="K40" t="s">
        <v>74</v>
      </c>
      <c r="L40" t="s">
        <v>74</v>
      </c>
      <c r="M40" t="s">
        <v>78</v>
      </c>
      <c r="N40" t="s">
        <v>79</v>
      </c>
      <c r="O40" t="s">
        <v>74</v>
      </c>
      <c r="P40" t="s">
        <v>74</v>
      </c>
      <c r="Q40" t="s">
        <v>74</v>
      </c>
      <c r="R40" t="s">
        <v>74</v>
      </c>
      <c r="S40" t="s">
        <v>74</v>
      </c>
      <c r="T40" t="s">
        <v>852</v>
      </c>
      <c r="U40" t="s">
        <v>853</v>
      </c>
      <c r="V40" t="s">
        <v>854</v>
      </c>
      <c r="W40" t="s">
        <v>855</v>
      </c>
      <c r="X40" t="s">
        <v>856</v>
      </c>
      <c r="Y40" t="s">
        <v>857</v>
      </c>
      <c r="Z40" t="s">
        <v>858</v>
      </c>
      <c r="AA40" t="s">
        <v>859</v>
      </c>
      <c r="AB40" t="s">
        <v>860</v>
      </c>
      <c r="AC40" t="s">
        <v>861</v>
      </c>
      <c r="AD40" t="s">
        <v>862</v>
      </c>
      <c r="AE40" t="s">
        <v>863</v>
      </c>
      <c r="AF40" t="s">
        <v>74</v>
      </c>
      <c r="AG40">
        <v>35</v>
      </c>
      <c r="AH40">
        <v>25</v>
      </c>
      <c r="AI40">
        <v>25</v>
      </c>
      <c r="AJ40">
        <v>10</v>
      </c>
      <c r="AK40">
        <v>84</v>
      </c>
      <c r="AL40" t="s">
        <v>707</v>
      </c>
      <c r="AM40" t="s">
        <v>246</v>
      </c>
      <c r="AN40" t="s">
        <v>708</v>
      </c>
      <c r="AO40" t="s">
        <v>709</v>
      </c>
      <c r="AP40" t="s">
        <v>710</v>
      </c>
      <c r="AQ40" t="s">
        <v>74</v>
      </c>
      <c r="AR40" t="s">
        <v>711</v>
      </c>
      <c r="AS40" t="s">
        <v>712</v>
      </c>
      <c r="AT40" t="s">
        <v>491</v>
      </c>
      <c r="AU40">
        <v>2022</v>
      </c>
      <c r="AV40">
        <v>173</v>
      </c>
      <c r="AW40" t="s">
        <v>74</v>
      </c>
      <c r="AX40" t="s">
        <v>74</v>
      </c>
      <c r="AY40" t="s">
        <v>74</v>
      </c>
      <c r="AZ40" t="s">
        <v>74</v>
      </c>
      <c r="BA40" t="s">
        <v>74</v>
      </c>
      <c r="BB40" t="s">
        <v>74</v>
      </c>
      <c r="BC40" t="s">
        <v>74</v>
      </c>
      <c r="BD40">
        <v>108650</v>
      </c>
      <c r="BE40" t="s">
        <v>864</v>
      </c>
      <c r="BF40" t="str">
        <f>HYPERLINK("http://dx.doi.org/10.1016/j.cie.2022.108650","http://dx.doi.org/10.1016/j.cie.2022.108650")</f>
        <v>http://dx.doi.org/10.1016/j.cie.2022.108650</v>
      </c>
      <c r="BG40" t="s">
        <v>74</v>
      </c>
      <c r="BH40" t="s">
        <v>865</v>
      </c>
      <c r="BI40">
        <v>12</v>
      </c>
      <c r="BJ40" t="s">
        <v>715</v>
      </c>
      <c r="BK40" t="s">
        <v>149</v>
      </c>
      <c r="BL40" t="s">
        <v>716</v>
      </c>
      <c r="BM40" t="s">
        <v>866</v>
      </c>
      <c r="BN40" t="s">
        <v>74</v>
      </c>
      <c r="BO40" t="s">
        <v>74</v>
      </c>
      <c r="BP40" t="s">
        <v>74</v>
      </c>
      <c r="BQ40" t="s">
        <v>74</v>
      </c>
      <c r="BR40" t="s">
        <v>104</v>
      </c>
      <c r="BS40" t="s">
        <v>867</v>
      </c>
      <c r="BT40" t="str">
        <f>HYPERLINK("https%3A%2F%2Fwww.webofscience.com%2Fwos%2Fwoscc%2Ffull-record%2FWOS:000863345000011","View Full Record in Web of Science")</f>
        <v>View Full Record in Web of Science</v>
      </c>
    </row>
    <row r="41" spans="1:72" x14ac:dyDescent="0.25">
      <c r="A41" t="s">
        <v>72</v>
      </c>
      <c r="B41" t="s">
        <v>868</v>
      </c>
      <c r="C41" t="s">
        <v>74</v>
      </c>
      <c r="D41" t="s">
        <v>74</v>
      </c>
      <c r="E41" t="s">
        <v>74</v>
      </c>
      <c r="F41" t="s">
        <v>869</v>
      </c>
      <c r="G41" t="s">
        <v>74</v>
      </c>
      <c r="H41" t="s">
        <v>74</v>
      </c>
      <c r="I41" t="s">
        <v>870</v>
      </c>
      <c r="J41" t="s">
        <v>256</v>
      </c>
      <c r="K41" t="s">
        <v>74</v>
      </c>
      <c r="L41" t="s">
        <v>74</v>
      </c>
      <c r="M41" t="s">
        <v>78</v>
      </c>
      <c r="N41" t="s">
        <v>79</v>
      </c>
      <c r="O41" t="s">
        <v>74</v>
      </c>
      <c r="P41" t="s">
        <v>74</v>
      </c>
      <c r="Q41" t="s">
        <v>74</v>
      </c>
      <c r="R41" t="s">
        <v>74</v>
      </c>
      <c r="S41" t="s">
        <v>74</v>
      </c>
      <c r="T41" t="s">
        <v>871</v>
      </c>
      <c r="U41" t="s">
        <v>74</v>
      </c>
      <c r="V41" t="s">
        <v>872</v>
      </c>
      <c r="W41" t="s">
        <v>873</v>
      </c>
      <c r="X41" t="s">
        <v>874</v>
      </c>
      <c r="Y41" t="s">
        <v>875</v>
      </c>
      <c r="Z41" t="s">
        <v>876</v>
      </c>
      <c r="AA41" t="s">
        <v>877</v>
      </c>
      <c r="AB41" t="s">
        <v>878</v>
      </c>
      <c r="AC41" t="s">
        <v>879</v>
      </c>
      <c r="AD41" t="s">
        <v>880</v>
      </c>
      <c r="AE41" t="s">
        <v>881</v>
      </c>
      <c r="AF41" t="s">
        <v>74</v>
      </c>
      <c r="AG41">
        <v>32</v>
      </c>
      <c r="AH41">
        <v>4</v>
      </c>
      <c r="AI41">
        <v>4</v>
      </c>
      <c r="AJ41">
        <v>0</v>
      </c>
      <c r="AK41">
        <v>0</v>
      </c>
      <c r="AL41" t="s">
        <v>268</v>
      </c>
      <c r="AM41" t="s">
        <v>269</v>
      </c>
      <c r="AN41" t="s">
        <v>270</v>
      </c>
      <c r="AO41" t="s">
        <v>271</v>
      </c>
      <c r="AP41" t="s">
        <v>272</v>
      </c>
      <c r="AQ41" t="s">
        <v>74</v>
      </c>
      <c r="AR41" t="s">
        <v>273</v>
      </c>
      <c r="AS41" t="s">
        <v>274</v>
      </c>
      <c r="AT41" t="s">
        <v>559</v>
      </c>
      <c r="AU41">
        <v>2020</v>
      </c>
      <c r="AV41">
        <v>11</v>
      </c>
      <c r="AW41">
        <v>2</v>
      </c>
      <c r="AX41" t="s">
        <v>74</v>
      </c>
      <c r="AY41" t="s">
        <v>74</v>
      </c>
      <c r="AZ41" t="s">
        <v>74</v>
      </c>
      <c r="BA41" t="s">
        <v>74</v>
      </c>
      <c r="BB41">
        <v>81</v>
      </c>
      <c r="BC41">
        <v>92</v>
      </c>
      <c r="BD41" t="s">
        <v>74</v>
      </c>
      <c r="BE41" t="s">
        <v>882</v>
      </c>
      <c r="BF41" t="str">
        <f>HYPERLINK("http://dx.doi.org/10.24867/IJIEM-2020-2-255","http://dx.doi.org/10.24867/IJIEM-2020-2-255")</f>
        <v>http://dx.doi.org/10.24867/IJIEM-2020-2-255</v>
      </c>
      <c r="BG41" t="s">
        <v>74</v>
      </c>
      <c r="BH41" t="s">
        <v>74</v>
      </c>
      <c r="BI41">
        <v>12</v>
      </c>
      <c r="BJ41" t="s">
        <v>100</v>
      </c>
      <c r="BK41" t="s">
        <v>101</v>
      </c>
      <c r="BL41" t="s">
        <v>102</v>
      </c>
      <c r="BM41" t="s">
        <v>883</v>
      </c>
      <c r="BN41" t="s">
        <v>74</v>
      </c>
      <c r="BO41" t="s">
        <v>208</v>
      </c>
      <c r="BP41" t="s">
        <v>74</v>
      </c>
      <c r="BQ41" t="s">
        <v>74</v>
      </c>
      <c r="BR41" t="s">
        <v>104</v>
      </c>
      <c r="BS41" t="s">
        <v>884</v>
      </c>
      <c r="BT41" t="str">
        <f>HYPERLINK("https%3A%2F%2Fwww.webofscience.com%2Fwos%2Fwoscc%2Ffull-record%2FWOS:000835271800003","View Full Record in Web of Science")</f>
        <v>View Full Record in Web of Science</v>
      </c>
    </row>
    <row r="42" spans="1:72" x14ac:dyDescent="0.25">
      <c r="A42" t="s">
        <v>72</v>
      </c>
      <c r="B42" t="s">
        <v>885</v>
      </c>
      <c r="C42" t="s">
        <v>74</v>
      </c>
      <c r="D42" t="s">
        <v>74</v>
      </c>
      <c r="E42" t="s">
        <v>74</v>
      </c>
      <c r="F42" t="s">
        <v>886</v>
      </c>
      <c r="G42" t="s">
        <v>74</v>
      </c>
      <c r="H42" t="s">
        <v>74</v>
      </c>
      <c r="I42" t="s">
        <v>887</v>
      </c>
      <c r="J42" t="s">
        <v>77</v>
      </c>
      <c r="K42" t="s">
        <v>74</v>
      </c>
      <c r="L42" t="s">
        <v>74</v>
      </c>
      <c r="M42" t="s">
        <v>78</v>
      </c>
      <c r="N42" t="s">
        <v>79</v>
      </c>
      <c r="O42" t="s">
        <v>74</v>
      </c>
      <c r="P42" t="s">
        <v>74</v>
      </c>
      <c r="Q42" t="s">
        <v>74</v>
      </c>
      <c r="R42" t="s">
        <v>74</v>
      </c>
      <c r="S42" t="s">
        <v>74</v>
      </c>
      <c r="T42" t="s">
        <v>888</v>
      </c>
      <c r="U42" t="s">
        <v>889</v>
      </c>
      <c r="V42" t="s">
        <v>890</v>
      </c>
      <c r="W42" t="s">
        <v>891</v>
      </c>
      <c r="X42" t="s">
        <v>892</v>
      </c>
      <c r="Y42" t="s">
        <v>893</v>
      </c>
      <c r="Z42" t="s">
        <v>894</v>
      </c>
      <c r="AA42" t="s">
        <v>895</v>
      </c>
      <c r="AB42" t="s">
        <v>896</v>
      </c>
      <c r="AC42" t="s">
        <v>74</v>
      </c>
      <c r="AD42" t="s">
        <v>74</v>
      </c>
      <c r="AE42" t="s">
        <v>74</v>
      </c>
      <c r="AF42" t="s">
        <v>74</v>
      </c>
      <c r="AG42">
        <v>34</v>
      </c>
      <c r="AH42">
        <v>19</v>
      </c>
      <c r="AI42">
        <v>23</v>
      </c>
      <c r="AJ42">
        <v>4</v>
      </c>
      <c r="AK42">
        <v>31</v>
      </c>
      <c r="AL42" t="s">
        <v>90</v>
      </c>
      <c r="AM42" t="s">
        <v>118</v>
      </c>
      <c r="AN42" t="s">
        <v>119</v>
      </c>
      <c r="AO42" t="s">
        <v>93</v>
      </c>
      <c r="AP42" t="s">
        <v>94</v>
      </c>
      <c r="AQ42" t="s">
        <v>74</v>
      </c>
      <c r="AR42" t="s">
        <v>95</v>
      </c>
      <c r="AS42" t="s">
        <v>96</v>
      </c>
      <c r="AT42" t="s">
        <v>292</v>
      </c>
      <c r="AU42">
        <v>2020</v>
      </c>
      <c r="AV42">
        <v>26</v>
      </c>
      <c r="AW42">
        <v>2</v>
      </c>
      <c r="AX42" t="s">
        <v>74</v>
      </c>
      <c r="AY42" t="s">
        <v>74</v>
      </c>
      <c r="AZ42" t="s">
        <v>74</v>
      </c>
      <c r="BA42" t="s">
        <v>74</v>
      </c>
      <c r="BB42">
        <v>311</v>
      </c>
      <c r="BC42">
        <v>334</v>
      </c>
      <c r="BD42" t="s">
        <v>74</v>
      </c>
      <c r="BE42" t="s">
        <v>897</v>
      </c>
      <c r="BF42" t="str">
        <f>HYPERLINK("http://dx.doi.org/10.1108/JQME-10-2018-0084","http://dx.doi.org/10.1108/JQME-10-2018-0084")</f>
        <v>http://dx.doi.org/10.1108/JQME-10-2018-0084</v>
      </c>
      <c r="BG42" t="s">
        <v>74</v>
      </c>
      <c r="BH42" t="s">
        <v>74</v>
      </c>
      <c r="BI42">
        <v>24</v>
      </c>
      <c r="BJ42" t="s">
        <v>100</v>
      </c>
      <c r="BK42" t="s">
        <v>101</v>
      </c>
      <c r="BL42" t="s">
        <v>102</v>
      </c>
      <c r="BM42" t="s">
        <v>294</v>
      </c>
      <c r="BN42" t="s">
        <v>74</v>
      </c>
      <c r="BO42" t="s">
        <v>74</v>
      </c>
      <c r="BP42" t="s">
        <v>74</v>
      </c>
      <c r="BQ42" t="s">
        <v>74</v>
      </c>
      <c r="BR42" t="s">
        <v>104</v>
      </c>
      <c r="BS42" t="s">
        <v>898</v>
      </c>
      <c r="BT42" t="str">
        <f>HYPERLINK("https%3A%2F%2Fwww.webofscience.com%2Fwos%2Fwoscc%2Ffull-record%2FWOS:000524879900008","View Full Record in Web of Science")</f>
        <v>View Full Record in Web of Science</v>
      </c>
    </row>
    <row r="43" spans="1:72" x14ac:dyDescent="0.25">
      <c r="A43" t="s">
        <v>72</v>
      </c>
      <c r="B43" t="s">
        <v>899</v>
      </c>
      <c r="C43" t="s">
        <v>74</v>
      </c>
      <c r="D43" t="s">
        <v>74</v>
      </c>
      <c r="E43" t="s">
        <v>74</v>
      </c>
      <c r="F43" t="s">
        <v>900</v>
      </c>
      <c r="G43" t="s">
        <v>74</v>
      </c>
      <c r="H43" t="s">
        <v>74</v>
      </c>
      <c r="I43" t="s">
        <v>901</v>
      </c>
      <c r="J43" t="s">
        <v>77</v>
      </c>
      <c r="K43" t="s">
        <v>74</v>
      </c>
      <c r="L43" t="s">
        <v>74</v>
      </c>
      <c r="M43" t="s">
        <v>78</v>
      </c>
      <c r="N43" t="s">
        <v>79</v>
      </c>
      <c r="O43" t="s">
        <v>74</v>
      </c>
      <c r="P43" t="s">
        <v>74</v>
      </c>
      <c r="Q43" t="s">
        <v>74</v>
      </c>
      <c r="R43" t="s">
        <v>74</v>
      </c>
      <c r="S43" t="s">
        <v>74</v>
      </c>
      <c r="T43" t="s">
        <v>902</v>
      </c>
      <c r="U43" t="s">
        <v>903</v>
      </c>
      <c r="V43" t="s">
        <v>904</v>
      </c>
      <c r="W43" t="s">
        <v>905</v>
      </c>
      <c r="X43" t="s">
        <v>906</v>
      </c>
      <c r="Y43" t="s">
        <v>907</v>
      </c>
      <c r="Z43" t="s">
        <v>908</v>
      </c>
      <c r="AA43" t="s">
        <v>909</v>
      </c>
      <c r="AB43" t="s">
        <v>910</v>
      </c>
      <c r="AC43" t="s">
        <v>74</v>
      </c>
      <c r="AD43" t="s">
        <v>74</v>
      </c>
      <c r="AE43" t="s">
        <v>74</v>
      </c>
      <c r="AF43" t="s">
        <v>74</v>
      </c>
      <c r="AG43">
        <v>58</v>
      </c>
      <c r="AH43">
        <v>4</v>
      </c>
      <c r="AI43">
        <v>4</v>
      </c>
      <c r="AJ43">
        <v>0</v>
      </c>
      <c r="AK43">
        <v>20</v>
      </c>
      <c r="AL43" t="s">
        <v>90</v>
      </c>
      <c r="AM43" t="s">
        <v>118</v>
      </c>
      <c r="AN43" t="s">
        <v>119</v>
      </c>
      <c r="AO43" t="s">
        <v>93</v>
      </c>
      <c r="AP43" t="s">
        <v>94</v>
      </c>
      <c r="AQ43" t="s">
        <v>74</v>
      </c>
      <c r="AR43" t="s">
        <v>95</v>
      </c>
      <c r="AS43" t="s">
        <v>96</v>
      </c>
      <c r="AT43" t="s">
        <v>911</v>
      </c>
      <c r="AU43">
        <v>2020</v>
      </c>
      <c r="AV43">
        <v>26</v>
      </c>
      <c r="AW43">
        <v>1</v>
      </c>
      <c r="AX43" t="s">
        <v>74</v>
      </c>
      <c r="AY43" t="s">
        <v>74</v>
      </c>
      <c r="AZ43" t="s">
        <v>74</v>
      </c>
      <c r="BA43" t="s">
        <v>74</v>
      </c>
      <c r="BB43">
        <v>19</v>
      </c>
      <c r="BC43">
        <v>32</v>
      </c>
      <c r="BD43" t="s">
        <v>74</v>
      </c>
      <c r="BE43" t="s">
        <v>912</v>
      </c>
      <c r="BF43" t="str">
        <f>HYPERLINK("http://dx.doi.org/10.1108/JQME-09-2018-0073","http://dx.doi.org/10.1108/JQME-09-2018-0073")</f>
        <v>http://dx.doi.org/10.1108/JQME-09-2018-0073</v>
      </c>
      <c r="BG43" t="s">
        <v>74</v>
      </c>
      <c r="BH43" t="s">
        <v>74</v>
      </c>
      <c r="BI43">
        <v>14</v>
      </c>
      <c r="BJ43" t="s">
        <v>100</v>
      </c>
      <c r="BK43" t="s">
        <v>101</v>
      </c>
      <c r="BL43" t="s">
        <v>102</v>
      </c>
      <c r="BM43" t="s">
        <v>913</v>
      </c>
      <c r="BN43" t="s">
        <v>74</v>
      </c>
      <c r="BO43" t="s">
        <v>74</v>
      </c>
      <c r="BP43" t="s">
        <v>74</v>
      </c>
      <c r="BQ43" t="s">
        <v>74</v>
      </c>
      <c r="BR43" t="s">
        <v>104</v>
      </c>
      <c r="BS43" t="s">
        <v>914</v>
      </c>
      <c r="BT43" t="str">
        <f>HYPERLINK("https%3A%2F%2Fwww.webofscience.com%2Fwos%2Fwoscc%2Ffull-record%2FWOS:000511243400002","View Full Record in Web of Science")</f>
        <v>View Full Record in Web of Science</v>
      </c>
    </row>
    <row r="44" spans="1:72" x14ac:dyDescent="0.25">
      <c r="A44" t="s">
        <v>72</v>
      </c>
      <c r="B44" t="s">
        <v>915</v>
      </c>
      <c r="C44" t="s">
        <v>74</v>
      </c>
      <c r="D44" t="s">
        <v>74</v>
      </c>
      <c r="E44" t="s">
        <v>74</v>
      </c>
      <c r="F44" t="s">
        <v>916</v>
      </c>
      <c r="G44" t="s">
        <v>74</v>
      </c>
      <c r="H44" t="s">
        <v>74</v>
      </c>
      <c r="I44" t="s">
        <v>917</v>
      </c>
      <c r="J44" t="s">
        <v>918</v>
      </c>
      <c r="K44" t="s">
        <v>74</v>
      </c>
      <c r="L44" t="s">
        <v>74</v>
      </c>
      <c r="M44" t="s">
        <v>78</v>
      </c>
      <c r="N44" t="s">
        <v>79</v>
      </c>
      <c r="O44" t="s">
        <v>74</v>
      </c>
      <c r="P44" t="s">
        <v>74</v>
      </c>
      <c r="Q44" t="s">
        <v>74</v>
      </c>
      <c r="R44" t="s">
        <v>74</v>
      </c>
      <c r="S44" t="s">
        <v>74</v>
      </c>
      <c r="T44" t="s">
        <v>919</v>
      </c>
      <c r="U44" t="s">
        <v>920</v>
      </c>
      <c r="V44" t="s">
        <v>921</v>
      </c>
      <c r="W44" t="s">
        <v>922</v>
      </c>
      <c r="X44" t="s">
        <v>923</v>
      </c>
      <c r="Y44" t="s">
        <v>924</v>
      </c>
      <c r="Z44" t="s">
        <v>925</v>
      </c>
      <c r="AA44" t="s">
        <v>926</v>
      </c>
      <c r="AB44" t="s">
        <v>927</v>
      </c>
      <c r="AC44" t="s">
        <v>74</v>
      </c>
      <c r="AD44" t="s">
        <v>74</v>
      </c>
      <c r="AE44" t="s">
        <v>74</v>
      </c>
      <c r="AF44" t="s">
        <v>74</v>
      </c>
      <c r="AG44">
        <v>25</v>
      </c>
      <c r="AH44">
        <v>0</v>
      </c>
      <c r="AI44">
        <v>0</v>
      </c>
      <c r="AJ44">
        <v>4</v>
      </c>
      <c r="AK44">
        <v>4</v>
      </c>
      <c r="AL44" t="s">
        <v>928</v>
      </c>
      <c r="AM44" t="s">
        <v>929</v>
      </c>
      <c r="AN44" t="s">
        <v>930</v>
      </c>
      <c r="AO44" t="s">
        <v>74</v>
      </c>
      <c r="AP44" t="s">
        <v>931</v>
      </c>
      <c r="AQ44" t="s">
        <v>74</v>
      </c>
      <c r="AR44" t="s">
        <v>918</v>
      </c>
      <c r="AS44" t="s">
        <v>932</v>
      </c>
      <c r="AT44" t="s">
        <v>559</v>
      </c>
      <c r="AU44">
        <v>2024</v>
      </c>
      <c r="AV44">
        <v>11</v>
      </c>
      <c r="AW44">
        <v>2</v>
      </c>
      <c r="AX44" t="s">
        <v>74</v>
      </c>
      <c r="AY44" t="s">
        <v>74</v>
      </c>
      <c r="AZ44" t="s">
        <v>74</v>
      </c>
      <c r="BA44" t="s">
        <v>74</v>
      </c>
      <c r="BB44">
        <v>281</v>
      </c>
      <c r="BC44">
        <v>292</v>
      </c>
      <c r="BD44" t="s">
        <v>74</v>
      </c>
      <c r="BE44" t="s">
        <v>933</v>
      </c>
      <c r="BF44" t="str">
        <f>HYPERLINK("http://dx.doi.org/10.22306/al.v11i2.511","http://dx.doi.org/10.22306/al.v11i2.511")</f>
        <v>http://dx.doi.org/10.22306/al.v11i2.511</v>
      </c>
      <c r="BG44" t="s">
        <v>74</v>
      </c>
      <c r="BH44" t="s">
        <v>74</v>
      </c>
      <c r="BI44">
        <v>12</v>
      </c>
      <c r="BJ44" t="s">
        <v>934</v>
      </c>
      <c r="BK44" t="s">
        <v>101</v>
      </c>
      <c r="BL44" t="s">
        <v>398</v>
      </c>
      <c r="BM44" t="s">
        <v>935</v>
      </c>
      <c r="BN44" t="s">
        <v>74</v>
      </c>
      <c r="BO44" t="s">
        <v>208</v>
      </c>
      <c r="BP44" t="s">
        <v>74</v>
      </c>
      <c r="BQ44" t="s">
        <v>74</v>
      </c>
      <c r="BR44" t="s">
        <v>104</v>
      </c>
      <c r="BS44" t="s">
        <v>936</v>
      </c>
      <c r="BT44" t="str">
        <f>HYPERLINK("https%3A%2F%2Fwww.webofscience.com%2Fwos%2Fwoscc%2Ffull-record%2FWOS:001260773500008","View Full Record in Web of Science")</f>
        <v>View Full Record in Web of Science</v>
      </c>
    </row>
    <row r="45" spans="1:72" x14ac:dyDescent="0.25">
      <c r="A45" t="s">
        <v>72</v>
      </c>
      <c r="B45" t="s">
        <v>937</v>
      </c>
      <c r="C45" t="s">
        <v>74</v>
      </c>
      <c r="D45" t="s">
        <v>74</v>
      </c>
      <c r="E45" t="s">
        <v>74</v>
      </c>
      <c r="F45" t="s">
        <v>938</v>
      </c>
      <c r="G45" t="s">
        <v>74</v>
      </c>
      <c r="H45" t="s">
        <v>74</v>
      </c>
      <c r="I45" t="s">
        <v>939</v>
      </c>
      <c r="J45" t="s">
        <v>940</v>
      </c>
      <c r="K45" t="s">
        <v>74</v>
      </c>
      <c r="L45" t="s">
        <v>74</v>
      </c>
      <c r="M45" t="s">
        <v>78</v>
      </c>
      <c r="N45" t="s">
        <v>79</v>
      </c>
      <c r="O45" t="s">
        <v>74</v>
      </c>
      <c r="P45" t="s">
        <v>74</v>
      </c>
      <c r="Q45" t="s">
        <v>74</v>
      </c>
      <c r="R45" t="s">
        <v>74</v>
      </c>
      <c r="S45" t="s">
        <v>74</v>
      </c>
      <c r="T45" t="s">
        <v>941</v>
      </c>
      <c r="U45" t="s">
        <v>942</v>
      </c>
      <c r="V45" t="s">
        <v>943</v>
      </c>
      <c r="W45" t="s">
        <v>944</v>
      </c>
      <c r="X45" t="s">
        <v>945</v>
      </c>
      <c r="Y45" t="s">
        <v>946</v>
      </c>
      <c r="Z45" t="s">
        <v>947</v>
      </c>
      <c r="AA45" t="s">
        <v>948</v>
      </c>
      <c r="AB45" t="s">
        <v>949</v>
      </c>
      <c r="AC45" t="s">
        <v>74</v>
      </c>
      <c r="AD45" t="s">
        <v>74</v>
      </c>
      <c r="AE45" t="s">
        <v>74</v>
      </c>
      <c r="AF45" t="s">
        <v>74</v>
      </c>
      <c r="AG45">
        <v>49</v>
      </c>
      <c r="AH45">
        <v>1</v>
      </c>
      <c r="AI45">
        <v>2</v>
      </c>
      <c r="AJ45">
        <v>5</v>
      </c>
      <c r="AK45">
        <v>27</v>
      </c>
      <c r="AL45" t="s">
        <v>220</v>
      </c>
      <c r="AM45" t="s">
        <v>221</v>
      </c>
      <c r="AN45" t="s">
        <v>222</v>
      </c>
      <c r="AO45" t="s">
        <v>950</v>
      </c>
      <c r="AP45" t="s">
        <v>951</v>
      </c>
      <c r="AQ45" t="s">
        <v>74</v>
      </c>
      <c r="AR45" t="s">
        <v>952</v>
      </c>
      <c r="AS45" t="s">
        <v>953</v>
      </c>
      <c r="AT45" t="s">
        <v>533</v>
      </c>
      <c r="AU45">
        <v>2020</v>
      </c>
      <c r="AV45">
        <v>67</v>
      </c>
      <c r="AW45">
        <v>1</v>
      </c>
      <c r="AX45" t="s">
        <v>74</v>
      </c>
      <c r="AY45" t="s">
        <v>74</v>
      </c>
      <c r="AZ45" t="s">
        <v>74</v>
      </c>
      <c r="BA45" t="s">
        <v>74</v>
      </c>
      <c r="BB45">
        <v>81</v>
      </c>
      <c r="BC45">
        <v>91</v>
      </c>
      <c r="BD45" t="s">
        <v>74</v>
      </c>
      <c r="BE45" t="s">
        <v>954</v>
      </c>
      <c r="BF45" t="str">
        <f>HYPERLINK("http://dx.doi.org/10.1109/TEM.2018.2864979","http://dx.doi.org/10.1109/TEM.2018.2864979")</f>
        <v>http://dx.doi.org/10.1109/TEM.2018.2864979</v>
      </c>
      <c r="BG45" t="s">
        <v>74</v>
      </c>
      <c r="BH45" t="s">
        <v>74</v>
      </c>
      <c r="BI45">
        <v>11</v>
      </c>
      <c r="BJ45" t="s">
        <v>955</v>
      </c>
      <c r="BK45" t="s">
        <v>322</v>
      </c>
      <c r="BL45" t="s">
        <v>956</v>
      </c>
      <c r="BM45" t="s">
        <v>957</v>
      </c>
      <c r="BN45" t="s">
        <v>74</v>
      </c>
      <c r="BO45" t="s">
        <v>74</v>
      </c>
      <c r="BP45" t="s">
        <v>74</v>
      </c>
      <c r="BQ45" t="s">
        <v>74</v>
      </c>
      <c r="BR45" t="s">
        <v>104</v>
      </c>
      <c r="BS45" t="s">
        <v>958</v>
      </c>
      <c r="BT45" t="str">
        <f>HYPERLINK("https%3A%2F%2Fwww.webofscience.com%2Fwos%2Fwoscc%2Ffull-record%2FWOS:000510672900008","View Full Record in Web of Science")</f>
        <v>View Full Record in Web of Science</v>
      </c>
    </row>
    <row r="46" spans="1:72" x14ac:dyDescent="0.25">
      <c r="A46" t="s">
        <v>72</v>
      </c>
      <c r="B46" t="s">
        <v>959</v>
      </c>
      <c r="C46" t="s">
        <v>74</v>
      </c>
      <c r="D46" t="s">
        <v>74</v>
      </c>
      <c r="E46" t="s">
        <v>74</v>
      </c>
      <c r="F46" t="s">
        <v>960</v>
      </c>
      <c r="G46" t="s">
        <v>74</v>
      </c>
      <c r="H46" t="s">
        <v>74</v>
      </c>
      <c r="I46" t="s">
        <v>961</v>
      </c>
      <c r="J46" t="s">
        <v>918</v>
      </c>
      <c r="K46" t="s">
        <v>74</v>
      </c>
      <c r="L46" t="s">
        <v>74</v>
      </c>
      <c r="M46" t="s">
        <v>78</v>
      </c>
      <c r="N46" t="s">
        <v>79</v>
      </c>
      <c r="O46" t="s">
        <v>74</v>
      </c>
      <c r="P46" t="s">
        <v>74</v>
      </c>
      <c r="Q46" t="s">
        <v>74</v>
      </c>
      <c r="R46" t="s">
        <v>74</v>
      </c>
      <c r="S46" t="s">
        <v>74</v>
      </c>
      <c r="T46" t="s">
        <v>962</v>
      </c>
      <c r="U46" t="s">
        <v>963</v>
      </c>
      <c r="V46" t="s">
        <v>964</v>
      </c>
      <c r="W46" t="s">
        <v>965</v>
      </c>
      <c r="X46" t="s">
        <v>966</v>
      </c>
      <c r="Y46" t="s">
        <v>967</v>
      </c>
      <c r="Z46" t="s">
        <v>968</v>
      </c>
      <c r="AA46" t="s">
        <v>969</v>
      </c>
      <c r="AB46" t="s">
        <v>74</v>
      </c>
      <c r="AC46" t="s">
        <v>74</v>
      </c>
      <c r="AD46" t="s">
        <v>74</v>
      </c>
      <c r="AE46" t="s">
        <v>74</v>
      </c>
      <c r="AF46" t="s">
        <v>74</v>
      </c>
      <c r="AG46">
        <v>29</v>
      </c>
      <c r="AH46">
        <v>0</v>
      </c>
      <c r="AI46">
        <v>0</v>
      </c>
      <c r="AJ46">
        <v>3</v>
      </c>
      <c r="AK46">
        <v>6</v>
      </c>
      <c r="AL46" t="s">
        <v>928</v>
      </c>
      <c r="AM46" t="s">
        <v>929</v>
      </c>
      <c r="AN46" t="s">
        <v>930</v>
      </c>
      <c r="AO46" t="s">
        <v>74</v>
      </c>
      <c r="AP46" t="s">
        <v>931</v>
      </c>
      <c r="AQ46" t="s">
        <v>74</v>
      </c>
      <c r="AR46" t="s">
        <v>918</v>
      </c>
      <c r="AS46" t="s">
        <v>932</v>
      </c>
      <c r="AT46" t="s">
        <v>145</v>
      </c>
      <c r="AU46">
        <v>2023</v>
      </c>
      <c r="AV46">
        <v>10</v>
      </c>
      <c r="AW46">
        <v>4</v>
      </c>
      <c r="AX46" t="s">
        <v>74</v>
      </c>
      <c r="AY46" t="s">
        <v>74</v>
      </c>
      <c r="AZ46" t="s">
        <v>74</v>
      </c>
      <c r="BA46" t="s">
        <v>74</v>
      </c>
      <c r="BB46">
        <v>577</v>
      </c>
      <c r="BC46">
        <v>587</v>
      </c>
      <c r="BD46" t="s">
        <v>74</v>
      </c>
      <c r="BE46" t="s">
        <v>970</v>
      </c>
      <c r="BF46" t="str">
        <f>HYPERLINK("http://dx.doi.org/10.22306/al.v10i4.436","http://dx.doi.org/10.22306/al.v10i4.436")</f>
        <v>http://dx.doi.org/10.22306/al.v10i4.436</v>
      </c>
      <c r="BG46" t="s">
        <v>74</v>
      </c>
      <c r="BH46" t="s">
        <v>74</v>
      </c>
      <c r="BI46">
        <v>11</v>
      </c>
      <c r="BJ46" t="s">
        <v>934</v>
      </c>
      <c r="BK46" t="s">
        <v>101</v>
      </c>
      <c r="BL46" t="s">
        <v>398</v>
      </c>
      <c r="BM46" t="s">
        <v>971</v>
      </c>
      <c r="BN46" t="s">
        <v>74</v>
      </c>
      <c r="BO46" t="s">
        <v>208</v>
      </c>
      <c r="BP46" t="s">
        <v>74</v>
      </c>
      <c r="BQ46" t="s">
        <v>74</v>
      </c>
      <c r="BR46" t="s">
        <v>104</v>
      </c>
      <c r="BS46" t="s">
        <v>972</v>
      </c>
      <c r="BT46" t="str">
        <f>HYPERLINK("https%3A%2F%2Fwww.webofscience.com%2Fwos%2Fwoscc%2Ffull-record%2FWOS:001135924300008","View Full Record in Web of Science")</f>
        <v>View Full Record in Web of Science</v>
      </c>
    </row>
    <row r="47" spans="1:72" x14ac:dyDescent="0.25">
      <c r="A47" t="s">
        <v>72</v>
      </c>
      <c r="B47" t="s">
        <v>973</v>
      </c>
      <c r="C47" t="s">
        <v>74</v>
      </c>
      <c r="D47" t="s">
        <v>74</v>
      </c>
      <c r="E47" t="s">
        <v>74</v>
      </c>
      <c r="F47" t="s">
        <v>974</v>
      </c>
      <c r="G47" t="s">
        <v>74</v>
      </c>
      <c r="H47" t="s">
        <v>74</v>
      </c>
      <c r="I47" t="s">
        <v>975</v>
      </c>
      <c r="J47" t="s">
        <v>128</v>
      </c>
      <c r="K47" t="s">
        <v>74</v>
      </c>
      <c r="L47" t="s">
        <v>74</v>
      </c>
      <c r="M47" t="s">
        <v>78</v>
      </c>
      <c r="N47" t="s">
        <v>79</v>
      </c>
      <c r="O47" t="s">
        <v>74</v>
      </c>
      <c r="P47" t="s">
        <v>74</v>
      </c>
      <c r="Q47" t="s">
        <v>74</v>
      </c>
      <c r="R47" t="s">
        <v>74</v>
      </c>
      <c r="S47" t="s">
        <v>74</v>
      </c>
      <c r="T47" t="s">
        <v>976</v>
      </c>
      <c r="U47" t="s">
        <v>977</v>
      </c>
      <c r="V47" t="s">
        <v>978</v>
      </c>
      <c r="W47" t="s">
        <v>979</v>
      </c>
      <c r="X47" t="s">
        <v>980</v>
      </c>
      <c r="Y47" t="s">
        <v>981</v>
      </c>
      <c r="Z47" t="s">
        <v>982</v>
      </c>
      <c r="AA47" t="s">
        <v>983</v>
      </c>
      <c r="AB47" t="s">
        <v>984</v>
      </c>
      <c r="AC47" t="s">
        <v>985</v>
      </c>
      <c r="AD47" t="s">
        <v>986</v>
      </c>
      <c r="AE47" t="s">
        <v>987</v>
      </c>
      <c r="AF47" t="s">
        <v>74</v>
      </c>
      <c r="AG47">
        <v>64</v>
      </c>
      <c r="AH47">
        <v>9</v>
      </c>
      <c r="AI47">
        <v>9</v>
      </c>
      <c r="AJ47">
        <v>22</v>
      </c>
      <c r="AK47">
        <v>25</v>
      </c>
      <c r="AL47" t="s">
        <v>138</v>
      </c>
      <c r="AM47" t="s">
        <v>139</v>
      </c>
      <c r="AN47" t="s">
        <v>140</v>
      </c>
      <c r="AO47" t="s">
        <v>141</v>
      </c>
      <c r="AP47" t="s">
        <v>142</v>
      </c>
      <c r="AQ47" t="s">
        <v>74</v>
      </c>
      <c r="AR47" t="s">
        <v>143</v>
      </c>
      <c r="AS47" t="s">
        <v>144</v>
      </c>
      <c r="AT47" t="s">
        <v>145</v>
      </c>
      <c r="AU47">
        <v>2024</v>
      </c>
      <c r="AV47">
        <v>252</v>
      </c>
      <c r="AW47" t="s">
        <v>74</v>
      </c>
      <c r="AX47" t="s">
        <v>74</v>
      </c>
      <c r="AY47" t="s">
        <v>74</v>
      </c>
      <c r="AZ47" t="s">
        <v>74</v>
      </c>
      <c r="BA47" t="s">
        <v>74</v>
      </c>
      <c r="BB47" t="s">
        <v>74</v>
      </c>
      <c r="BC47" t="s">
        <v>74</v>
      </c>
      <c r="BD47">
        <v>110426</v>
      </c>
      <c r="BE47" t="s">
        <v>988</v>
      </c>
      <c r="BF47" t="str">
        <f>HYPERLINK("http://dx.doi.org/10.1016/j.ress.2024.110426","http://dx.doi.org/10.1016/j.ress.2024.110426")</f>
        <v>http://dx.doi.org/10.1016/j.ress.2024.110426</v>
      </c>
      <c r="BG47" t="s">
        <v>74</v>
      </c>
      <c r="BH47" t="s">
        <v>989</v>
      </c>
      <c r="BI47">
        <v>16</v>
      </c>
      <c r="BJ47" t="s">
        <v>148</v>
      </c>
      <c r="BK47" t="s">
        <v>149</v>
      </c>
      <c r="BL47" t="s">
        <v>150</v>
      </c>
      <c r="BM47" t="s">
        <v>990</v>
      </c>
      <c r="BN47" t="s">
        <v>74</v>
      </c>
      <c r="BO47" t="s">
        <v>74</v>
      </c>
      <c r="BP47" t="s">
        <v>74</v>
      </c>
      <c r="BQ47" t="s">
        <v>74</v>
      </c>
      <c r="BR47" t="s">
        <v>104</v>
      </c>
      <c r="BS47" t="s">
        <v>991</v>
      </c>
      <c r="BT47" t="str">
        <f>HYPERLINK("https%3A%2F%2Fwww.webofscience.com%2Fwos%2Fwoscc%2Ffull-record%2FWOS:001301569000001","View Full Record in Web of Science")</f>
        <v>View Full Record in Web of Science</v>
      </c>
    </row>
    <row r="48" spans="1:72" x14ac:dyDescent="0.25">
      <c r="A48" t="s">
        <v>72</v>
      </c>
      <c r="B48" t="s">
        <v>992</v>
      </c>
      <c r="C48" t="s">
        <v>74</v>
      </c>
      <c r="D48" t="s">
        <v>74</v>
      </c>
      <c r="E48" t="s">
        <v>74</v>
      </c>
      <c r="F48" t="s">
        <v>993</v>
      </c>
      <c r="G48" t="s">
        <v>74</v>
      </c>
      <c r="H48" t="s">
        <v>74</v>
      </c>
      <c r="I48" t="s">
        <v>994</v>
      </c>
      <c r="J48" t="s">
        <v>995</v>
      </c>
      <c r="K48" t="s">
        <v>74</v>
      </c>
      <c r="L48" t="s">
        <v>74</v>
      </c>
      <c r="M48" t="s">
        <v>78</v>
      </c>
      <c r="N48" t="s">
        <v>79</v>
      </c>
      <c r="O48" t="s">
        <v>74</v>
      </c>
      <c r="P48" t="s">
        <v>74</v>
      </c>
      <c r="Q48" t="s">
        <v>74</v>
      </c>
      <c r="R48" t="s">
        <v>74</v>
      </c>
      <c r="S48" t="s">
        <v>74</v>
      </c>
      <c r="T48" t="s">
        <v>996</v>
      </c>
      <c r="U48" t="s">
        <v>74</v>
      </c>
      <c r="V48" t="s">
        <v>997</v>
      </c>
      <c r="W48" t="s">
        <v>998</v>
      </c>
      <c r="X48" t="s">
        <v>999</v>
      </c>
      <c r="Y48" t="s">
        <v>1000</v>
      </c>
      <c r="Z48" t="s">
        <v>1001</v>
      </c>
      <c r="AA48" t="s">
        <v>74</v>
      </c>
      <c r="AB48" t="s">
        <v>74</v>
      </c>
      <c r="AC48" t="s">
        <v>1002</v>
      </c>
      <c r="AD48" t="s">
        <v>999</v>
      </c>
      <c r="AE48" t="s">
        <v>1003</v>
      </c>
      <c r="AF48" t="s">
        <v>74</v>
      </c>
      <c r="AG48">
        <v>46</v>
      </c>
      <c r="AH48">
        <v>39</v>
      </c>
      <c r="AI48">
        <v>41</v>
      </c>
      <c r="AJ48">
        <v>5</v>
      </c>
      <c r="AK48">
        <v>42</v>
      </c>
      <c r="AL48" t="s">
        <v>484</v>
      </c>
      <c r="AM48" t="s">
        <v>485</v>
      </c>
      <c r="AN48" t="s">
        <v>486</v>
      </c>
      <c r="AO48" t="s">
        <v>1004</v>
      </c>
      <c r="AP48" t="s">
        <v>1005</v>
      </c>
      <c r="AQ48" t="s">
        <v>74</v>
      </c>
      <c r="AR48" t="s">
        <v>1006</v>
      </c>
      <c r="AS48" t="s">
        <v>1007</v>
      </c>
      <c r="AT48" t="s">
        <v>1008</v>
      </c>
      <c r="AU48">
        <v>2021</v>
      </c>
      <c r="AV48">
        <v>24</v>
      </c>
      <c r="AW48">
        <v>1</v>
      </c>
      <c r="AX48" t="s">
        <v>74</v>
      </c>
      <c r="AY48" t="s">
        <v>74</v>
      </c>
      <c r="AZ48" t="s">
        <v>74</v>
      </c>
      <c r="BA48" t="s">
        <v>74</v>
      </c>
      <c r="BB48">
        <v>34</v>
      </c>
      <c r="BC48">
        <v>50</v>
      </c>
      <c r="BD48" t="s">
        <v>74</v>
      </c>
      <c r="BE48" t="s">
        <v>1009</v>
      </c>
      <c r="BF48" t="str">
        <f>HYPERLINK("http://dx.doi.org/10.1002/sys.21565","http://dx.doi.org/10.1002/sys.21565")</f>
        <v>http://dx.doi.org/10.1002/sys.21565</v>
      </c>
      <c r="BG48" t="s">
        <v>74</v>
      </c>
      <c r="BH48" t="s">
        <v>434</v>
      </c>
      <c r="BI48">
        <v>17</v>
      </c>
      <c r="BJ48" t="s">
        <v>148</v>
      </c>
      <c r="BK48" t="s">
        <v>149</v>
      </c>
      <c r="BL48" t="s">
        <v>150</v>
      </c>
      <c r="BM48" t="s">
        <v>1010</v>
      </c>
      <c r="BN48" t="s">
        <v>74</v>
      </c>
      <c r="BO48" t="s">
        <v>74</v>
      </c>
      <c r="BP48" t="s">
        <v>74</v>
      </c>
      <c r="BQ48" t="s">
        <v>74</v>
      </c>
      <c r="BR48" t="s">
        <v>104</v>
      </c>
      <c r="BS48" t="s">
        <v>1011</v>
      </c>
      <c r="BT48" t="str">
        <f>HYPERLINK("https%3A%2F%2Fwww.webofscience.com%2Fwos%2Fwoscc%2Ffull-record%2FWOS:000601408700001","View Full Record in Web of Science")</f>
        <v>View Full Record in Web of Science</v>
      </c>
    </row>
    <row r="49" spans="1:72" x14ac:dyDescent="0.25">
      <c r="A49" t="s">
        <v>72</v>
      </c>
      <c r="B49" t="s">
        <v>1012</v>
      </c>
      <c r="C49" t="s">
        <v>74</v>
      </c>
      <c r="D49" t="s">
        <v>74</v>
      </c>
      <c r="E49" t="s">
        <v>74</v>
      </c>
      <c r="F49" t="s">
        <v>1013</v>
      </c>
      <c r="G49" t="s">
        <v>74</v>
      </c>
      <c r="H49" t="s">
        <v>74</v>
      </c>
      <c r="I49" t="s">
        <v>1014</v>
      </c>
      <c r="J49" t="s">
        <v>77</v>
      </c>
      <c r="K49" t="s">
        <v>74</v>
      </c>
      <c r="L49" t="s">
        <v>74</v>
      </c>
      <c r="M49" t="s">
        <v>78</v>
      </c>
      <c r="N49" t="s">
        <v>79</v>
      </c>
      <c r="O49" t="s">
        <v>74</v>
      </c>
      <c r="P49" t="s">
        <v>74</v>
      </c>
      <c r="Q49" t="s">
        <v>74</v>
      </c>
      <c r="R49" t="s">
        <v>74</v>
      </c>
      <c r="S49" t="s">
        <v>74</v>
      </c>
      <c r="T49" t="s">
        <v>1015</v>
      </c>
      <c r="U49" t="s">
        <v>74</v>
      </c>
      <c r="V49" t="s">
        <v>1016</v>
      </c>
      <c r="W49" t="s">
        <v>1017</v>
      </c>
      <c r="X49" t="s">
        <v>1018</v>
      </c>
      <c r="Y49" t="s">
        <v>1019</v>
      </c>
      <c r="Z49" t="s">
        <v>1020</v>
      </c>
      <c r="AA49" t="s">
        <v>1021</v>
      </c>
      <c r="AB49" t="s">
        <v>74</v>
      </c>
      <c r="AC49" t="s">
        <v>74</v>
      </c>
      <c r="AD49" t="s">
        <v>74</v>
      </c>
      <c r="AE49" t="s">
        <v>74</v>
      </c>
      <c r="AF49" t="s">
        <v>74</v>
      </c>
      <c r="AG49">
        <v>21</v>
      </c>
      <c r="AH49">
        <v>9</v>
      </c>
      <c r="AI49">
        <v>9</v>
      </c>
      <c r="AJ49">
        <v>0</v>
      </c>
      <c r="AK49">
        <v>14</v>
      </c>
      <c r="AL49" t="s">
        <v>90</v>
      </c>
      <c r="AM49" t="s">
        <v>118</v>
      </c>
      <c r="AN49" t="s">
        <v>119</v>
      </c>
      <c r="AO49" t="s">
        <v>93</v>
      </c>
      <c r="AP49" t="s">
        <v>94</v>
      </c>
      <c r="AQ49" t="s">
        <v>74</v>
      </c>
      <c r="AR49" t="s">
        <v>95</v>
      </c>
      <c r="AS49" t="s">
        <v>96</v>
      </c>
      <c r="AT49" t="s">
        <v>1022</v>
      </c>
      <c r="AU49">
        <v>2020</v>
      </c>
      <c r="AV49">
        <v>26</v>
      </c>
      <c r="AW49">
        <v>4</v>
      </c>
      <c r="AX49" t="s">
        <v>74</v>
      </c>
      <c r="AY49" t="s">
        <v>74</v>
      </c>
      <c r="AZ49" t="s">
        <v>74</v>
      </c>
      <c r="BA49" t="s">
        <v>74</v>
      </c>
      <c r="BB49">
        <v>575</v>
      </c>
      <c r="BC49">
        <v>591</v>
      </c>
      <c r="BD49" t="s">
        <v>74</v>
      </c>
      <c r="BE49" t="s">
        <v>1023</v>
      </c>
      <c r="BF49" t="str">
        <f>HYPERLINK("http://dx.doi.org/10.1108/JQME-11-2018-0098","http://dx.doi.org/10.1108/JQME-11-2018-0098")</f>
        <v>http://dx.doi.org/10.1108/JQME-11-2018-0098</v>
      </c>
      <c r="BG49" t="s">
        <v>74</v>
      </c>
      <c r="BH49" t="s">
        <v>74</v>
      </c>
      <c r="BI49">
        <v>17</v>
      </c>
      <c r="BJ49" t="s">
        <v>100</v>
      </c>
      <c r="BK49" t="s">
        <v>101</v>
      </c>
      <c r="BL49" t="s">
        <v>102</v>
      </c>
      <c r="BM49" t="s">
        <v>1024</v>
      </c>
      <c r="BN49" t="s">
        <v>74</v>
      </c>
      <c r="BO49" t="s">
        <v>74</v>
      </c>
      <c r="BP49" t="s">
        <v>74</v>
      </c>
      <c r="BQ49" t="s">
        <v>74</v>
      </c>
      <c r="BR49" t="s">
        <v>104</v>
      </c>
      <c r="BS49" t="s">
        <v>1025</v>
      </c>
      <c r="BT49" t="str">
        <f>HYPERLINK("https%3A%2F%2Fwww.webofscience.com%2Fwos%2Fwoscc%2Ffull-record%2FWOS:000569412700004","View Full Record in Web of Science")</f>
        <v>View Full Record in Web of Science</v>
      </c>
    </row>
    <row r="50" spans="1:72" x14ac:dyDescent="0.25">
      <c r="A50" t="s">
        <v>72</v>
      </c>
      <c r="B50" t="s">
        <v>1026</v>
      </c>
      <c r="C50" t="s">
        <v>74</v>
      </c>
      <c r="D50" t="s">
        <v>74</v>
      </c>
      <c r="E50" t="s">
        <v>74</v>
      </c>
      <c r="F50" t="s">
        <v>1027</v>
      </c>
      <c r="G50" t="s">
        <v>74</v>
      </c>
      <c r="H50" t="s">
        <v>74</v>
      </c>
      <c r="I50" t="s">
        <v>1028</v>
      </c>
      <c r="J50" t="s">
        <v>299</v>
      </c>
      <c r="K50" t="s">
        <v>74</v>
      </c>
      <c r="L50" t="s">
        <v>74</v>
      </c>
      <c r="M50" t="s">
        <v>78</v>
      </c>
      <c r="N50" t="s">
        <v>79</v>
      </c>
      <c r="O50" t="s">
        <v>74</v>
      </c>
      <c r="P50" t="s">
        <v>74</v>
      </c>
      <c r="Q50" t="s">
        <v>74</v>
      </c>
      <c r="R50" t="s">
        <v>74</v>
      </c>
      <c r="S50" t="s">
        <v>74</v>
      </c>
      <c r="T50" t="s">
        <v>1029</v>
      </c>
      <c r="U50" t="s">
        <v>1030</v>
      </c>
      <c r="V50" t="s">
        <v>1031</v>
      </c>
      <c r="W50" t="s">
        <v>1032</v>
      </c>
      <c r="X50" t="s">
        <v>1033</v>
      </c>
      <c r="Y50" t="s">
        <v>1034</v>
      </c>
      <c r="Z50" t="s">
        <v>1035</v>
      </c>
      <c r="AA50" t="s">
        <v>1036</v>
      </c>
      <c r="AB50" t="s">
        <v>1037</v>
      </c>
      <c r="AC50" t="s">
        <v>1038</v>
      </c>
      <c r="AD50" t="s">
        <v>1038</v>
      </c>
      <c r="AE50" t="s">
        <v>1039</v>
      </c>
      <c r="AF50" t="s">
        <v>74</v>
      </c>
      <c r="AG50">
        <v>38</v>
      </c>
      <c r="AH50">
        <v>8</v>
      </c>
      <c r="AI50">
        <v>8</v>
      </c>
      <c r="AJ50">
        <v>8</v>
      </c>
      <c r="AK50">
        <v>30</v>
      </c>
      <c r="AL50" t="s">
        <v>311</v>
      </c>
      <c r="AM50" t="s">
        <v>312</v>
      </c>
      <c r="AN50" t="s">
        <v>313</v>
      </c>
      <c r="AO50" t="s">
        <v>314</v>
      </c>
      <c r="AP50" t="s">
        <v>315</v>
      </c>
      <c r="AQ50" t="s">
        <v>74</v>
      </c>
      <c r="AR50" t="s">
        <v>316</v>
      </c>
      <c r="AS50" t="s">
        <v>317</v>
      </c>
      <c r="AT50" t="s">
        <v>1040</v>
      </c>
      <c r="AU50">
        <v>2024</v>
      </c>
      <c r="AV50">
        <v>62</v>
      </c>
      <c r="AW50">
        <v>6</v>
      </c>
      <c r="AX50" t="s">
        <v>74</v>
      </c>
      <c r="AY50" t="s">
        <v>74</v>
      </c>
      <c r="AZ50" t="s">
        <v>74</v>
      </c>
      <c r="BA50" t="s">
        <v>74</v>
      </c>
      <c r="BB50">
        <v>2255</v>
      </c>
      <c r="BC50">
        <v>2271</v>
      </c>
      <c r="BD50" t="s">
        <v>74</v>
      </c>
      <c r="BE50" t="s">
        <v>1041</v>
      </c>
      <c r="BF50" t="str">
        <f>HYPERLINK("http://dx.doi.org/10.1080/00207543.2023.2217293","http://dx.doi.org/10.1080/00207543.2023.2217293")</f>
        <v>http://dx.doi.org/10.1080/00207543.2023.2217293</v>
      </c>
      <c r="BG50" t="s">
        <v>74</v>
      </c>
      <c r="BH50" t="s">
        <v>1042</v>
      </c>
      <c r="BI50">
        <v>17</v>
      </c>
      <c r="BJ50" t="s">
        <v>321</v>
      </c>
      <c r="BK50" t="s">
        <v>149</v>
      </c>
      <c r="BL50" t="s">
        <v>150</v>
      </c>
      <c r="BM50" t="s">
        <v>1043</v>
      </c>
      <c r="BN50" t="s">
        <v>74</v>
      </c>
      <c r="BO50" t="s">
        <v>1044</v>
      </c>
      <c r="BP50" t="s">
        <v>74</v>
      </c>
      <c r="BQ50" t="s">
        <v>74</v>
      </c>
      <c r="BR50" t="s">
        <v>104</v>
      </c>
      <c r="BS50" t="s">
        <v>1045</v>
      </c>
      <c r="BT50" t="str">
        <f>HYPERLINK("https%3A%2F%2Fwww.webofscience.com%2Fwos%2Fwoscc%2Ffull-record%2FWOS:000999994400001","View Full Record in Web of Science")</f>
        <v>View Full Record in Web of Science</v>
      </c>
    </row>
    <row r="51" spans="1:72" x14ac:dyDescent="0.25">
      <c r="A51" t="s">
        <v>72</v>
      </c>
      <c r="B51" t="s">
        <v>1046</v>
      </c>
      <c r="C51" t="s">
        <v>74</v>
      </c>
      <c r="D51" t="s">
        <v>74</v>
      </c>
      <c r="E51" t="s">
        <v>74</v>
      </c>
      <c r="F51" t="s">
        <v>1047</v>
      </c>
      <c r="G51" t="s">
        <v>74</v>
      </c>
      <c r="H51" t="s">
        <v>74</v>
      </c>
      <c r="I51" t="s">
        <v>1048</v>
      </c>
      <c r="J51" t="s">
        <v>77</v>
      </c>
      <c r="K51" t="s">
        <v>74</v>
      </c>
      <c r="L51" t="s">
        <v>74</v>
      </c>
      <c r="M51" t="s">
        <v>78</v>
      </c>
      <c r="N51" t="s">
        <v>79</v>
      </c>
      <c r="O51" t="s">
        <v>74</v>
      </c>
      <c r="P51" t="s">
        <v>74</v>
      </c>
      <c r="Q51" t="s">
        <v>74</v>
      </c>
      <c r="R51" t="s">
        <v>74</v>
      </c>
      <c r="S51" t="s">
        <v>74</v>
      </c>
      <c r="T51" t="s">
        <v>1049</v>
      </c>
      <c r="U51" t="s">
        <v>1050</v>
      </c>
      <c r="V51" t="s">
        <v>1051</v>
      </c>
      <c r="W51" t="s">
        <v>1052</v>
      </c>
      <c r="X51" t="s">
        <v>1053</v>
      </c>
      <c r="Y51" t="s">
        <v>1054</v>
      </c>
      <c r="Z51" t="s">
        <v>1055</v>
      </c>
      <c r="AA51" t="s">
        <v>1056</v>
      </c>
      <c r="AB51" t="s">
        <v>1057</v>
      </c>
      <c r="AC51" t="s">
        <v>74</v>
      </c>
      <c r="AD51" t="s">
        <v>74</v>
      </c>
      <c r="AE51" t="s">
        <v>74</v>
      </c>
      <c r="AF51" t="s">
        <v>74</v>
      </c>
      <c r="AG51">
        <v>35</v>
      </c>
      <c r="AH51">
        <v>7</v>
      </c>
      <c r="AI51">
        <v>7</v>
      </c>
      <c r="AJ51">
        <v>1</v>
      </c>
      <c r="AK51">
        <v>10</v>
      </c>
      <c r="AL51" t="s">
        <v>90</v>
      </c>
      <c r="AM51" t="s">
        <v>118</v>
      </c>
      <c r="AN51" t="s">
        <v>119</v>
      </c>
      <c r="AO51" t="s">
        <v>93</v>
      </c>
      <c r="AP51" t="s">
        <v>94</v>
      </c>
      <c r="AQ51" t="s">
        <v>74</v>
      </c>
      <c r="AR51" t="s">
        <v>95</v>
      </c>
      <c r="AS51" t="s">
        <v>96</v>
      </c>
      <c r="AT51" t="s">
        <v>97</v>
      </c>
      <c r="AU51">
        <v>2022</v>
      </c>
      <c r="AV51">
        <v>28</v>
      </c>
      <c r="AW51">
        <v>4</v>
      </c>
      <c r="AX51" t="s">
        <v>74</v>
      </c>
      <c r="AY51" t="s">
        <v>74</v>
      </c>
      <c r="AZ51" t="s">
        <v>74</v>
      </c>
      <c r="BA51" t="s">
        <v>74</v>
      </c>
      <c r="BB51">
        <v>689</v>
      </c>
      <c r="BC51">
        <v>716</v>
      </c>
      <c r="BD51" t="s">
        <v>74</v>
      </c>
      <c r="BE51" t="s">
        <v>1058</v>
      </c>
      <c r="BF51" t="str">
        <f>HYPERLINK("http://dx.doi.org/10.1108/JQME-02-2021-0016","http://dx.doi.org/10.1108/JQME-02-2021-0016")</f>
        <v>http://dx.doi.org/10.1108/JQME-02-2021-0016</v>
      </c>
      <c r="BG51" t="s">
        <v>74</v>
      </c>
      <c r="BH51" t="s">
        <v>1059</v>
      </c>
      <c r="BI51">
        <v>28</v>
      </c>
      <c r="BJ51" t="s">
        <v>100</v>
      </c>
      <c r="BK51" t="s">
        <v>101</v>
      </c>
      <c r="BL51" t="s">
        <v>102</v>
      </c>
      <c r="BM51" t="s">
        <v>103</v>
      </c>
      <c r="BN51" t="s">
        <v>74</v>
      </c>
      <c r="BO51" t="s">
        <v>758</v>
      </c>
      <c r="BP51" t="s">
        <v>74</v>
      </c>
      <c r="BQ51" t="s">
        <v>74</v>
      </c>
      <c r="BR51" t="s">
        <v>104</v>
      </c>
      <c r="BS51" t="s">
        <v>1060</v>
      </c>
      <c r="BT51" t="str">
        <f>HYPERLINK("https%3A%2F%2Fwww.webofscience.com%2Fwos%2Fwoscc%2Ffull-record%2FWOS:000675888000001","View Full Record in Web of Science")</f>
        <v>View Full Record in Web of Science</v>
      </c>
    </row>
    <row r="52" spans="1:72" x14ac:dyDescent="0.25">
      <c r="A52" t="s">
        <v>72</v>
      </c>
      <c r="B52" t="s">
        <v>1061</v>
      </c>
      <c r="C52" t="s">
        <v>74</v>
      </c>
      <c r="D52" t="s">
        <v>74</v>
      </c>
      <c r="E52" t="s">
        <v>74</v>
      </c>
      <c r="F52" t="s">
        <v>1062</v>
      </c>
      <c r="G52" t="s">
        <v>74</v>
      </c>
      <c r="H52" t="s">
        <v>74</v>
      </c>
      <c r="I52" t="s">
        <v>1063</v>
      </c>
      <c r="J52" t="s">
        <v>128</v>
      </c>
      <c r="K52" t="s">
        <v>74</v>
      </c>
      <c r="L52" t="s">
        <v>74</v>
      </c>
      <c r="M52" t="s">
        <v>78</v>
      </c>
      <c r="N52" t="s">
        <v>79</v>
      </c>
      <c r="O52" t="s">
        <v>74</v>
      </c>
      <c r="P52" t="s">
        <v>74</v>
      </c>
      <c r="Q52" t="s">
        <v>74</v>
      </c>
      <c r="R52" t="s">
        <v>74</v>
      </c>
      <c r="S52" t="s">
        <v>74</v>
      </c>
      <c r="T52" t="s">
        <v>1064</v>
      </c>
      <c r="U52" t="s">
        <v>1065</v>
      </c>
      <c r="V52" t="s">
        <v>1066</v>
      </c>
      <c r="W52" t="s">
        <v>1067</v>
      </c>
      <c r="X52" t="s">
        <v>1068</v>
      </c>
      <c r="Y52" t="s">
        <v>1069</v>
      </c>
      <c r="Z52" t="s">
        <v>1070</v>
      </c>
      <c r="AA52" t="s">
        <v>1071</v>
      </c>
      <c r="AB52" t="s">
        <v>1072</v>
      </c>
      <c r="AC52" t="s">
        <v>1073</v>
      </c>
      <c r="AD52" t="s">
        <v>1074</v>
      </c>
      <c r="AE52" t="s">
        <v>1075</v>
      </c>
      <c r="AF52" t="s">
        <v>74</v>
      </c>
      <c r="AG52">
        <v>48</v>
      </c>
      <c r="AH52">
        <v>14</v>
      </c>
      <c r="AI52">
        <v>14</v>
      </c>
      <c r="AJ52">
        <v>47</v>
      </c>
      <c r="AK52">
        <v>78</v>
      </c>
      <c r="AL52" t="s">
        <v>138</v>
      </c>
      <c r="AM52" t="s">
        <v>139</v>
      </c>
      <c r="AN52" t="s">
        <v>140</v>
      </c>
      <c r="AO52" t="s">
        <v>141</v>
      </c>
      <c r="AP52" t="s">
        <v>142</v>
      </c>
      <c r="AQ52" t="s">
        <v>74</v>
      </c>
      <c r="AR52" t="s">
        <v>143</v>
      </c>
      <c r="AS52" t="s">
        <v>144</v>
      </c>
      <c r="AT52" t="s">
        <v>1076</v>
      </c>
      <c r="AU52">
        <v>2024</v>
      </c>
      <c r="AV52">
        <v>250</v>
      </c>
      <c r="AW52" t="s">
        <v>74</v>
      </c>
      <c r="AX52" t="s">
        <v>74</v>
      </c>
      <c r="AY52" t="s">
        <v>74</v>
      </c>
      <c r="AZ52" t="s">
        <v>74</v>
      </c>
      <c r="BA52" t="s">
        <v>74</v>
      </c>
      <c r="BB52" t="s">
        <v>74</v>
      </c>
      <c r="BC52" t="s">
        <v>74</v>
      </c>
      <c r="BD52">
        <v>110292</v>
      </c>
      <c r="BE52" t="s">
        <v>1077</v>
      </c>
      <c r="BF52" t="str">
        <f>HYPERLINK("http://dx.doi.org/10.1016/j.ress.2024.110292","http://dx.doi.org/10.1016/j.ress.2024.110292")</f>
        <v>http://dx.doi.org/10.1016/j.ress.2024.110292</v>
      </c>
      <c r="BG52" t="s">
        <v>74</v>
      </c>
      <c r="BH52" t="s">
        <v>493</v>
      </c>
      <c r="BI52">
        <v>19</v>
      </c>
      <c r="BJ52" t="s">
        <v>148</v>
      </c>
      <c r="BK52" t="s">
        <v>149</v>
      </c>
      <c r="BL52" t="s">
        <v>150</v>
      </c>
      <c r="BM52" t="s">
        <v>1078</v>
      </c>
      <c r="BN52" t="s">
        <v>74</v>
      </c>
      <c r="BO52" t="s">
        <v>74</v>
      </c>
      <c r="BP52" t="s">
        <v>74</v>
      </c>
      <c r="BQ52" t="s">
        <v>74</v>
      </c>
      <c r="BR52" t="s">
        <v>104</v>
      </c>
      <c r="BS52" t="s">
        <v>1079</v>
      </c>
      <c r="BT52" t="str">
        <f>HYPERLINK("https%3A%2F%2Fwww.webofscience.com%2Fwos%2Fwoscc%2Ffull-record%2FWOS:001265659800001","View Full Record in Web of Science")</f>
        <v>View Full Record in Web of Science</v>
      </c>
    </row>
    <row r="53" spans="1:72" x14ac:dyDescent="0.25">
      <c r="A53" t="s">
        <v>72</v>
      </c>
      <c r="B53" t="s">
        <v>1080</v>
      </c>
      <c r="C53" t="s">
        <v>74</v>
      </c>
      <c r="D53" t="s">
        <v>74</v>
      </c>
      <c r="E53" t="s">
        <v>74</v>
      </c>
      <c r="F53" t="s">
        <v>1081</v>
      </c>
      <c r="G53" t="s">
        <v>74</v>
      </c>
      <c r="H53" t="s">
        <v>74</v>
      </c>
      <c r="I53" t="s">
        <v>1082</v>
      </c>
      <c r="J53" t="s">
        <v>299</v>
      </c>
      <c r="K53" t="s">
        <v>74</v>
      </c>
      <c r="L53" t="s">
        <v>74</v>
      </c>
      <c r="M53" t="s">
        <v>78</v>
      </c>
      <c r="N53" t="s">
        <v>1083</v>
      </c>
      <c r="O53" t="s">
        <v>74</v>
      </c>
      <c r="P53" t="s">
        <v>74</v>
      </c>
      <c r="Q53" t="s">
        <v>74</v>
      </c>
      <c r="R53" t="s">
        <v>74</v>
      </c>
      <c r="S53" t="s">
        <v>74</v>
      </c>
      <c r="T53" t="s">
        <v>1084</v>
      </c>
      <c r="U53" t="s">
        <v>1085</v>
      </c>
      <c r="V53" t="s">
        <v>1086</v>
      </c>
      <c r="W53" t="s">
        <v>1087</v>
      </c>
      <c r="X53" t="s">
        <v>1088</v>
      </c>
      <c r="Y53" t="s">
        <v>1089</v>
      </c>
      <c r="Z53" t="s">
        <v>1090</v>
      </c>
      <c r="AA53" t="s">
        <v>1091</v>
      </c>
      <c r="AB53" t="s">
        <v>1092</v>
      </c>
      <c r="AC53" t="s">
        <v>1093</v>
      </c>
      <c r="AD53" t="s">
        <v>1094</v>
      </c>
      <c r="AE53" t="s">
        <v>1095</v>
      </c>
      <c r="AF53" t="s">
        <v>74</v>
      </c>
      <c r="AG53">
        <v>86</v>
      </c>
      <c r="AH53">
        <v>0</v>
      </c>
      <c r="AI53">
        <v>0</v>
      </c>
      <c r="AJ53">
        <v>18</v>
      </c>
      <c r="AK53">
        <v>18</v>
      </c>
      <c r="AL53" t="s">
        <v>311</v>
      </c>
      <c r="AM53" t="s">
        <v>312</v>
      </c>
      <c r="AN53" t="s">
        <v>313</v>
      </c>
      <c r="AO53" t="s">
        <v>314</v>
      </c>
      <c r="AP53" t="s">
        <v>315</v>
      </c>
      <c r="AQ53" t="s">
        <v>74</v>
      </c>
      <c r="AR53" t="s">
        <v>316</v>
      </c>
      <c r="AS53" t="s">
        <v>317</v>
      </c>
      <c r="AT53" t="s">
        <v>1096</v>
      </c>
      <c r="AU53">
        <v>2024</v>
      </c>
      <c r="AV53" t="s">
        <v>74</v>
      </c>
      <c r="AW53" t="s">
        <v>74</v>
      </c>
      <c r="AX53" t="s">
        <v>74</v>
      </c>
      <c r="AY53" t="s">
        <v>74</v>
      </c>
      <c r="AZ53" t="s">
        <v>74</v>
      </c>
      <c r="BA53" t="s">
        <v>74</v>
      </c>
      <c r="BB53" t="s">
        <v>74</v>
      </c>
      <c r="BC53" t="s">
        <v>74</v>
      </c>
      <c r="BD53" t="s">
        <v>74</v>
      </c>
      <c r="BE53" t="s">
        <v>1097</v>
      </c>
      <c r="BF53" t="str">
        <f>HYPERLINK("http://dx.doi.org/10.1080/00207543.2024.2403114","http://dx.doi.org/10.1080/00207543.2024.2403114")</f>
        <v>http://dx.doi.org/10.1080/00207543.2024.2403114</v>
      </c>
      <c r="BG53" t="s">
        <v>74</v>
      </c>
      <c r="BH53" t="s">
        <v>516</v>
      </c>
      <c r="BI53">
        <v>23</v>
      </c>
      <c r="BJ53" t="s">
        <v>321</v>
      </c>
      <c r="BK53" t="s">
        <v>149</v>
      </c>
      <c r="BL53" t="s">
        <v>150</v>
      </c>
      <c r="BM53" t="s">
        <v>1098</v>
      </c>
      <c r="BN53" t="s">
        <v>74</v>
      </c>
      <c r="BO53" t="s">
        <v>74</v>
      </c>
      <c r="BP53" t="s">
        <v>74</v>
      </c>
      <c r="BQ53" t="s">
        <v>74</v>
      </c>
      <c r="BR53" t="s">
        <v>104</v>
      </c>
      <c r="BS53" t="s">
        <v>1099</v>
      </c>
      <c r="BT53" t="str">
        <f>HYPERLINK("https%3A%2F%2Fwww.webofscience.com%2Fwos%2Fwoscc%2Ffull-record%2FWOS:001322519600001","View Full Record in Web of Science")</f>
        <v>View Full Record in Web of Science</v>
      </c>
    </row>
    <row r="54" spans="1:72" x14ac:dyDescent="0.25">
      <c r="A54" t="s">
        <v>72</v>
      </c>
      <c r="B54" t="s">
        <v>1100</v>
      </c>
      <c r="C54" t="s">
        <v>74</v>
      </c>
      <c r="D54" t="s">
        <v>74</v>
      </c>
      <c r="E54" t="s">
        <v>74</v>
      </c>
      <c r="F54" t="s">
        <v>1101</v>
      </c>
      <c r="G54" t="s">
        <v>74</v>
      </c>
      <c r="H54" t="s">
        <v>74</v>
      </c>
      <c r="I54" t="s">
        <v>1102</v>
      </c>
      <c r="J54" t="s">
        <v>77</v>
      </c>
      <c r="K54" t="s">
        <v>74</v>
      </c>
      <c r="L54" t="s">
        <v>74</v>
      </c>
      <c r="M54" t="s">
        <v>78</v>
      </c>
      <c r="N54" t="s">
        <v>79</v>
      </c>
      <c r="O54" t="s">
        <v>74</v>
      </c>
      <c r="P54" t="s">
        <v>74</v>
      </c>
      <c r="Q54" t="s">
        <v>74</v>
      </c>
      <c r="R54" t="s">
        <v>74</v>
      </c>
      <c r="S54" t="s">
        <v>74</v>
      </c>
      <c r="T54" t="s">
        <v>1103</v>
      </c>
      <c r="U54" t="s">
        <v>74</v>
      </c>
      <c r="V54" t="s">
        <v>1104</v>
      </c>
      <c r="W54" t="s">
        <v>1105</v>
      </c>
      <c r="X54" t="s">
        <v>1106</v>
      </c>
      <c r="Y54" t="s">
        <v>1107</v>
      </c>
      <c r="Z54" t="s">
        <v>1108</v>
      </c>
      <c r="AA54" t="s">
        <v>74</v>
      </c>
      <c r="AB54" t="s">
        <v>1109</v>
      </c>
      <c r="AC54" t="s">
        <v>74</v>
      </c>
      <c r="AD54" t="s">
        <v>74</v>
      </c>
      <c r="AE54" t="s">
        <v>74</v>
      </c>
      <c r="AF54" t="s">
        <v>74</v>
      </c>
      <c r="AG54">
        <v>34</v>
      </c>
      <c r="AH54">
        <v>3</v>
      </c>
      <c r="AI54">
        <v>3</v>
      </c>
      <c r="AJ54">
        <v>4</v>
      </c>
      <c r="AK54">
        <v>5</v>
      </c>
      <c r="AL54" t="s">
        <v>90</v>
      </c>
      <c r="AM54" t="s">
        <v>91</v>
      </c>
      <c r="AN54" t="s">
        <v>92</v>
      </c>
      <c r="AO54" t="s">
        <v>93</v>
      </c>
      <c r="AP54" t="s">
        <v>94</v>
      </c>
      <c r="AQ54" t="s">
        <v>74</v>
      </c>
      <c r="AR54" t="s">
        <v>95</v>
      </c>
      <c r="AS54" t="s">
        <v>96</v>
      </c>
      <c r="AT54" t="s">
        <v>181</v>
      </c>
      <c r="AU54">
        <v>2024</v>
      </c>
      <c r="AV54">
        <v>30</v>
      </c>
      <c r="AW54">
        <v>1</v>
      </c>
      <c r="AX54" t="s">
        <v>74</v>
      </c>
      <c r="AY54" t="s">
        <v>74</v>
      </c>
      <c r="AZ54" t="s">
        <v>74</v>
      </c>
      <c r="BA54" t="s">
        <v>74</v>
      </c>
      <c r="BB54">
        <v>133</v>
      </c>
      <c r="BC54">
        <v>152</v>
      </c>
      <c r="BD54" t="s">
        <v>74</v>
      </c>
      <c r="BE54" t="s">
        <v>1110</v>
      </c>
      <c r="BF54" t="str">
        <f>HYPERLINK("http://dx.doi.org/10.1108/JQME-10-2022-0070","http://dx.doi.org/10.1108/JQME-10-2022-0070")</f>
        <v>http://dx.doi.org/10.1108/JQME-10-2022-0070</v>
      </c>
      <c r="BG54" t="s">
        <v>74</v>
      </c>
      <c r="BH54" t="s">
        <v>1111</v>
      </c>
      <c r="BI54">
        <v>20</v>
      </c>
      <c r="BJ54" t="s">
        <v>100</v>
      </c>
      <c r="BK54" t="s">
        <v>101</v>
      </c>
      <c r="BL54" t="s">
        <v>102</v>
      </c>
      <c r="BM54" t="s">
        <v>183</v>
      </c>
      <c r="BN54" t="s">
        <v>74</v>
      </c>
      <c r="BO54" t="s">
        <v>74</v>
      </c>
      <c r="BP54" t="s">
        <v>74</v>
      </c>
      <c r="BQ54" t="s">
        <v>74</v>
      </c>
      <c r="BR54" t="s">
        <v>104</v>
      </c>
      <c r="BS54" t="s">
        <v>1112</v>
      </c>
      <c r="BT54" t="str">
        <f>HYPERLINK("https%3A%2F%2Fwww.webofscience.com%2Fwos%2Fwoscc%2Ffull-record%2FWOS:001106908700001","View Full Record in Web of Science")</f>
        <v>View Full Record in Web of Science</v>
      </c>
    </row>
    <row r="55" spans="1:72" x14ac:dyDescent="0.25">
      <c r="A55" t="s">
        <v>72</v>
      </c>
      <c r="B55" t="s">
        <v>1113</v>
      </c>
      <c r="C55" t="s">
        <v>74</v>
      </c>
      <c r="D55" t="s">
        <v>74</v>
      </c>
      <c r="E55" t="s">
        <v>74</v>
      </c>
      <c r="F55" t="s">
        <v>1114</v>
      </c>
      <c r="G55" t="s">
        <v>74</v>
      </c>
      <c r="H55" t="s">
        <v>74</v>
      </c>
      <c r="I55" t="s">
        <v>1115</v>
      </c>
      <c r="J55" t="s">
        <v>77</v>
      </c>
      <c r="K55" t="s">
        <v>74</v>
      </c>
      <c r="L55" t="s">
        <v>74</v>
      </c>
      <c r="M55" t="s">
        <v>78</v>
      </c>
      <c r="N55" t="s">
        <v>79</v>
      </c>
      <c r="O55" t="s">
        <v>74</v>
      </c>
      <c r="P55" t="s">
        <v>74</v>
      </c>
      <c r="Q55" t="s">
        <v>74</v>
      </c>
      <c r="R55" t="s">
        <v>74</v>
      </c>
      <c r="S55" t="s">
        <v>74</v>
      </c>
      <c r="T55" t="s">
        <v>1116</v>
      </c>
      <c r="U55" t="s">
        <v>1117</v>
      </c>
      <c r="V55" t="s">
        <v>1118</v>
      </c>
      <c r="W55" t="s">
        <v>1119</v>
      </c>
      <c r="X55" t="s">
        <v>1120</v>
      </c>
      <c r="Y55" t="s">
        <v>1121</v>
      </c>
      <c r="Z55" t="s">
        <v>1122</v>
      </c>
      <c r="AA55" t="s">
        <v>1123</v>
      </c>
      <c r="AB55" t="s">
        <v>74</v>
      </c>
      <c r="AC55" t="s">
        <v>74</v>
      </c>
      <c r="AD55" t="s">
        <v>74</v>
      </c>
      <c r="AE55" t="s">
        <v>74</v>
      </c>
      <c r="AF55" t="s">
        <v>74</v>
      </c>
      <c r="AG55">
        <v>74</v>
      </c>
      <c r="AH55">
        <v>2</v>
      </c>
      <c r="AI55">
        <v>2</v>
      </c>
      <c r="AJ55">
        <v>4</v>
      </c>
      <c r="AK55">
        <v>31</v>
      </c>
      <c r="AL55" t="s">
        <v>90</v>
      </c>
      <c r="AM55" t="s">
        <v>118</v>
      </c>
      <c r="AN55" t="s">
        <v>119</v>
      </c>
      <c r="AO55" t="s">
        <v>93</v>
      </c>
      <c r="AP55" t="s">
        <v>94</v>
      </c>
      <c r="AQ55" t="s">
        <v>74</v>
      </c>
      <c r="AR55" t="s">
        <v>95</v>
      </c>
      <c r="AS55" t="s">
        <v>96</v>
      </c>
      <c r="AT55" t="s">
        <v>673</v>
      </c>
      <c r="AU55">
        <v>2023</v>
      </c>
      <c r="AV55">
        <v>29</v>
      </c>
      <c r="AW55">
        <v>1</v>
      </c>
      <c r="AX55" t="s">
        <v>74</v>
      </c>
      <c r="AY55" t="s">
        <v>74</v>
      </c>
      <c r="AZ55" t="s">
        <v>74</v>
      </c>
      <c r="BA55" t="s">
        <v>74</v>
      </c>
      <c r="BB55">
        <v>136</v>
      </c>
      <c r="BC55">
        <v>154</v>
      </c>
      <c r="BD55" t="s">
        <v>74</v>
      </c>
      <c r="BE55" t="s">
        <v>1124</v>
      </c>
      <c r="BF55" t="str">
        <f>HYPERLINK("http://dx.doi.org/10.1108/JQME-12-2019-0118","http://dx.doi.org/10.1108/JQME-12-2019-0118")</f>
        <v>http://dx.doi.org/10.1108/JQME-12-2019-0118</v>
      </c>
      <c r="BG55" t="s">
        <v>74</v>
      </c>
      <c r="BH55" t="s">
        <v>794</v>
      </c>
      <c r="BI55">
        <v>19</v>
      </c>
      <c r="BJ55" t="s">
        <v>100</v>
      </c>
      <c r="BK55" t="s">
        <v>101</v>
      </c>
      <c r="BL55" t="s">
        <v>102</v>
      </c>
      <c r="BM55" t="s">
        <v>675</v>
      </c>
      <c r="BN55" t="s">
        <v>74</v>
      </c>
      <c r="BO55" t="s">
        <v>74</v>
      </c>
      <c r="BP55" t="s">
        <v>74</v>
      </c>
      <c r="BQ55" t="s">
        <v>74</v>
      </c>
      <c r="BR55" t="s">
        <v>104</v>
      </c>
      <c r="BS55" t="s">
        <v>1125</v>
      </c>
      <c r="BT55" t="str">
        <f>HYPERLINK("https%3A%2F%2Fwww.webofscience.com%2Fwos%2Fwoscc%2Ffull-record%2FWOS:000731585500001","View Full Record in Web of Science")</f>
        <v>View Full Record in Web of Science</v>
      </c>
    </row>
    <row r="56" spans="1:72" x14ac:dyDescent="0.25">
      <c r="A56" t="s">
        <v>72</v>
      </c>
      <c r="B56" t="s">
        <v>1126</v>
      </c>
      <c r="C56" t="s">
        <v>74</v>
      </c>
      <c r="D56" t="s">
        <v>74</v>
      </c>
      <c r="E56" t="s">
        <v>74</v>
      </c>
      <c r="F56" t="s">
        <v>1127</v>
      </c>
      <c r="G56" t="s">
        <v>74</v>
      </c>
      <c r="H56" t="s">
        <v>74</v>
      </c>
      <c r="I56" t="s">
        <v>1128</v>
      </c>
      <c r="J56" t="s">
        <v>77</v>
      </c>
      <c r="K56" t="s">
        <v>74</v>
      </c>
      <c r="L56" t="s">
        <v>74</v>
      </c>
      <c r="M56" t="s">
        <v>78</v>
      </c>
      <c r="N56" t="s">
        <v>79</v>
      </c>
      <c r="O56" t="s">
        <v>74</v>
      </c>
      <c r="P56" t="s">
        <v>74</v>
      </c>
      <c r="Q56" t="s">
        <v>74</v>
      </c>
      <c r="R56" t="s">
        <v>74</v>
      </c>
      <c r="S56" t="s">
        <v>74</v>
      </c>
      <c r="T56" t="s">
        <v>1129</v>
      </c>
      <c r="U56" t="s">
        <v>130</v>
      </c>
      <c r="V56" t="s">
        <v>1130</v>
      </c>
      <c r="W56" t="s">
        <v>1131</v>
      </c>
      <c r="X56" t="s">
        <v>74</v>
      </c>
      <c r="Y56" t="s">
        <v>1132</v>
      </c>
      <c r="Z56" t="s">
        <v>1133</v>
      </c>
      <c r="AA56" t="s">
        <v>1134</v>
      </c>
      <c r="AB56" t="s">
        <v>74</v>
      </c>
      <c r="AC56" t="s">
        <v>74</v>
      </c>
      <c r="AD56" t="s">
        <v>74</v>
      </c>
      <c r="AE56" t="s">
        <v>74</v>
      </c>
      <c r="AF56" t="s">
        <v>74</v>
      </c>
      <c r="AG56">
        <v>37</v>
      </c>
      <c r="AH56">
        <v>6</v>
      </c>
      <c r="AI56">
        <v>7</v>
      </c>
      <c r="AJ56">
        <v>0</v>
      </c>
      <c r="AK56">
        <v>7</v>
      </c>
      <c r="AL56" t="s">
        <v>90</v>
      </c>
      <c r="AM56" t="s">
        <v>118</v>
      </c>
      <c r="AN56" t="s">
        <v>119</v>
      </c>
      <c r="AO56" t="s">
        <v>93</v>
      </c>
      <c r="AP56" t="s">
        <v>94</v>
      </c>
      <c r="AQ56" t="s">
        <v>74</v>
      </c>
      <c r="AR56" t="s">
        <v>95</v>
      </c>
      <c r="AS56" t="s">
        <v>96</v>
      </c>
      <c r="AT56" t="s">
        <v>911</v>
      </c>
      <c r="AU56">
        <v>2020</v>
      </c>
      <c r="AV56">
        <v>26</v>
      </c>
      <c r="AW56">
        <v>1</v>
      </c>
      <c r="AX56" t="s">
        <v>74</v>
      </c>
      <c r="AY56" t="s">
        <v>74</v>
      </c>
      <c r="AZ56" t="s">
        <v>74</v>
      </c>
      <c r="BA56" t="s">
        <v>74</v>
      </c>
      <c r="BB56">
        <v>69</v>
      </c>
      <c r="BC56">
        <v>86</v>
      </c>
      <c r="BD56" t="s">
        <v>74</v>
      </c>
      <c r="BE56" t="s">
        <v>1135</v>
      </c>
      <c r="BF56" t="str">
        <f>HYPERLINK("http://dx.doi.org/10.1108/JQME-07-2018-0060","http://dx.doi.org/10.1108/JQME-07-2018-0060")</f>
        <v>http://dx.doi.org/10.1108/JQME-07-2018-0060</v>
      </c>
      <c r="BG56" t="s">
        <v>74</v>
      </c>
      <c r="BH56" t="s">
        <v>74</v>
      </c>
      <c r="BI56">
        <v>18</v>
      </c>
      <c r="BJ56" t="s">
        <v>100</v>
      </c>
      <c r="BK56" t="s">
        <v>101</v>
      </c>
      <c r="BL56" t="s">
        <v>102</v>
      </c>
      <c r="BM56" t="s">
        <v>913</v>
      </c>
      <c r="BN56" t="s">
        <v>74</v>
      </c>
      <c r="BO56" t="s">
        <v>74</v>
      </c>
      <c r="BP56" t="s">
        <v>74</v>
      </c>
      <c r="BQ56" t="s">
        <v>74</v>
      </c>
      <c r="BR56" t="s">
        <v>104</v>
      </c>
      <c r="BS56" t="s">
        <v>1136</v>
      </c>
      <c r="BT56" t="str">
        <f>HYPERLINK("https%3A%2F%2Fwww.webofscience.com%2Fwos%2Fwoscc%2Ffull-record%2FWOS:000511243400005","View Full Record in Web of Science")</f>
        <v>View Full Record in Web of Science</v>
      </c>
    </row>
    <row r="57" spans="1:72" x14ac:dyDescent="0.25">
      <c r="A57" t="s">
        <v>72</v>
      </c>
      <c r="B57" t="s">
        <v>1137</v>
      </c>
      <c r="C57" t="s">
        <v>74</v>
      </c>
      <c r="D57" t="s">
        <v>74</v>
      </c>
      <c r="E57" t="s">
        <v>74</v>
      </c>
      <c r="F57" t="s">
        <v>1138</v>
      </c>
      <c r="G57" t="s">
        <v>74</v>
      </c>
      <c r="H57" t="s">
        <v>74</v>
      </c>
      <c r="I57" t="s">
        <v>1139</v>
      </c>
      <c r="J57" t="s">
        <v>1140</v>
      </c>
      <c r="K57" t="s">
        <v>74</v>
      </c>
      <c r="L57" t="s">
        <v>74</v>
      </c>
      <c r="M57" t="s">
        <v>78</v>
      </c>
      <c r="N57" t="s">
        <v>79</v>
      </c>
      <c r="O57" t="s">
        <v>74</v>
      </c>
      <c r="P57" t="s">
        <v>74</v>
      </c>
      <c r="Q57" t="s">
        <v>74</v>
      </c>
      <c r="R57" t="s">
        <v>74</v>
      </c>
      <c r="S57" t="s">
        <v>74</v>
      </c>
      <c r="T57" t="s">
        <v>1141</v>
      </c>
      <c r="U57" t="s">
        <v>1142</v>
      </c>
      <c r="V57" t="s">
        <v>1143</v>
      </c>
      <c r="W57" t="s">
        <v>1144</v>
      </c>
      <c r="X57" t="s">
        <v>1145</v>
      </c>
      <c r="Y57" t="s">
        <v>1146</v>
      </c>
      <c r="Z57" t="s">
        <v>1147</v>
      </c>
      <c r="AA57" t="s">
        <v>1148</v>
      </c>
      <c r="AB57" t="s">
        <v>1149</v>
      </c>
      <c r="AC57" t="s">
        <v>74</v>
      </c>
      <c r="AD57" t="s">
        <v>74</v>
      </c>
      <c r="AE57" t="s">
        <v>74</v>
      </c>
      <c r="AF57" t="s">
        <v>74</v>
      </c>
      <c r="AG57">
        <v>68</v>
      </c>
      <c r="AH57">
        <v>8</v>
      </c>
      <c r="AI57">
        <v>8</v>
      </c>
      <c r="AJ57">
        <v>18</v>
      </c>
      <c r="AK57">
        <v>52</v>
      </c>
      <c r="AL57" t="s">
        <v>707</v>
      </c>
      <c r="AM57" t="s">
        <v>246</v>
      </c>
      <c r="AN57" t="s">
        <v>708</v>
      </c>
      <c r="AO57" t="s">
        <v>1150</v>
      </c>
      <c r="AP57" t="s">
        <v>1151</v>
      </c>
      <c r="AQ57" t="s">
        <v>74</v>
      </c>
      <c r="AR57" t="s">
        <v>1152</v>
      </c>
      <c r="AS57" t="s">
        <v>1153</v>
      </c>
      <c r="AT57" t="s">
        <v>1076</v>
      </c>
      <c r="AU57">
        <v>2023</v>
      </c>
      <c r="AV57">
        <v>125</v>
      </c>
      <c r="AW57" t="s">
        <v>74</v>
      </c>
      <c r="AX57" t="s">
        <v>74</v>
      </c>
      <c r="AY57" t="s">
        <v>74</v>
      </c>
      <c r="AZ57" t="s">
        <v>74</v>
      </c>
      <c r="BA57" t="s">
        <v>74</v>
      </c>
      <c r="BB57" t="s">
        <v>74</v>
      </c>
      <c r="BC57" t="s">
        <v>74</v>
      </c>
      <c r="BD57">
        <v>106715</v>
      </c>
      <c r="BE57" t="s">
        <v>1154</v>
      </c>
      <c r="BF57" t="str">
        <f>HYPERLINK("http://dx.doi.org/10.1016/j.engappai.2023.106715","http://dx.doi.org/10.1016/j.engappai.2023.106715")</f>
        <v>http://dx.doi.org/10.1016/j.engappai.2023.106715</v>
      </c>
      <c r="BG57" t="s">
        <v>74</v>
      </c>
      <c r="BH57" t="s">
        <v>1155</v>
      </c>
      <c r="BI57">
        <v>14</v>
      </c>
      <c r="BJ57" t="s">
        <v>1156</v>
      </c>
      <c r="BK57" t="s">
        <v>149</v>
      </c>
      <c r="BL57" t="s">
        <v>1157</v>
      </c>
      <c r="BM57" t="s">
        <v>1158</v>
      </c>
      <c r="BN57" t="s">
        <v>74</v>
      </c>
      <c r="BO57" t="s">
        <v>74</v>
      </c>
      <c r="BP57" t="s">
        <v>74</v>
      </c>
      <c r="BQ57" t="s">
        <v>74</v>
      </c>
      <c r="BR57" t="s">
        <v>104</v>
      </c>
      <c r="BS57" t="s">
        <v>1159</v>
      </c>
      <c r="BT57" t="str">
        <f>HYPERLINK("https%3A%2F%2Fwww.webofscience.com%2Fwos%2Fwoscc%2Ffull-record%2FWOS:001037002100001","View Full Record in Web of Science")</f>
        <v>View Full Record in Web of Science</v>
      </c>
    </row>
    <row r="58" spans="1:72" x14ac:dyDescent="0.25">
      <c r="A58" t="s">
        <v>72</v>
      </c>
      <c r="B58" t="s">
        <v>1160</v>
      </c>
      <c r="C58" t="s">
        <v>74</v>
      </c>
      <c r="D58" t="s">
        <v>74</v>
      </c>
      <c r="E58" t="s">
        <v>74</v>
      </c>
      <c r="F58" t="s">
        <v>1161</v>
      </c>
      <c r="G58" t="s">
        <v>74</v>
      </c>
      <c r="H58" t="s">
        <v>74</v>
      </c>
      <c r="I58" t="s">
        <v>1162</v>
      </c>
      <c r="J58" t="s">
        <v>697</v>
      </c>
      <c r="K58" t="s">
        <v>74</v>
      </c>
      <c r="L58" t="s">
        <v>74</v>
      </c>
      <c r="M58" t="s">
        <v>78</v>
      </c>
      <c r="N58" t="s">
        <v>79</v>
      </c>
      <c r="O58" t="s">
        <v>74</v>
      </c>
      <c r="P58" t="s">
        <v>74</v>
      </c>
      <c r="Q58" t="s">
        <v>74</v>
      </c>
      <c r="R58" t="s">
        <v>74</v>
      </c>
      <c r="S58" t="s">
        <v>74</v>
      </c>
      <c r="T58" t="s">
        <v>1163</v>
      </c>
      <c r="U58" t="s">
        <v>1164</v>
      </c>
      <c r="V58" t="s">
        <v>1165</v>
      </c>
      <c r="W58" t="s">
        <v>1166</v>
      </c>
      <c r="X58" t="s">
        <v>1167</v>
      </c>
      <c r="Y58" t="s">
        <v>1168</v>
      </c>
      <c r="Z58" t="s">
        <v>1169</v>
      </c>
      <c r="AA58" t="s">
        <v>74</v>
      </c>
      <c r="AB58" t="s">
        <v>74</v>
      </c>
      <c r="AC58" t="s">
        <v>1170</v>
      </c>
      <c r="AD58" t="s">
        <v>1171</v>
      </c>
      <c r="AE58" t="s">
        <v>1172</v>
      </c>
      <c r="AF58" t="s">
        <v>74</v>
      </c>
      <c r="AG58">
        <v>40</v>
      </c>
      <c r="AH58">
        <v>0</v>
      </c>
      <c r="AI58">
        <v>0</v>
      </c>
      <c r="AJ58">
        <v>16</v>
      </c>
      <c r="AK58">
        <v>16</v>
      </c>
      <c r="AL58" t="s">
        <v>707</v>
      </c>
      <c r="AM58" t="s">
        <v>246</v>
      </c>
      <c r="AN58" t="s">
        <v>708</v>
      </c>
      <c r="AO58" t="s">
        <v>709</v>
      </c>
      <c r="AP58" t="s">
        <v>710</v>
      </c>
      <c r="AQ58" t="s">
        <v>74</v>
      </c>
      <c r="AR58" t="s">
        <v>711</v>
      </c>
      <c r="AS58" t="s">
        <v>712</v>
      </c>
      <c r="AT58" t="s">
        <v>145</v>
      </c>
      <c r="AU58">
        <v>2024</v>
      </c>
      <c r="AV58">
        <v>198</v>
      </c>
      <c r="AW58" t="s">
        <v>74</v>
      </c>
      <c r="AX58" t="s">
        <v>74</v>
      </c>
      <c r="AY58" t="s">
        <v>74</v>
      </c>
      <c r="AZ58" t="s">
        <v>74</v>
      </c>
      <c r="BA58" t="s">
        <v>74</v>
      </c>
      <c r="BB58" t="s">
        <v>74</v>
      </c>
      <c r="BC58" t="s">
        <v>74</v>
      </c>
      <c r="BD58">
        <v>110685</v>
      </c>
      <c r="BE58" t="s">
        <v>1173</v>
      </c>
      <c r="BF58" t="str">
        <f>HYPERLINK("http://dx.doi.org/10.1016/j.cie.2024.110685","http://dx.doi.org/10.1016/j.cie.2024.110685")</f>
        <v>http://dx.doi.org/10.1016/j.cie.2024.110685</v>
      </c>
      <c r="BG58" t="s">
        <v>74</v>
      </c>
      <c r="BH58" t="s">
        <v>1174</v>
      </c>
      <c r="BI58">
        <v>15</v>
      </c>
      <c r="BJ58" t="s">
        <v>715</v>
      </c>
      <c r="BK58" t="s">
        <v>149</v>
      </c>
      <c r="BL58" t="s">
        <v>716</v>
      </c>
      <c r="BM58" t="s">
        <v>1175</v>
      </c>
      <c r="BN58" t="s">
        <v>74</v>
      </c>
      <c r="BO58" t="s">
        <v>74</v>
      </c>
      <c r="BP58" t="s">
        <v>74</v>
      </c>
      <c r="BQ58" t="s">
        <v>74</v>
      </c>
      <c r="BR58" t="s">
        <v>104</v>
      </c>
      <c r="BS58" t="s">
        <v>1176</v>
      </c>
      <c r="BT58" t="str">
        <f>HYPERLINK("https%3A%2F%2Fwww.webofscience.com%2Fwos%2Fwoscc%2Ffull-record%2FWOS:001351244000001","View Full Record in Web of Science")</f>
        <v>View Full Record in Web of Science</v>
      </c>
    </row>
    <row r="59" spans="1:72" x14ac:dyDescent="0.25">
      <c r="A59" t="s">
        <v>72</v>
      </c>
      <c r="B59" t="s">
        <v>1177</v>
      </c>
      <c r="C59" t="s">
        <v>74</v>
      </c>
      <c r="D59" t="s">
        <v>74</v>
      </c>
      <c r="E59" t="s">
        <v>74</v>
      </c>
      <c r="F59" t="s">
        <v>1178</v>
      </c>
      <c r="G59" t="s">
        <v>74</v>
      </c>
      <c r="H59" t="s">
        <v>74</v>
      </c>
      <c r="I59" t="s">
        <v>1179</v>
      </c>
      <c r="J59" t="s">
        <v>128</v>
      </c>
      <c r="K59" t="s">
        <v>74</v>
      </c>
      <c r="L59" t="s">
        <v>74</v>
      </c>
      <c r="M59" t="s">
        <v>78</v>
      </c>
      <c r="N59" t="s">
        <v>79</v>
      </c>
      <c r="O59" t="s">
        <v>74</v>
      </c>
      <c r="P59" t="s">
        <v>74</v>
      </c>
      <c r="Q59" t="s">
        <v>74</v>
      </c>
      <c r="R59" t="s">
        <v>74</v>
      </c>
      <c r="S59" t="s">
        <v>74</v>
      </c>
      <c r="T59" t="s">
        <v>1180</v>
      </c>
      <c r="U59" t="s">
        <v>74</v>
      </c>
      <c r="V59" t="s">
        <v>1181</v>
      </c>
      <c r="W59" t="s">
        <v>1182</v>
      </c>
      <c r="X59" t="s">
        <v>1183</v>
      </c>
      <c r="Y59" t="s">
        <v>1184</v>
      </c>
      <c r="Z59" t="s">
        <v>1185</v>
      </c>
      <c r="AA59" t="s">
        <v>74</v>
      </c>
      <c r="AB59" t="s">
        <v>1186</v>
      </c>
      <c r="AC59" t="s">
        <v>1187</v>
      </c>
      <c r="AD59" t="s">
        <v>1187</v>
      </c>
      <c r="AE59" t="s">
        <v>1188</v>
      </c>
      <c r="AF59" t="s">
        <v>74</v>
      </c>
      <c r="AG59">
        <v>34</v>
      </c>
      <c r="AH59">
        <v>6</v>
      </c>
      <c r="AI59">
        <v>6</v>
      </c>
      <c r="AJ59">
        <v>11</v>
      </c>
      <c r="AK59">
        <v>31</v>
      </c>
      <c r="AL59" t="s">
        <v>138</v>
      </c>
      <c r="AM59" t="s">
        <v>139</v>
      </c>
      <c r="AN59" t="s">
        <v>140</v>
      </c>
      <c r="AO59" t="s">
        <v>141</v>
      </c>
      <c r="AP59" t="s">
        <v>142</v>
      </c>
      <c r="AQ59" t="s">
        <v>74</v>
      </c>
      <c r="AR59" t="s">
        <v>143</v>
      </c>
      <c r="AS59" t="s">
        <v>144</v>
      </c>
      <c r="AT59" t="s">
        <v>275</v>
      </c>
      <c r="AU59">
        <v>2024</v>
      </c>
      <c r="AV59">
        <v>243</v>
      </c>
      <c r="AW59" t="s">
        <v>74</v>
      </c>
      <c r="AX59" t="s">
        <v>74</v>
      </c>
      <c r="AY59" t="s">
        <v>74</v>
      </c>
      <c r="AZ59" t="s">
        <v>74</v>
      </c>
      <c r="BA59" t="s">
        <v>74</v>
      </c>
      <c r="BB59" t="s">
        <v>74</v>
      </c>
      <c r="BC59" t="s">
        <v>74</v>
      </c>
      <c r="BD59">
        <v>109836</v>
      </c>
      <c r="BE59" t="s">
        <v>1189</v>
      </c>
      <c r="BF59" t="str">
        <f>HYPERLINK("http://dx.doi.org/10.1016/j.ress.2023.109836","http://dx.doi.org/10.1016/j.ress.2023.109836")</f>
        <v>http://dx.doi.org/10.1016/j.ress.2023.109836</v>
      </c>
      <c r="BG59" t="s">
        <v>74</v>
      </c>
      <c r="BH59" t="s">
        <v>1111</v>
      </c>
      <c r="BI59">
        <v>10</v>
      </c>
      <c r="BJ59" t="s">
        <v>148</v>
      </c>
      <c r="BK59" t="s">
        <v>149</v>
      </c>
      <c r="BL59" t="s">
        <v>150</v>
      </c>
      <c r="BM59" t="s">
        <v>1190</v>
      </c>
      <c r="BN59" t="s">
        <v>74</v>
      </c>
      <c r="BO59" t="s">
        <v>123</v>
      </c>
      <c r="BP59" t="s">
        <v>74</v>
      </c>
      <c r="BQ59" t="s">
        <v>74</v>
      </c>
      <c r="BR59" t="s">
        <v>104</v>
      </c>
      <c r="BS59" t="s">
        <v>1191</v>
      </c>
      <c r="BT59" t="str">
        <f>HYPERLINK("https%3A%2F%2Fwww.webofscience.com%2Fwos%2Fwoscc%2Ffull-record%2FWOS:001135978200001","View Full Record in Web of Science")</f>
        <v>View Full Record in Web of Science</v>
      </c>
    </row>
    <row r="60" spans="1:72" x14ac:dyDescent="0.25">
      <c r="A60" t="s">
        <v>72</v>
      </c>
      <c r="B60" t="s">
        <v>1192</v>
      </c>
      <c r="C60" t="s">
        <v>74</v>
      </c>
      <c r="D60" t="s">
        <v>74</v>
      </c>
      <c r="E60" t="s">
        <v>74</v>
      </c>
      <c r="F60" t="s">
        <v>1193</v>
      </c>
      <c r="G60" t="s">
        <v>74</v>
      </c>
      <c r="H60" t="s">
        <v>74</v>
      </c>
      <c r="I60" t="s">
        <v>1194</v>
      </c>
      <c r="J60" t="s">
        <v>697</v>
      </c>
      <c r="K60" t="s">
        <v>74</v>
      </c>
      <c r="L60" t="s">
        <v>74</v>
      </c>
      <c r="M60" t="s">
        <v>78</v>
      </c>
      <c r="N60" t="s">
        <v>79</v>
      </c>
      <c r="O60" t="s">
        <v>74</v>
      </c>
      <c r="P60" t="s">
        <v>74</v>
      </c>
      <c r="Q60" t="s">
        <v>74</v>
      </c>
      <c r="R60" t="s">
        <v>74</v>
      </c>
      <c r="S60" t="s">
        <v>74</v>
      </c>
      <c r="T60" t="s">
        <v>1195</v>
      </c>
      <c r="U60" t="s">
        <v>1196</v>
      </c>
      <c r="V60" t="s">
        <v>1197</v>
      </c>
      <c r="W60" t="s">
        <v>1198</v>
      </c>
      <c r="X60" t="s">
        <v>74</v>
      </c>
      <c r="Y60" t="s">
        <v>1199</v>
      </c>
      <c r="Z60" t="s">
        <v>1200</v>
      </c>
      <c r="AA60" t="s">
        <v>74</v>
      </c>
      <c r="AB60" t="s">
        <v>1201</v>
      </c>
      <c r="AC60" t="s">
        <v>74</v>
      </c>
      <c r="AD60" t="s">
        <v>74</v>
      </c>
      <c r="AE60" t="s">
        <v>74</v>
      </c>
      <c r="AF60" t="s">
        <v>74</v>
      </c>
      <c r="AG60">
        <v>59</v>
      </c>
      <c r="AH60">
        <v>11</v>
      </c>
      <c r="AI60">
        <v>11</v>
      </c>
      <c r="AJ60">
        <v>15</v>
      </c>
      <c r="AK60">
        <v>53</v>
      </c>
      <c r="AL60" t="s">
        <v>707</v>
      </c>
      <c r="AM60" t="s">
        <v>246</v>
      </c>
      <c r="AN60" t="s">
        <v>708</v>
      </c>
      <c r="AO60" t="s">
        <v>709</v>
      </c>
      <c r="AP60" t="s">
        <v>710</v>
      </c>
      <c r="AQ60" t="s">
        <v>74</v>
      </c>
      <c r="AR60" t="s">
        <v>711</v>
      </c>
      <c r="AS60" t="s">
        <v>712</v>
      </c>
      <c r="AT60" t="s">
        <v>1202</v>
      </c>
      <c r="AU60">
        <v>2023</v>
      </c>
      <c r="AV60">
        <v>179</v>
      </c>
      <c r="AW60" t="s">
        <v>74</v>
      </c>
      <c r="AX60" t="s">
        <v>74</v>
      </c>
      <c r="AY60" t="s">
        <v>74</v>
      </c>
      <c r="AZ60" t="s">
        <v>74</v>
      </c>
      <c r="BA60" t="s">
        <v>74</v>
      </c>
      <c r="BB60" t="s">
        <v>74</v>
      </c>
      <c r="BC60" t="s">
        <v>74</v>
      </c>
      <c r="BD60">
        <v>109216</v>
      </c>
      <c r="BE60" t="s">
        <v>1203</v>
      </c>
      <c r="BF60" t="str">
        <f>HYPERLINK("http://dx.doi.org/10.1016/j.cie.2023.109216","http://dx.doi.org/10.1016/j.cie.2023.109216")</f>
        <v>http://dx.doi.org/10.1016/j.cie.2023.109216</v>
      </c>
      <c r="BG60" t="s">
        <v>74</v>
      </c>
      <c r="BH60" t="s">
        <v>1204</v>
      </c>
      <c r="BI60">
        <v>15</v>
      </c>
      <c r="BJ60" t="s">
        <v>715</v>
      </c>
      <c r="BK60" t="s">
        <v>149</v>
      </c>
      <c r="BL60" t="s">
        <v>716</v>
      </c>
      <c r="BM60" t="s">
        <v>1205</v>
      </c>
      <c r="BN60" t="s">
        <v>74</v>
      </c>
      <c r="BO60" t="s">
        <v>74</v>
      </c>
      <c r="BP60" t="s">
        <v>74</v>
      </c>
      <c r="BQ60" t="s">
        <v>74</v>
      </c>
      <c r="BR60" t="s">
        <v>104</v>
      </c>
      <c r="BS60" t="s">
        <v>1206</v>
      </c>
      <c r="BT60" t="str">
        <f>HYPERLINK("https%3A%2F%2Fwww.webofscience.com%2Fwos%2Fwoscc%2Ffull-record%2FWOS:000976260900001","View Full Record in Web of Science")</f>
        <v>View Full Record in Web of Science</v>
      </c>
    </row>
    <row r="61" spans="1:72" x14ac:dyDescent="0.25">
      <c r="A61" t="s">
        <v>72</v>
      </c>
      <c r="B61" t="s">
        <v>1207</v>
      </c>
      <c r="C61" t="s">
        <v>74</v>
      </c>
      <c r="D61" t="s">
        <v>74</v>
      </c>
      <c r="E61" t="s">
        <v>74</v>
      </c>
      <c r="F61" t="s">
        <v>1208</v>
      </c>
      <c r="G61" t="s">
        <v>74</v>
      </c>
      <c r="H61" t="s">
        <v>74</v>
      </c>
      <c r="I61" t="s">
        <v>1209</v>
      </c>
      <c r="J61" t="s">
        <v>1210</v>
      </c>
      <c r="K61" t="s">
        <v>74</v>
      </c>
      <c r="L61" t="s">
        <v>74</v>
      </c>
      <c r="M61" t="s">
        <v>78</v>
      </c>
      <c r="N61" t="s">
        <v>79</v>
      </c>
      <c r="O61" t="s">
        <v>74</v>
      </c>
      <c r="P61" t="s">
        <v>74</v>
      </c>
      <c r="Q61" t="s">
        <v>74</v>
      </c>
      <c r="R61" t="s">
        <v>74</v>
      </c>
      <c r="S61" t="s">
        <v>74</v>
      </c>
      <c r="T61" t="s">
        <v>1211</v>
      </c>
      <c r="U61" t="s">
        <v>1212</v>
      </c>
      <c r="V61" t="s">
        <v>1213</v>
      </c>
      <c r="W61" t="s">
        <v>1214</v>
      </c>
      <c r="X61" t="s">
        <v>1215</v>
      </c>
      <c r="Y61" t="s">
        <v>1216</v>
      </c>
      <c r="Z61" t="s">
        <v>1217</v>
      </c>
      <c r="AA61" t="s">
        <v>74</v>
      </c>
      <c r="AB61" t="s">
        <v>1218</v>
      </c>
      <c r="AC61" t="s">
        <v>1219</v>
      </c>
      <c r="AD61" t="s">
        <v>1220</v>
      </c>
      <c r="AE61" t="s">
        <v>1221</v>
      </c>
      <c r="AF61" t="s">
        <v>74</v>
      </c>
      <c r="AG61">
        <v>30</v>
      </c>
      <c r="AH61">
        <v>7</v>
      </c>
      <c r="AI61">
        <v>7</v>
      </c>
      <c r="AJ61">
        <v>4</v>
      </c>
      <c r="AK61">
        <v>19</v>
      </c>
      <c r="AL61" t="s">
        <v>509</v>
      </c>
      <c r="AM61" t="s">
        <v>510</v>
      </c>
      <c r="AN61" t="s">
        <v>511</v>
      </c>
      <c r="AO61" t="s">
        <v>1222</v>
      </c>
      <c r="AP61" t="s">
        <v>1223</v>
      </c>
      <c r="AQ61" t="s">
        <v>74</v>
      </c>
      <c r="AR61" t="s">
        <v>1224</v>
      </c>
      <c r="AS61" t="s">
        <v>1225</v>
      </c>
      <c r="AT61" t="s">
        <v>1008</v>
      </c>
      <c r="AU61">
        <v>2024</v>
      </c>
      <c r="AV61">
        <v>151</v>
      </c>
      <c r="AW61" t="s">
        <v>74</v>
      </c>
      <c r="AX61" t="s">
        <v>74</v>
      </c>
      <c r="AY61" t="s">
        <v>74</v>
      </c>
      <c r="AZ61" t="s">
        <v>74</v>
      </c>
      <c r="BA61" t="s">
        <v>74</v>
      </c>
      <c r="BB61" t="s">
        <v>74</v>
      </c>
      <c r="BC61" t="s">
        <v>74</v>
      </c>
      <c r="BD61">
        <v>111161</v>
      </c>
      <c r="BE61" t="s">
        <v>1226</v>
      </c>
      <c r="BF61" t="str">
        <f>HYPERLINK("http://dx.doi.org/10.1016/j.asoc.2023.111161","http://dx.doi.org/10.1016/j.asoc.2023.111161")</f>
        <v>http://dx.doi.org/10.1016/j.asoc.2023.111161</v>
      </c>
      <c r="BG61" t="s">
        <v>74</v>
      </c>
      <c r="BH61" t="s">
        <v>449</v>
      </c>
      <c r="BI61">
        <v>15</v>
      </c>
      <c r="BJ61" t="s">
        <v>1227</v>
      </c>
      <c r="BK61" t="s">
        <v>149</v>
      </c>
      <c r="BL61" t="s">
        <v>1228</v>
      </c>
      <c r="BM61" t="s">
        <v>1229</v>
      </c>
      <c r="BN61" t="s">
        <v>74</v>
      </c>
      <c r="BO61" t="s">
        <v>74</v>
      </c>
      <c r="BP61" t="s">
        <v>74</v>
      </c>
      <c r="BQ61" t="s">
        <v>74</v>
      </c>
      <c r="BR61" t="s">
        <v>104</v>
      </c>
      <c r="BS61" t="s">
        <v>1230</v>
      </c>
      <c r="BT61" t="str">
        <f>HYPERLINK("https%3A%2F%2Fwww.webofscience.com%2Fwos%2Fwoscc%2Ffull-record%2FWOS:001144858400001","View Full Record in Web of Science")</f>
        <v>View Full Record in Web of Science</v>
      </c>
    </row>
    <row r="62" spans="1:72" x14ac:dyDescent="0.25">
      <c r="A62" t="s">
        <v>72</v>
      </c>
      <c r="B62" t="s">
        <v>1231</v>
      </c>
      <c r="C62" t="s">
        <v>74</v>
      </c>
      <c r="D62" t="s">
        <v>74</v>
      </c>
      <c r="E62" t="s">
        <v>74</v>
      </c>
      <c r="F62" t="s">
        <v>1232</v>
      </c>
      <c r="G62" t="s">
        <v>74</v>
      </c>
      <c r="H62" t="s">
        <v>74</v>
      </c>
      <c r="I62" t="s">
        <v>1233</v>
      </c>
      <c r="J62" t="s">
        <v>77</v>
      </c>
      <c r="K62" t="s">
        <v>74</v>
      </c>
      <c r="L62" t="s">
        <v>74</v>
      </c>
      <c r="M62" t="s">
        <v>78</v>
      </c>
      <c r="N62" t="s">
        <v>79</v>
      </c>
      <c r="O62" t="s">
        <v>74</v>
      </c>
      <c r="P62" t="s">
        <v>74</v>
      </c>
      <c r="Q62" t="s">
        <v>74</v>
      </c>
      <c r="R62" t="s">
        <v>74</v>
      </c>
      <c r="S62" t="s">
        <v>74</v>
      </c>
      <c r="T62" t="s">
        <v>1234</v>
      </c>
      <c r="U62" t="s">
        <v>1235</v>
      </c>
      <c r="V62" t="s">
        <v>1236</v>
      </c>
      <c r="W62" t="s">
        <v>1237</v>
      </c>
      <c r="X62" t="s">
        <v>1238</v>
      </c>
      <c r="Y62" t="s">
        <v>1239</v>
      </c>
      <c r="Z62" t="s">
        <v>1240</v>
      </c>
      <c r="AA62" t="s">
        <v>1241</v>
      </c>
      <c r="AB62" t="s">
        <v>1242</v>
      </c>
      <c r="AC62" t="s">
        <v>74</v>
      </c>
      <c r="AD62" t="s">
        <v>74</v>
      </c>
      <c r="AE62" t="s">
        <v>74</v>
      </c>
      <c r="AF62" t="s">
        <v>74</v>
      </c>
      <c r="AG62">
        <v>55</v>
      </c>
      <c r="AH62">
        <v>8</v>
      </c>
      <c r="AI62">
        <v>8</v>
      </c>
      <c r="AJ62">
        <v>12</v>
      </c>
      <c r="AK62">
        <v>37</v>
      </c>
      <c r="AL62" t="s">
        <v>90</v>
      </c>
      <c r="AM62" t="s">
        <v>118</v>
      </c>
      <c r="AN62" t="s">
        <v>119</v>
      </c>
      <c r="AO62" t="s">
        <v>93</v>
      </c>
      <c r="AP62" t="s">
        <v>94</v>
      </c>
      <c r="AQ62" t="s">
        <v>74</v>
      </c>
      <c r="AR62" t="s">
        <v>95</v>
      </c>
      <c r="AS62" t="s">
        <v>96</v>
      </c>
      <c r="AT62" t="s">
        <v>579</v>
      </c>
      <c r="AU62">
        <v>2023</v>
      </c>
      <c r="AV62">
        <v>29</v>
      </c>
      <c r="AW62">
        <v>2</v>
      </c>
      <c r="AX62" t="s">
        <v>74</v>
      </c>
      <c r="AY62" t="s">
        <v>74</v>
      </c>
      <c r="AZ62" t="s">
        <v>74</v>
      </c>
      <c r="BA62" t="s">
        <v>74</v>
      </c>
      <c r="BB62">
        <v>442</v>
      </c>
      <c r="BC62">
        <v>459</v>
      </c>
      <c r="BD62" t="s">
        <v>74</v>
      </c>
      <c r="BE62" t="s">
        <v>1243</v>
      </c>
      <c r="BF62" t="str">
        <f>HYPERLINK("http://dx.doi.org/10.1108/JQME-04-2021-0033","http://dx.doi.org/10.1108/JQME-04-2021-0033")</f>
        <v>http://dx.doi.org/10.1108/JQME-04-2021-0033</v>
      </c>
      <c r="BG62" t="s">
        <v>74</v>
      </c>
      <c r="BH62" t="s">
        <v>250</v>
      </c>
      <c r="BI62">
        <v>18</v>
      </c>
      <c r="BJ62" t="s">
        <v>100</v>
      </c>
      <c r="BK62" t="s">
        <v>101</v>
      </c>
      <c r="BL62" t="s">
        <v>102</v>
      </c>
      <c r="BM62" t="s">
        <v>582</v>
      </c>
      <c r="BN62" t="s">
        <v>74</v>
      </c>
      <c r="BO62" t="s">
        <v>74</v>
      </c>
      <c r="BP62" t="s">
        <v>74</v>
      </c>
      <c r="BQ62" t="s">
        <v>74</v>
      </c>
      <c r="BR62" t="s">
        <v>104</v>
      </c>
      <c r="BS62" t="s">
        <v>1244</v>
      </c>
      <c r="BT62" t="str">
        <f>HYPERLINK("https%3A%2F%2Fwww.webofscience.com%2Fwos%2Fwoscc%2Ffull-record%2FWOS:000778998400001","View Full Record in Web of Science")</f>
        <v>View Full Record in Web of Science</v>
      </c>
    </row>
    <row r="63" spans="1:72" x14ac:dyDescent="0.25">
      <c r="A63" t="s">
        <v>72</v>
      </c>
      <c r="B63" t="s">
        <v>1245</v>
      </c>
      <c r="C63" t="s">
        <v>74</v>
      </c>
      <c r="D63" t="s">
        <v>74</v>
      </c>
      <c r="E63" t="s">
        <v>74</v>
      </c>
      <c r="F63" t="s">
        <v>1246</v>
      </c>
      <c r="G63" t="s">
        <v>74</v>
      </c>
      <c r="H63" t="s">
        <v>74</v>
      </c>
      <c r="I63" t="s">
        <v>1247</v>
      </c>
      <c r="J63" t="s">
        <v>1248</v>
      </c>
      <c r="K63" t="s">
        <v>74</v>
      </c>
      <c r="L63" t="s">
        <v>74</v>
      </c>
      <c r="M63" t="s">
        <v>78</v>
      </c>
      <c r="N63" t="s">
        <v>79</v>
      </c>
      <c r="O63" t="s">
        <v>74</v>
      </c>
      <c r="P63" t="s">
        <v>74</v>
      </c>
      <c r="Q63" t="s">
        <v>74</v>
      </c>
      <c r="R63" t="s">
        <v>74</v>
      </c>
      <c r="S63" t="s">
        <v>74</v>
      </c>
      <c r="T63" t="s">
        <v>1249</v>
      </c>
      <c r="U63" t="s">
        <v>1250</v>
      </c>
      <c r="V63" t="s">
        <v>1251</v>
      </c>
      <c r="W63" t="s">
        <v>1252</v>
      </c>
      <c r="X63" t="s">
        <v>1253</v>
      </c>
      <c r="Y63" t="s">
        <v>1254</v>
      </c>
      <c r="Z63" t="s">
        <v>1255</v>
      </c>
      <c r="AA63" t="s">
        <v>74</v>
      </c>
      <c r="AB63" t="s">
        <v>1256</v>
      </c>
      <c r="AC63" t="s">
        <v>1257</v>
      </c>
      <c r="AD63" t="s">
        <v>1258</v>
      </c>
      <c r="AE63" t="s">
        <v>1259</v>
      </c>
      <c r="AF63" t="s">
        <v>74</v>
      </c>
      <c r="AG63">
        <v>53</v>
      </c>
      <c r="AH63">
        <v>1</v>
      </c>
      <c r="AI63">
        <v>1</v>
      </c>
      <c r="AJ63">
        <v>1</v>
      </c>
      <c r="AK63">
        <v>36</v>
      </c>
      <c r="AL63" t="s">
        <v>1260</v>
      </c>
      <c r="AM63" t="s">
        <v>553</v>
      </c>
      <c r="AN63" t="s">
        <v>1261</v>
      </c>
      <c r="AO63" t="s">
        <v>1262</v>
      </c>
      <c r="AP63" t="s">
        <v>1263</v>
      </c>
      <c r="AQ63" t="s">
        <v>74</v>
      </c>
      <c r="AR63" t="s">
        <v>1264</v>
      </c>
      <c r="AS63" t="s">
        <v>1265</v>
      </c>
      <c r="AT63" t="s">
        <v>275</v>
      </c>
      <c r="AU63">
        <v>2022</v>
      </c>
      <c r="AV63">
        <v>34</v>
      </c>
      <c r="AW63">
        <v>6</v>
      </c>
      <c r="AX63" t="s">
        <v>74</v>
      </c>
      <c r="AY63" t="s">
        <v>74</v>
      </c>
      <c r="AZ63" t="s">
        <v>74</v>
      </c>
      <c r="BA63" t="s">
        <v>74</v>
      </c>
      <c r="BB63">
        <v>4693</v>
      </c>
      <c r="BC63">
        <v>4714</v>
      </c>
      <c r="BD63" t="s">
        <v>74</v>
      </c>
      <c r="BE63" t="s">
        <v>1266</v>
      </c>
      <c r="BF63" t="str">
        <f>HYPERLINK("http://dx.doi.org/10.1007/s00521-021-06624-0","http://dx.doi.org/10.1007/s00521-021-06624-0")</f>
        <v>http://dx.doi.org/10.1007/s00521-021-06624-0</v>
      </c>
      <c r="BG63" t="s">
        <v>74</v>
      </c>
      <c r="BH63" t="s">
        <v>536</v>
      </c>
      <c r="BI63">
        <v>22</v>
      </c>
      <c r="BJ63" t="s">
        <v>1267</v>
      </c>
      <c r="BK63" t="s">
        <v>322</v>
      </c>
      <c r="BL63" t="s">
        <v>1228</v>
      </c>
      <c r="BM63" t="s">
        <v>1268</v>
      </c>
      <c r="BN63" t="s">
        <v>74</v>
      </c>
      <c r="BO63" t="s">
        <v>74</v>
      </c>
      <c r="BP63" t="s">
        <v>74</v>
      </c>
      <c r="BQ63" t="s">
        <v>74</v>
      </c>
      <c r="BR63" t="s">
        <v>104</v>
      </c>
      <c r="BS63" t="s">
        <v>1269</v>
      </c>
      <c r="BT63" t="str">
        <f>HYPERLINK("https%3A%2F%2Fwww.webofscience.com%2Fwos%2Fwoscc%2Ffull-record%2FWOS:000715674600004","View Full Record in Web of Science")</f>
        <v>View Full Record in Web of Science</v>
      </c>
    </row>
    <row r="64" spans="1:72" x14ac:dyDescent="0.25">
      <c r="A64" t="s">
        <v>72</v>
      </c>
      <c r="B64" t="s">
        <v>1270</v>
      </c>
      <c r="C64" t="s">
        <v>74</v>
      </c>
      <c r="D64" t="s">
        <v>74</v>
      </c>
      <c r="E64" t="s">
        <v>74</v>
      </c>
      <c r="F64" t="s">
        <v>1271</v>
      </c>
      <c r="G64" t="s">
        <v>74</v>
      </c>
      <c r="H64" t="s">
        <v>74</v>
      </c>
      <c r="I64" t="s">
        <v>1272</v>
      </c>
      <c r="J64" t="s">
        <v>128</v>
      </c>
      <c r="K64" t="s">
        <v>74</v>
      </c>
      <c r="L64" t="s">
        <v>74</v>
      </c>
      <c r="M64" t="s">
        <v>78</v>
      </c>
      <c r="N64" t="s">
        <v>79</v>
      </c>
      <c r="O64" t="s">
        <v>74</v>
      </c>
      <c r="P64" t="s">
        <v>74</v>
      </c>
      <c r="Q64" t="s">
        <v>74</v>
      </c>
      <c r="R64" t="s">
        <v>74</v>
      </c>
      <c r="S64" t="s">
        <v>74</v>
      </c>
      <c r="T64" t="s">
        <v>1273</v>
      </c>
      <c r="U64" t="s">
        <v>1274</v>
      </c>
      <c r="V64" t="s">
        <v>1275</v>
      </c>
      <c r="W64" t="s">
        <v>1276</v>
      </c>
      <c r="X64" t="s">
        <v>1277</v>
      </c>
      <c r="Y64" t="s">
        <v>1278</v>
      </c>
      <c r="Z64" t="s">
        <v>806</v>
      </c>
      <c r="AA64" t="s">
        <v>1279</v>
      </c>
      <c r="AB64" t="s">
        <v>1280</v>
      </c>
      <c r="AC64" t="s">
        <v>1281</v>
      </c>
      <c r="AD64" t="s">
        <v>1282</v>
      </c>
      <c r="AE64" t="s">
        <v>1283</v>
      </c>
      <c r="AF64" t="s">
        <v>74</v>
      </c>
      <c r="AG64">
        <v>35</v>
      </c>
      <c r="AH64">
        <v>17</v>
      </c>
      <c r="AI64">
        <v>17</v>
      </c>
      <c r="AJ64">
        <v>6</v>
      </c>
      <c r="AK64">
        <v>24</v>
      </c>
      <c r="AL64" t="s">
        <v>138</v>
      </c>
      <c r="AM64" t="s">
        <v>139</v>
      </c>
      <c r="AN64" t="s">
        <v>140</v>
      </c>
      <c r="AO64" t="s">
        <v>141</v>
      </c>
      <c r="AP64" t="s">
        <v>142</v>
      </c>
      <c r="AQ64" t="s">
        <v>74</v>
      </c>
      <c r="AR64" t="s">
        <v>143</v>
      </c>
      <c r="AS64" t="s">
        <v>144</v>
      </c>
      <c r="AT64" t="s">
        <v>533</v>
      </c>
      <c r="AU64">
        <v>2023</v>
      </c>
      <c r="AV64">
        <v>230</v>
      </c>
      <c r="AW64" t="s">
        <v>74</v>
      </c>
      <c r="AX64" t="s">
        <v>74</v>
      </c>
      <c r="AY64" t="s">
        <v>74</v>
      </c>
      <c r="AZ64" t="s">
        <v>74</v>
      </c>
      <c r="BA64" t="s">
        <v>74</v>
      </c>
      <c r="BB64" t="s">
        <v>74</v>
      </c>
      <c r="BC64" t="s">
        <v>74</v>
      </c>
      <c r="BD64">
        <v>108904</v>
      </c>
      <c r="BE64" t="s">
        <v>1284</v>
      </c>
      <c r="BF64" t="str">
        <f>HYPERLINK("http://dx.doi.org/10.1016/j.ress.2022.108904","http://dx.doi.org/10.1016/j.ress.2022.108904")</f>
        <v>http://dx.doi.org/10.1016/j.ress.2022.108904</v>
      </c>
      <c r="BG64" t="s">
        <v>74</v>
      </c>
      <c r="BH64" t="s">
        <v>1285</v>
      </c>
      <c r="BI64">
        <v>18</v>
      </c>
      <c r="BJ64" t="s">
        <v>148</v>
      </c>
      <c r="BK64" t="s">
        <v>149</v>
      </c>
      <c r="BL64" t="s">
        <v>150</v>
      </c>
      <c r="BM64" t="s">
        <v>1286</v>
      </c>
      <c r="BN64" t="s">
        <v>74</v>
      </c>
      <c r="BO64" t="s">
        <v>400</v>
      </c>
      <c r="BP64" t="s">
        <v>74</v>
      </c>
      <c r="BQ64" t="s">
        <v>74</v>
      </c>
      <c r="BR64" t="s">
        <v>104</v>
      </c>
      <c r="BS64" t="s">
        <v>1287</v>
      </c>
      <c r="BT64" t="str">
        <f>HYPERLINK("https%3A%2F%2Fwww.webofscience.com%2Fwos%2Fwoscc%2Ffull-record%2FWOS:000900397900004","View Full Record in Web of Science")</f>
        <v>View Full Record in Web of Science</v>
      </c>
    </row>
    <row r="65" spans="1:72" x14ac:dyDescent="0.25">
      <c r="A65" t="s">
        <v>72</v>
      </c>
      <c r="B65" t="s">
        <v>1288</v>
      </c>
      <c r="C65" t="s">
        <v>74</v>
      </c>
      <c r="D65" t="s">
        <v>74</v>
      </c>
      <c r="E65" t="s">
        <v>74</v>
      </c>
      <c r="F65" t="s">
        <v>1289</v>
      </c>
      <c r="G65" t="s">
        <v>74</v>
      </c>
      <c r="H65" t="s">
        <v>74</v>
      </c>
      <c r="I65" t="s">
        <v>1290</v>
      </c>
      <c r="J65" t="s">
        <v>128</v>
      </c>
      <c r="K65" t="s">
        <v>74</v>
      </c>
      <c r="L65" t="s">
        <v>74</v>
      </c>
      <c r="M65" t="s">
        <v>78</v>
      </c>
      <c r="N65" t="s">
        <v>79</v>
      </c>
      <c r="O65" t="s">
        <v>74</v>
      </c>
      <c r="P65" t="s">
        <v>74</v>
      </c>
      <c r="Q65" t="s">
        <v>74</v>
      </c>
      <c r="R65" t="s">
        <v>74</v>
      </c>
      <c r="S65" t="s">
        <v>74</v>
      </c>
      <c r="T65" t="s">
        <v>1291</v>
      </c>
      <c r="U65" t="s">
        <v>1292</v>
      </c>
      <c r="V65" t="s">
        <v>1293</v>
      </c>
      <c r="W65" t="s">
        <v>1294</v>
      </c>
      <c r="X65" t="s">
        <v>1295</v>
      </c>
      <c r="Y65" t="s">
        <v>1296</v>
      </c>
      <c r="Z65" t="s">
        <v>1297</v>
      </c>
      <c r="AA65" t="s">
        <v>1298</v>
      </c>
      <c r="AB65" t="s">
        <v>1299</v>
      </c>
      <c r="AC65" t="s">
        <v>1300</v>
      </c>
      <c r="AD65" t="s">
        <v>1301</v>
      </c>
      <c r="AE65" t="s">
        <v>1302</v>
      </c>
      <c r="AF65" t="s">
        <v>74</v>
      </c>
      <c r="AG65">
        <v>36</v>
      </c>
      <c r="AH65">
        <v>20</v>
      </c>
      <c r="AI65">
        <v>20</v>
      </c>
      <c r="AJ65">
        <v>10</v>
      </c>
      <c r="AK65">
        <v>35</v>
      </c>
      <c r="AL65" t="s">
        <v>138</v>
      </c>
      <c r="AM65" t="s">
        <v>139</v>
      </c>
      <c r="AN65" t="s">
        <v>140</v>
      </c>
      <c r="AO65" t="s">
        <v>141</v>
      </c>
      <c r="AP65" t="s">
        <v>142</v>
      </c>
      <c r="AQ65" t="s">
        <v>74</v>
      </c>
      <c r="AR65" t="s">
        <v>143</v>
      </c>
      <c r="AS65" t="s">
        <v>144</v>
      </c>
      <c r="AT65" t="s">
        <v>491</v>
      </c>
      <c r="AU65">
        <v>2023</v>
      </c>
      <c r="AV65">
        <v>239</v>
      </c>
      <c r="AW65" t="s">
        <v>74</v>
      </c>
      <c r="AX65" t="s">
        <v>74</v>
      </c>
      <c r="AY65" t="s">
        <v>74</v>
      </c>
      <c r="AZ65" t="s">
        <v>74</v>
      </c>
      <c r="BA65" t="s">
        <v>74</v>
      </c>
      <c r="BB65" t="s">
        <v>74</v>
      </c>
      <c r="BC65" t="s">
        <v>74</v>
      </c>
      <c r="BD65">
        <v>109506</v>
      </c>
      <c r="BE65" t="s">
        <v>1303</v>
      </c>
      <c r="BF65" t="str">
        <f>HYPERLINK("http://dx.doi.org/10.1016/j.ress.2023.109506","http://dx.doi.org/10.1016/j.ress.2023.109506")</f>
        <v>http://dx.doi.org/10.1016/j.ress.2023.109506</v>
      </c>
      <c r="BG65" t="s">
        <v>74</v>
      </c>
      <c r="BH65" t="s">
        <v>1155</v>
      </c>
      <c r="BI65">
        <v>21</v>
      </c>
      <c r="BJ65" t="s">
        <v>148</v>
      </c>
      <c r="BK65" t="s">
        <v>149</v>
      </c>
      <c r="BL65" t="s">
        <v>150</v>
      </c>
      <c r="BM65" t="s">
        <v>1304</v>
      </c>
      <c r="BN65" t="s">
        <v>74</v>
      </c>
      <c r="BO65" t="s">
        <v>74</v>
      </c>
      <c r="BP65" t="s">
        <v>74</v>
      </c>
      <c r="BQ65" t="s">
        <v>74</v>
      </c>
      <c r="BR65" t="s">
        <v>104</v>
      </c>
      <c r="BS65" t="s">
        <v>1305</v>
      </c>
      <c r="BT65" t="str">
        <f>HYPERLINK("https%3A%2F%2Fwww.webofscience.com%2Fwos%2Fwoscc%2Ffull-record%2FWOS:001048323900001","View Full Record in Web of Science")</f>
        <v>View Full Record in Web of Science</v>
      </c>
    </row>
    <row r="66" spans="1:72" x14ac:dyDescent="0.25">
      <c r="A66" t="s">
        <v>72</v>
      </c>
      <c r="B66" t="s">
        <v>1306</v>
      </c>
      <c r="C66" t="s">
        <v>74</v>
      </c>
      <c r="D66" t="s">
        <v>74</v>
      </c>
      <c r="E66" t="s">
        <v>74</v>
      </c>
      <c r="F66" t="s">
        <v>1307</v>
      </c>
      <c r="G66" t="s">
        <v>74</v>
      </c>
      <c r="H66" t="s">
        <v>74</v>
      </c>
      <c r="I66" t="s">
        <v>1308</v>
      </c>
      <c r="J66" t="s">
        <v>128</v>
      </c>
      <c r="K66" t="s">
        <v>74</v>
      </c>
      <c r="L66" t="s">
        <v>74</v>
      </c>
      <c r="M66" t="s">
        <v>78</v>
      </c>
      <c r="N66" t="s">
        <v>79</v>
      </c>
      <c r="O66" t="s">
        <v>74</v>
      </c>
      <c r="P66" t="s">
        <v>74</v>
      </c>
      <c r="Q66" t="s">
        <v>74</v>
      </c>
      <c r="R66" t="s">
        <v>74</v>
      </c>
      <c r="S66" t="s">
        <v>74</v>
      </c>
      <c r="T66" t="s">
        <v>1309</v>
      </c>
      <c r="U66" t="s">
        <v>1310</v>
      </c>
      <c r="V66" t="s">
        <v>1311</v>
      </c>
      <c r="W66" t="s">
        <v>1312</v>
      </c>
      <c r="X66" t="s">
        <v>1313</v>
      </c>
      <c r="Y66" t="s">
        <v>1314</v>
      </c>
      <c r="Z66" t="s">
        <v>1315</v>
      </c>
      <c r="AA66" t="s">
        <v>74</v>
      </c>
      <c r="AB66" t="s">
        <v>1316</v>
      </c>
      <c r="AC66" t="s">
        <v>1317</v>
      </c>
      <c r="AD66" t="s">
        <v>1318</v>
      </c>
      <c r="AE66" t="s">
        <v>1319</v>
      </c>
      <c r="AF66" t="s">
        <v>74</v>
      </c>
      <c r="AG66">
        <v>71</v>
      </c>
      <c r="AH66">
        <v>19</v>
      </c>
      <c r="AI66">
        <v>19</v>
      </c>
      <c r="AJ66">
        <v>5</v>
      </c>
      <c r="AK66">
        <v>17</v>
      </c>
      <c r="AL66" t="s">
        <v>138</v>
      </c>
      <c r="AM66" t="s">
        <v>246</v>
      </c>
      <c r="AN66" t="s">
        <v>247</v>
      </c>
      <c r="AO66" t="s">
        <v>141</v>
      </c>
      <c r="AP66" t="s">
        <v>142</v>
      </c>
      <c r="AQ66" t="s">
        <v>74</v>
      </c>
      <c r="AR66" t="s">
        <v>143</v>
      </c>
      <c r="AS66" t="s">
        <v>144</v>
      </c>
      <c r="AT66" t="s">
        <v>145</v>
      </c>
      <c r="AU66">
        <v>2022</v>
      </c>
      <c r="AV66">
        <v>228</v>
      </c>
      <c r="AW66" t="s">
        <v>74</v>
      </c>
      <c r="AX66" t="s">
        <v>74</v>
      </c>
      <c r="AY66" t="s">
        <v>74</v>
      </c>
      <c r="AZ66" t="s">
        <v>74</v>
      </c>
      <c r="BA66" t="s">
        <v>74</v>
      </c>
      <c r="BB66" t="s">
        <v>74</v>
      </c>
      <c r="BC66" t="s">
        <v>74</v>
      </c>
      <c r="BD66">
        <v>108810</v>
      </c>
      <c r="BE66" t="s">
        <v>1320</v>
      </c>
      <c r="BF66" t="str">
        <f>HYPERLINK("http://dx.doi.org/10.1016/j.ress.2022.108810","http://dx.doi.org/10.1016/j.ress.2022.108810")</f>
        <v>http://dx.doi.org/10.1016/j.ress.2022.108810</v>
      </c>
      <c r="BG66" t="s">
        <v>74</v>
      </c>
      <c r="BH66" t="s">
        <v>865</v>
      </c>
      <c r="BI66">
        <v>14</v>
      </c>
      <c r="BJ66" t="s">
        <v>148</v>
      </c>
      <c r="BK66" t="s">
        <v>149</v>
      </c>
      <c r="BL66" t="s">
        <v>150</v>
      </c>
      <c r="BM66" t="s">
        <v>1321</v>
      </c>
      <c r="BN66" t="s">
        <v>74</v>
      </c>
      <c r="BO66" t="s">
        <v>74</v>
      </c>
      <c r="BP66" t="s">
        <v>74</v>
      </c>
      <c r="BQ66" t="s">
        <v>74</v>
      </c>
      <c r="BR66" t="s">
        <v>104</v>
      </c>
      <c r="BS66" t="s">
        <v>1322</v>
      </c>
      <c r="BT66" t="str">
        <f>HYPERLINK("https%3A%2F%2Fwww.webofscience.com%2Fwos%2Fwoscc%2Ffull-record%2FWOS:000862551300002","View Full Record in Web of Science")</f>
        <v>View Full Record in Web of Science</v>
      </c>
    </row>
    <row r="67" spans="1:72" x14ac:dyDescent="0.25">
      <c r="A67" t="s">
        <v>72</v>
      </c>
      <c r="B67" t="s">
        <v>1323</v>
      </c>
      <c r="C67" t="s">
        <v>74</v>
      </c>
      <c r="D67" t="s">
        <v>74</v>
      </c>
      <c r="E67" t="s">
        <v>74</v>
      </c>
      <c r="F67" t="s">
        <v>1324</v>
      </c>
      <c r="G67" t="s">
        <v>74</v>
      </c>
      <c r="H67" t="s">
        <v>74</v>
      </c>
      <c r="I67" t="s">
        <v>1325</v>
      </c>
      <c r="J67" t="s">
        <v>697</v>
      </c>
      <c r="K67" t="s">
        <v>74</v>
      </c>
      <c r="L67" t="s">
        <v>74</v>
      </c>
      <c r="M67" t="s">
        <v>78</v>
      </c>
      <c r="N67" t="s">
        <v>79</v>
      </c>
      <c r="O67" t="s">
        <v>74</v>
      </c>
      <c r="P67" t="s">
        <v>74</v>
      </c>
      <c r="Q67" t="s">
        <v>74</v>
      </c>
      <c r="R67" t="s">
        <v>74</v>
      </c>
      <c r="S67" t="s">
        <v>74</v>
      </c>
      <c r="T67" t="s">
        <v>1326</v>
      </c>
      <c r="U67" t="s">
        <v>74</v>
      </c>
      <c r="V67" t="s">
        <v>1327</v>
      </c>
      <c r="W67" t="s">
        <v>1328</v>
      </c>
      <c r="X67" t="s">
        <v>1329</v>
      </c>
      <c r="Y67" t="s">
        <v>1330</v>
      </c>
      <c r="Z67" t="s">
        <v>74</v>
      </c>
      <c r="AA67" t="s">
        <v>74</v>
      </c>
      <c r="AB67" t="s">
        <v>1331</v>
      </c>
      <c r="AC67" t="s">
        <v>1332</v>
      </c>
      <c r="AD67" t="s">
        <v>482</v>
      </c>
      <c r="AE67" t="s">
        <v>1333</v>
      </c>
      <c r="AF67" t="s">
        <v>74</v>
      </c>
      <c r="AG67">
        <v>37</v>
      </c>
      <c r="AH67">
        <v>42</v>
      </c>
      <c r="AI67">
        <v>44</v>
      </c>
      <c r="AJ67">
        <v>14</v>
      </c>
      <c r="AK67">
        <v>87</v>
      </c>
      <c r="AL67" t="s">
        <v>707</v>
      </c>
      <c r="AM67" t="s">
        <v>246</v>
      </c>
      <c r="AN67" t="s">
        <v>708</v>
      </c>
      <c r="AO67" t="s">
        <v>709</v>
      </c>
      <c r="AP67" t="s">
        <v>710</v>
      </c>
      <c r="AQ67" t="s">
        <v>74</v>
      </c>
      <c r="AR67" t="s">
        <v>711</v>
      </c>
      <c r="AS67" t="s">
        <v>712</v>
      </c>
      <c r="AT67" t="s">
        <v>275</v>
      </c>
      <c r="AU67">
        <v>2021</v>
      </c>
      <c r="AV67">
        <v>153</v>
      </c>
      <c r="AW67" t="s">
        <v>74</v>
      </c>
      <c r="AX67" t="s">
        <v>74</v>
      </c>
      <c r="AY67" t="s">
        <v>74</v>
      </c>
      <c r="AZ67" t="s">
        <v>74</v>
      </c>
      <c r="BA67" t="s">
        <v>74</v>
      </c>
      <c r="BB67" t="s">
        <v>74</v>
      </c>
      <c r="BC67" t="s">
        <v>74</v>
      </c>
      <c r="BD67">
        <v>107056</v>
      </c>
      <c r="BE67" t="s">
        <v>1334</v>
      </c>
      <c r="BF67" t="str">
        <f>HYPERLINK("http://dx.doi.org/10.1016/j.cie.2020.107056","http://dx.doi.org/10.1016/j.cie.2020.107056")</f>
        <v>http://dx.doi.org/10.1016/j.cie.2020.107056</v>
      </c>
      <c r="BG67" t="s">
        <v>74</v>
      </c>
      <c r="BH67" t="s">
        <v>773</v>
      </c>
      <c r="BI67">
        <v>12</v>
      </c>
      <c r="BJ67" t="s">
        <v>715</v>
      </c>
      <c r="BK67" t="s">
        <v>149</v>
      </c>
      <c r="BL67" t="s">
        <v>716</v>
      </c>
      <c r="BM67" t="s">
        <v>1335</v>
      </c>
      <c r="BN67" t="s">
        <v>74</v>
      </c>
      <c r="BO67" t="s">
        <v>74</v>
      </c>
      <c r="BP67" t="s">
        <v>74</v>
      </c>
      <c r="BQ67" t="s">
        <v>74</v>
      </c>
      <c r="BR67" t="s">
        <v>104</v>
      </c>
      <c r="BS67" t="s">
        <v>1336</v>
      </c>
      <c r="BT67" t="str">
        <f>HYPERLINK("https%3A%2F%2Fwww.webofscience.com%2Fwos%2Fwoscc%2Ffull-record%2FWOS:000632961600013","View Full Record in Web of Science")</f>
        <v>View Full Record in Web of Science</v>
      </c>
    </row>
    <row r="68" spans="1:72" x14ac:dyDescent="0.25">
      <c r="A68" t="s">
        <v>72</v>
      </c>
      <c r="B68" t="s">
        <v>1337</v>
      </c>
      <c r="C68" t="s">
        <v>74</v>
      </c>
      <c r="D68" t="s">
        <v>74</v>
      </c>
      <c r="E68" t="s">
        <v>74</v>
      </c>
      <c r="F68" t="s">
        <v>1338</v>
      </c>
      <c r="G68" t="s">
        <v>74</v>
      </c>
      <c r="H68" t="s">
        <v>74</v>
      </c>
      <c r="I68" t="s">
        <v>1339</v>
      </c>
      <c r="J68" t="s">
        <v>778</v>
      </c>
      <c r="K68" t="s">
        <v>74</v>
      </c>
      <c r="L68" t="s">
        <v>74</v>
      </c>
      <c r="M68" t="s">
        <v>78</v>
      </c>
      <c r="N68" t="s">
        <v>79</v>
      </c>
      <c r="O68" t="s">
        <v>74</v>
      </c>
      <c r="P68" t="s">
        <v>74</v>
      </c>
      <c r="Q68" t="s">
        <v>74</v>
      </c>
      <c r="R68" t="s">
        <v>74</v>
      </c>
      <c r="S68" t="s">
        <v>74</v>
      </c>
      <c r="T68" t="s">
        <v>1340</v>
      </c>
      <c r="U68" t="s">
        <v>1341</v>
      </c>
      <c r="V68" t="s">
        <v>1342</v>
      </c>
      <c r="W68" t="s">
        <v>1343</v>
      </c>
      <c r="X68" t="s">
        <v>1344</v>
      </c>
      <c r="Y68" t="s">
        <v>1345</v>
      </c>
      <c r="Z68" t="s">
        <v>1346</v>
      </c>
      <c r="AA68" t="s">
        <v>1347</v>
      </c>
      <c r="AB68" t="s">
        <v>1348</v>
      </c>
      <c r="AC68" t="s">
        <v>74</v>
      </c>
      <c r="AD68" t="s">
        <v>74</v>
      </c>
      <c r="AE68" t="s">
        <v>74</v>
      </c>
      <c r="AF68" t="s">
        <v>74</v>
      </c>
      <c r="AG68">
        <v>43</v>
      </c>
      <c r="AH68">
        <v>15</v>
      </c>
      <c r="AI68">
        <v>15</v>
      </c>
      <c r="AJ68">
        <v>2</v>
      </c>
      <c r="AK68">
        <v>53</v>
      </c>
      <c r="AL68" t="s">
        <v>311</v>
      </c>
      <c r="AM68" t="s">
        <v>312</v>
      </c>
      <c r="AN68" t="s">
        <v>313</v>
      </c>
      <c r="AO68" t="s">
        <v>788</v>
      </c>
      <c r="AP68" t="s">
        <v>789</v>
      </c>
      <c r="AQ68" t="s">
        <v>74</v>
      </c>
      <c r="AR68" t="s">
        <v>790</v>
      </c>
      <c r="AS68" t="s">
        <v>791</v>
      </c>
      <c r="AT68" t="s">
        <v>1349</v>
      </c>
      <c r="AU68">
        <v>2021</v>
      </c>
      <c r="AV68">
        <v>32</v>
      </c>
      <c r="AW68">
        <v>5</v>
      </c>
      <c r="AX68" t="s">
        <v>74</v>
      </c>
      <c r="AY68" t="s">
        <v>74</v>
      </c>
      <c r="AZ68" t="s">
        <v>74</v>
      </c>
      <c r="BA68" t="s">
        <v>74</v>
      </c>
      <c r="BB68">
        <v>347</v>
      </c>
      <c r="BC68">
        <v>367</v>
      </c>
      <c r="BD68" t="s">
        <v>74</v>
      </c>
      <c r="BE68" t="s">
        <v>1350</v>
      </c>
      <c r="BF68" t="str">
        <f>HYPERLINK("http://dx.doi.org/10.1080/09537287.2020.1736684","http://dx.doi.org/10.1080/09537287.2020.1736684")</f>
        <v>http://dx.doi.org/10.1080/09537287.2020.1736684</v>
      </c>
      <c r="BG68" t="s">
        <v>74</v>
      </c>
      <c r="BH68" t="s">
        <v>1351</v>
      </c>
      <c r="BI68">
        <v>21</v>
      </c>
      <c r="BJ68" t="s">
        <v>321</v>
      </c>
      <c r="BK68" t="s">
        <v>149</v>
      </c>
      <c r="BL68" t="s">
        <v>150</v>
      </c>
      <c r="BM68" t="s">
        <v>1352</v>
      </c>
      <c r="BN68" t="s">
        <v>74</v>
      </c>
      <c r="BO68" t="s">
        <v>1044</v>
      </c>
      <c r="BP68" t="s">
        <v>74</v>
      </c>
      <c r="BQ68" t="s">
        <v>74</v>
      </c>
      <c r="BR68" t="s">
        <v>104</v>
      </c>
      <c r="BS68" t="s">
        <v>1353</v>
      </c>
      <c r="BT68" t="str">
        <f>HYPERLINK("https%3A%2F%2Fwww.webofscience.com%2Fwos%2Fwoscc%2Ffull-record%2FWOS:000519464200001","View Full Record in Web of Science")</f>
        <v>View Full Record in Web of Science</v>
      </c>
    </row>
    <row r="69" spans="1:72" x14ac:dyDescent="0.25">
      <c r="A69" t="s">
        <v>72</v>
      </c>
      <c r="B69" t="s">
        <v>1354</v>
      </c>
      <c r="C69" t="s">
        <v>74</v>
      </c>
      <c r="D69" t="s">
        <v>74</v>
      </c>
      <c r="E69" t="s">
        <v>74</v>
      </c>
      <c r="F69" t="s">
        <v>1355</v>
      </c>
      <c r="G69" t="s">
        <v>74</v>
      </c>
      <c r="H69" t="s">
        <v>74</v>
      </c>
      <c r="I69" t="s">
        <v>1356</v>
      </c>
      <c r="J69" t="s">
        <v>77</v>
      </c>
      <c r="K69" t="s">
        <v>74</v>
      </c>
      <c r="L69" t="s">
        <v>74</v>
      </c>
      <c r="M69" t="s">
        <v>78</v>
      </c>
      <c r="N69" t="s">
        <v>79</v>
      </c>
      <c r="O69" t="s">
        <v>74</v>
      </c>
      <c r="P69" t="s">
        <v>74</v>
      </c>
      <c r="Q69" t="s">
        <v>74</v>
      </c>
      <c r="R69" t="s">
        <v>74</v>
      </c>
      <c r="S69" t="s">
        <v>74</v>
      </c>
      <c r="T69" t="s">
        <v>1357</v>
      </c>
      <c r="U69" t="s">
        <v>1358</v>
      </c>
      <c r="V69" t="s">
        <v>1359</v>
      </c>
      <c r="W69" t="s">
        <v>1360</v>
      </c>
      <c r="X69" t="s">
        <v>1361</v>
      </c>
      <c r="Y69" t="s">
        <v>1362</v>
      </c>
      <c r="Z69" t="s">
        <v>1363</v>
      </c>
      <c r="AA69" t="s">
        <v>1364</v>
      </c>
      <c r="AB69" t="s">
        <v>1365</v>
      </c>
      <c r="AC69" t="s">
        <v>74</v>
      </c>
      <c r="AD69" t="s">
        <v>74</v>
      </c>
      <c r="AE69" t="s">
        <v>74</v>
      </c>
      <c r="AF69" t="s">
        <v>74</v>
      </c>
      <c r="AG69">
        <v>49</v>
      </c>
      <c r="AH69">
        <v>10</v>
      </c>
      <c r="AI69">
        <v>11</v>
      </c>
      <c r="AJ69">
        <v>0</v>
      </c>
      <c r="AK69">
        <v>7</v>
      </c>
      <c r="AL69" t="s">
        <v>90</v>
      </c>
      <c r="AM69" t="s">
        <v>118</v>
      </c>
      <c r="AN69" t="s">
        <v>119</v>
      </c>
      <c r="AO69" t="s">
        <v>93</v>
      </c>
      <c r="AP69" t="s">
        <v>94</v>
      </c>
      <c r="AQ69" t="s">
        <v>74</v>
      </c>
      <c r="AR69" t="s">
        <v>95</v>
      </c>
      <c r="AS69" t="s">
        <v>96</v>
      </c>
      <c r="AT69" t="s">
        <v>689</v>
      </c>
      <c r="AU69">
        <v>2021</v>
      </c>
      <c r="AV69">
        <v>27</v>
      </c>
      <c r="AW69">
        <v>1</v>
      </c>
      <c r="AX69" t="s">
        <v>74</v>
      </c>
      <c r="AY69" t="s">
        <v>74</v>
      </c>
      <c r="AZ69" t="s">
        <v>74</v>
      </c>
      <c r="BA69" t="s">
        <v>74</v>
      </c>
      <c r="BB69">
        <v>144</v>
      </c>
      <c r="BC69">
        <v>168</v>
      </c>
      <c r="BD69" t="s">
        <v>74</v>
      </c>
      <c r="BE69" t="s">
        <v>1366</v>
      </c>
      <c r="BF69" t="str">
        <f>HYPERLINK("http://dx.doi.org/10.1108/JQME-03-2017-0012","http://dx.doi.org/10.1108/JQME-03-2017-0012")</f>
        <v>http://dx.doi.org/10.1108/JQME-03-2017-0012</v>
      </c>
      <c r="BG69" t="s">
        <v>74</v>
      </c>
      <c r="BH69" t="s">
        <v>320</v>
      </c>
      <c r="BI69">
        <v>25</v>
      </c>
      <c r="BJ69" t="s">
        <v>100</v>
      </c>
      <c r="BK69" t="s">
        <v>101</v>
      </c>
      <c r="BL69" t="s">
        <v>102</v>
      </c>
      <c r="BM69" t="s">
        <v>692</v>
      </c>
      <c r="BN69" t="s">
        <v>74</v>
      </c>
      <c r="BO69" t="s">
        <v>74</v>
      </c>
      <c r="BP69" t="s">
        <v>74</v>
      </c>
      <c r="BQ69" t="s">
        <v>74</v>
      </c>
      <c r="BR69" t="s">
        <v>104</v>
      </c>
      <c r="BS69" t="s">
        <v>1367</v>
      </c>
      <c r="BT69" t="str">
        <f>HYPERLINK("https%3A%2F%2Fwww.webofscience.com%2Fwos%2Fwoscc%2Ffull-record%2FWOS:000564411100001","View Full Record in Web of Science")</f>
        <v>View Full Record in Web of Science</v>
      </c>
    </row>
    <row r="70" spans="1:72" x14ac:dyDescent="0.25">
      <c r="A70" t="s">
        <v>72</v>
      </c>
      <c r="B70" t="s">
        <v>1368</v>
      </c>
      <c r="C70" t="s">
        <v>74</v>
      </c>
      <c r="D70" t="s">
        <v>74</v>
      </c>
      <c r="E70" t="s">
        <v>74</v>
      </c>
      <c r="F70" t="s">
        <v>1369</v>
      </c>
      <c r="G70" t="s">
        <v>74</v>
      </c>
      <c r="H70" t="s">
        <v>74</v>
      </c>
      <c r="I70" t="s">
        <v>1370</v>
      </c>
      <c r="J70" t="s">
        <v>778</v>
      </c>
      <c r="K70" t="s">
        <v>74</v>
      </c>
      <c r="L70" t="s">
        <v>74</v>
      </c>
      <c r="M70" t="s">
        <v>78</v>
      </c>
      <c r="N70" t="s">
        <v>79</v>
      </c>
      <c r="O70" t="s">
        <v>74</v>
      </c>
      <c r="P70" t="s">
        <v>74</v>
      </c>
      <c r="Q70" t="s">
        <v>74</v>
      </c>
      <c r="R70" t="s">
        <v>74</v>
      </c>
      <c r="S70" t="s">
        <v>74</v>
      </c>
      <c r="T70" t="s">
        <v>1371</v>
      </c>
      <c r="U70" t="s">
        <v>1372</v>
      </c>
      <c r="V70" t="s">
        <v>1373</v>
      </c>
      <c r="W70" t="s">
        <v>1374</v>
      </c>
      <c r="X70" t="s">
        <v>1375</v>
      </c>
      <c r="Y70" t="s">
        <v>1376</v>
      </c>
      <c r="Z70" t="s">
        <v>1377</v>
      </c>
      <c r="AA70" t="s">
        <v>1378</v>
      </c>
      <c r="AB70" t="s">
        <v>1379</v>
      </c>
      <c r="AC70" t="s">
        <v>74</v>
      </c>
      <c r="AD70" t="s">
        <v>74</v>
      </c>
      <c r="AE70" t="s">
        <v>74</v>
      </c>
      <c r="AF70" t="s">
        <v>74</v>
      </c>
      <c r="AG70">
        <v>117</v>
      </c>
      <c r="AH70">
        <v>33</v>
      </c>
      <c r="AI70">
        <v>34</v>
      </c>
      <c r="AJ70">
        <v>1</v>
      </c>
      <c r="AK70">
        <v>16</v>
      </c>
      <c r="AL70" t="s">
        <v>311</v>
      </c>
      <c r="AM70" t="s">
        <v>312</v>
      </c>
      <c r="AN70" t="s">
        <v>313</v>
      </c>
      <c r="AO70" t="s">
        <v>788</v>
      </c>
      <c r="AP70" t="s">
        <v>789</v>
      </c>
      <c r="AQ70" t="s">
        <v>74</v>
      </c>
      <c r="AR70" t="s">
        <v>790</v>
      </c>
      <c r="AS70" t="s">
        <v>791</v>
      </c>
      <c r="AT70" t="s">
        <v>1349</v>
      </c>
      <c r="AU70">
        <v>2021</v>
      </c>
      <c r="AV70">
        <v>32</v>
      </c>
      <c r="AW70">
        <v>5</v>
      </c>
      <c r="AX70" t="s">
        <v>74</v>
      </c>
      <c r="AY70" t="s">
        <v>74</v>
      </c>
      <c r="AZ70" t="s">
        <v>74</v>
      </c>
      <c r="BA70" t="s">
        <v>74</v>
      </c>
      <c r="BB70">
        <v>397</v>
      </c>
      <c r="BC70">
        <v>414</v>
      </c>
      <c r="BD70" t="s">
        <v>74</v>
      </c>
      <c r="BE70" t="s">
        <v>1380</v>
      </c>
      <c r="BF70" t="str">
        <f>HYPERLINK("http://dx.doi.org/10.1080/09537287.2020.1741046","http://dx.doi.org/10.1080/09537287.2020.1741046")</f>
        <v>http://dx.doi.org/10.1080/09537287.2020.1741046</v>
      </c>
      <c r="BG70" t="s">
        <v>74</v>
      </c>
      <c r="BH70" t="s">
        <v>1351</v>
      </c>
      <c r="BI70">
        <v>18</v>
      </c>
      <c r="BJ70" t="s">
        <v>321</v>
      </c>
      <c r="BK70" t="s">
        <v>149</v>
      </c>
      <c r="BL70" t="s">
        <v>150</v>
      </c>
      <c r="BM70" t="s">
        <v>1352</v>
      </c>
      <c r="BN70" t="s">
        <v>74</v>
      </c>
      <c r="BO70" t="s">
        <v>758</v>
      </c>
      <c r="BP70" t="s">
        <v>74</v>
      </c>
      <c r="BQ70" t="s">
        <v>74</v>
      </c>
      <c r="BR70" t="s">
        <v>104</v>
      </c>
      <c r="BS70" t="s">
        <v>1381</v>
      </c>
      <c r="BT70" t="str">
        <f>HYPERLINK("https%3A%2F%2Fwww.webofscience.com%2Fwos%2Fwoscc%2Ffull-record%2FWOS:000524011600001","View Full Record in Web of Science")</f>
        <v>View Full Record in Web of Science</v>
      </c>
    </row>
    <row r="71" spans="1:72" x14ac:dyDescent="0.25">
      <c r="A71" t="s">
        <v>72</v>
      </c>
      <c r="B71" t="s">
        <v>1382</v>
      </c>
      <c r="C71" t="s">
        <v>74</v>
      </c>
      <c r="D71" t="s">
        <v>74</v>
      </c>
      <c r="E71" t="s">
        <v>74</v>
      </c>
      <c r="F71" t="s">
        <v>1383</v>
      </c>
      <c r="G71" t="s">
        <v>74</v>
      </c>
      <c r="H71" t="s">
        <v>74</v>
      </c>
      <c r="I71" t="s">
        <v>1384</v>
      </c>
      <c r="J71" t="s">
        <v>542</v>
      </c>
      <c r="K71" t="s">
        <v>74</v>
      </c>
      <c r="L71" t="s">
        <v>74</v>
      </c>
      <c r="M71" t="s">
        <v>78</v>
      </c>
      <c r="N71" t="s">
        <v>79</v>
      </c>
      <c r="O71" t="s">
        <v>74</v>
      </c>
      <c r="P71" t="s">
        <v>74</v>
      </c>
      <c r="Q71" t="s">
        <v>74</v>
      </c>
      <c r="R71" t="s">
        <v>74</v>
      </c>
      <c r="S71" t="s">
        <v>74</v>
      </c>
      <c r="T71" t="s">
        <v>1385</v>
      </c>
      <c r="U71" t="s">
        <v>1386</v>
      </c>
      <c r="V71" t="s">
        <v>1387</v>
      </c>
      <c r="W71" t="s">
        <v>1388</v>
      </c>
      <c r="X71" t="s">
        <v>1389</v>
      </c>
      <c r="Y71" t="s">
        <v>1390</v>
      </c>
      <c r="Z71" t="s">
        <v>1391</v>
      </c>
      <c r="AA71" t="s">
        <v>1392</v>
      </c>
      <c r="AB71" t="s">
        <v>1393</v>
      </c>
      <c r="AC71" t="s">
        <v>1394</v>
      </c>
      <c r="AD71" t="s">
        <v>482</v>
      </c>
      <c r="AE71" t="s">
        <v>1395</v>
      </c>
      <c r="AF71" t="s">
        <v>74</v>
      </c>
      <c r="AG71">
        <v>50</v>
      </c>
      <c r="AH71">
        <v>10</v>
      </c>
      <c r="AI71">
        <v>12</v>
      </c>
      <c r="AJ71">
        <v>0</v>
      </c>
      <c r="AK71">
        <v>33</v>
      </c>
      <c r="AL71" t="s">
        <v>552</v>
      </c>
      <c r="AM71" t="s">
        <v>553</v>
      </c>
      <c r="AN71" t="s">
        <v>554</v>
      </c>
      <c r="AO71" t="s">
        <v>555</v>
      </c>
      <c r="AP71" t="s">
        <v>556</v>
      </c>
      <c r="AQ71" t="s">
        <v>74</v>
      </c>
      <c r="AR71" t="s">
        <v>557</v>
      </c>
      <c r="AS71" t="s">
        <v>558</v>
      </c>
      <c r="AT71" t="s">
        <v>559</v>
      </c>
      <c r="AU71">
        <v>2019</v>
      </c>
      <c r="AV71">
        <v>233</v>
      </c>
      <c r="AW71">
        <v>3</v>
      </c>
      <c r="AX71" t="s">
        <v>74</v>
      </c>
      <c r="AY71" t="s">
        <v>74</v>
      </c>
      <c r="AZ71" t="s">
        <v>74</v>
      </c>
      <c r="BA71" t="s">
        <v>74</v>
      </c>
      <c r="BB71">
        <v>427</v>
      </c>
      <c r="BC71">
        <v>443</v>
      </c>
      <c r="BD71" t="s">
        <v>74</v>
      </c>
      <c r="BE71" t="s">
        <v>1396</v>
      </c>
      <c r="BF71" t="str">
        <f>HYPERLINK("http://dx.doi.org/10.1177/1748006X18799907","http://dx.doi.org/10.1177/1748006X18799907")</f>
        <v>http://dx.doi.org/10.1177/1748006X18799907</v>
      </c>
      <c r="BG71" t="s">
        <v>74</v>
      </c>
      <c r="BH71" t="s">
        <v>74</v>
      </c>
      <c r="BI71">
        <v>17</v>
      </c>
      <c r="BJ71" t="s">
        <v>494</v>
      </c>
      <c r="BK71" t="s">
        <v>149</v>
      </c>
      <c r="BL71" t="s">
        <v>150</v>
      </c>
      <c r="BM71" t="s">
        <v>1397</v>
      </c>
      <c r="BN71" t="s">
        <v>74</v>
      </c>
      <c r="BO71" t="s">
        <v>74</v>
      </c>
      <c r="BP71" t="s">
        <v>74</v>
      </c>
      <c r="BQ71" t="s">
        <v>74</v>
      </c>
      <c r="BR71" t="s">
        <v>104</v>
      </c>
      <c r="BS71" t="s">
        <v>1398</v>
      </c>
      <c r="BT71" t="str">
        <f>HYPERLINK("https%3A%2F%2Fwww.webofscience.com%2Fwos%2Fwoscc%2Ffull-record%2FWOS:000471160800010","View Full Record in Web of Science")</f>
        <v>View Full Record in Web of Science</v>
      </c>
    </row>
    <row r="72" spans="1:72" x14ac:dyDescent="0.25">
      <c r="A72" t="s">
        <v>72</v>
      </c>
      <c r="B72" t="s">
        <v>1399</v>
      </c>
      <c r="C72" t="s">
        <v>74</v>
      </c>
      <c r="D72" t="s">
        <v>74</v>
      </c>
      <c r="E72" t="s">
        <v>74</v>
      </c>
      <c r="F72" t="s">
        <v>1400</v>
      </c>
      <c r="G72" t="s">
        <v>74</v>
      </c>
      <c r="H72" t="s">
        <v>74</v>
      </c>
      <c r="I72" t="s">
        <v>1401</v>
      </c>
      <c r="J72" t="s">
        <v>1402</v>
      </c>
      <c r="K72" t="s">
        <v>74</v>
      </c>
      <c r="L72" t="s">
        <v>74</v>
      </c>
      <c r="M72" t="s">
        <v>78</v>
      </c>
      <c r="N72" t="s">
        <v>79</v>
      </c>
      <c r="O72" t="s">
        <v>74</v>
      </c>
      <c r="P72" t="s">
        <v>74</v>
      </c>
      <c r="Q72" t="s">
        <v>74</v>
      </c>
      <c r="R72" t="s">
        <v>74</v>
      </c>
      <c r="S72" t="s">
        <v>74</v>
      </c>
      <c r="T72" t="s">
        <v>1403</v>
      </c>
      <c r="U72" t="s">
        <v>1404</v>
      </c>
      <c r="V72" t="s">
        <v>1405</v>
      </c>
      <c r="W72" t="s">
        <v>1406</v>
      </c>
      <c r="X72" t="s">
        <v>1407</v>
      </c>
      <c r="Y72" t="s">
        <v>1408</v>
      </c>
      <c r="Z72" t="s">
        <v>1409</v>
      </c>
      <c r="AA72" t="s">
        <v>1410</v>
      </c>
      <c r="AB72" t="s">
        <v>1411</v>
      </c>
      <c r="AC72" t="s">
        <v>1412</v>
      </c>
      <c r="AD72" t="s">
        <v>1413</v>
      </c>
      <c r="AE72" t="s">
        <v>1414</v>
      </c>
      <c r="AF72" t="s">
        <v>74</v>
      </c>
      <c r="AG72">
        <v>57</v>
      </c>
      <c r="AH72">
        <v>21</v>
      </c>
      <c r="AI72">
        <v>25</v>
      </c>
      <c r="AJ72">
        <v>4</v>
      </c>
      <c r="AK72">
        <v>81</v>
      </c>
      <c r="AL72" t="s">
        <v>1415</v>
      </c>
      <c r="AM72" t="s">
        <v>1416</v>
      </c>
      <c r="AN72" t="s">
        <v>1417</v>
      </c>
      <c r="AO72" t="s">
        <v>1418</v>
      </c>
      <c r="AP72" t="s">
        <v>1419</v>
      </c>
      <c r="AQ72" t="s">
        <v>74</v>
      </c>
      <c r="AR72" t="s">
        <v>1420</v>
      </c>
      <c r="AS72" t="s">
        <v>1421</v>
      </c>
      <c r="AT72" t="s">
        <v>1422</v>
      </c>
      <c r="AU72">
        <v>2019</v>
      </c>
      <c r="AV72">
        <v>51</v>
      </c>
      <c r="AW72">
        <v>9</v>
      </c>
      <c r="AX72" t="s">
        <v>74</v>
      </c>
      <c r="AY72" t="s">
        <v>74</v>
      </c>
      <c r="AZ72" t="s">
        <v>74</v>
      </c>
      <c r="BA72" t="s">
        <v>74</v>
      </c>
      <c r="BB72">
        <v>999</v>
      </c>
      <c r="BC72">
        <v>1011</v>
      </c>
      <c r="BD72" t="s">
        <v>74</v>
      </c>
      <c r="BE72" t="s">
        <v>1423</v>
      </c>
      <c r="BF72" t="str">
        <f>HYPERLINK("http://dx.doi.org/10.1080/24725854.2018.1532135","http://dx.doi.org/10.1080/24725854.2018.1532135")</f>
        <v>http://dx.doi.org/10.1080/24725854.2018.1532135</v>
      </c>
      <c r="BG72" t="s">
        <v>74</v>
      </c>
      <c r="BH72" t="s">
        <v>74</v>
      </c>
      <c r="BI72">
        <v>13</v>
      </c>
      <c r="BJ72" t="s">
        <v>148</v>
      </c>
      <c r="BK72" t="s">
        <v>322</v>
      </c>
      <c r="BL72" t="s">
        <v>150</v>
      </c>
      <c r="BM72" t="s">
        <v>1424</v>
      </c>
      <c r="BN72" t="s">
        <v>74</v>
      </c>
      <c r="BO72" t="s">
        <v>74</v>
      </c>
      <c r="BP72" t="s">
        <v>74</v>
      </c>
      <c r="BQ72" t="s">
        <v>74</v>
      </c>
      <c r="BR72" t="s">
        <v>104</v>
      </c>
      <c r="BS72" t="s">
        <v>1425</v>
      </c>
      <c r="BT72" t="str">
        <f>HYPERLINK("https%3A%2F%2Fwww.webofscience.com%2Fwos%2Fwoscc%2Ffull-record%2FWOS:000472189100006","View Full Record in Web of Science")</f>
        <v>View Full Record in Web of Science</v>
      </c>
    </row>
    <row r="73" spans="1:72" x14ac:dyDescent="0.25">
      <c r="A73" t="s">
        <v>72</v>
      </c>
      <c r="B73" t="s">
        <v>1426</v>
      </c>
      <c r="C73" t="s">
        <v>74</v>
      </c>
      <c r="D73" t="s">
        <v>74</v>
      </c>
      <c r="E73" t="s">
        <v>74</v>
      </c>
      <c r="F73" t="s">
        <v>1427</v>
      </c>
      <c r="G73" t="s">
        <v>74</v>
      </c>
      <c r="H73" t="s">
        <v>74</v>
      </c>
      <c r="I73" t="s">
        <v>1428</v>
      </c>
      <c r="J73" t="s">
        <v>77</v>
      </c>
      <c r="K73" t="s">
        <v>74</v>
      </c>
      <c r="L73" t="s">
        <v>74</v>
      </c>
      <c r="M73" t="s">
        <v>78</v>
      </c>
      <c r="N73" t="s">
        <v>79</v>
      </c>
      <c r="O73" t="s">
        <v>74</v>
      </c>
      <c r="P73" t="s">
        <v>74</v>
      </c>
      <c r="Q73" t="s">
        <v>74</v>
      </c>
      <c r="R73" t="s">
        <v>74</v>
      </c>
      <c r="S73" t="s">
        <v>74</v>
      </c>
      <c r="T73" t="s">
        <v>1429</v>
      </c>
      <c r="U73" t="s">
        <v>1430</v>
      </c>
      <c r="V73" t="s">
        <v>1431</v>
      </c>
      <c r="W73" t="s">
        <v>1432</v>
      </c>
      <c r="X73" t="s">
        <v>1433</v>
      </c>
      <c r="Y73" t="s">
        <v>1434</v>
      </c>
      <c r="Z73" t="s">
        <v>1435</v>
      </c>
      <c r="AA73" t="s">
        <v>74</v>
      </c>
      <c r="AB73" t="s">
        <v>74</v>
      </c>
      <c r="AC73" t="s">
        <v>74</v>
      </c>
      <c r="AD73" t="s">
        <v>74</v>
      </c>
      <c r="AE73" t="s">
        <v>74</v>
      </c>
      <c r="AF73" t="s">
        <v>74</v>
      </c>
      <c r="AG73">
        <v>37</v>
      </c>
      <c r="AH73">
        <v>3</v>
      </c>
      <c r="AI73">
        <v>3</v>
      </c>
      <c r="AJ73">
        <v>1</v>
      </c>
      <c r="AK73">
        <v>6</v>
      </c>
      <c r="AL73" t="s">
        <v>90</v>
      </c>
      <c r="AM73" t="s">
        <v>118</v>
      </c>
      <c r="AN73" t="s">
        <v>119</v>
      </c>
      <c r="AO73" t="s">
        <v>93</v>
      </c>
      <c r="AP73" t="s">
        <v>94</v>
      </c>
      <c r="AQ73" t="s">
        <v>74</v>
      </c>
      <c r="AR73" t="s">
        <v>95</v>
      </c>
      <c r="AS73" t="s">
        <v>96</v>
      </c>
      <c r="AT73" t="s">
        <v>1436</v>
      </c>
      <c r="AU73">
        <v>2020</v>
      </c>
      <c r="AV73">
        <v>26</v>
      </c>
      <c r="AW73">
        <v>3</v>
      </c>
      <c r="AX73" t="s">
        <v>74</v>
      </c>
      <c r="AY73" t="s">
        <v>74</v>
      </c>
      <c r="AZ73" t="s">
        <v>74</v>
      </c>
      <c r="BA73" t="s">
        <v>74</v>
      </c>
      <c r="BB73">
        <v>369</v>
      </c>
      <c r="BC73">
        <v>382</v>
      </c>
      <c r="BD73" t="s">
        <v>74</v>
      </c>
      <c r="BE73" t="s">
        <v>1437</v>
      </c>
      <c r="BF73" t="str">
        <f>HYPERLINK("http://dx.doi.org/10.1108/JQME-06-2018-0051","http://dx.doi.org/10.1108/JQME-06-2018-0051")</f>
        <v>http://dx.doi.org/10.1108/JQME-06-2018-0051</v>
      </c>
      <c r="BG73" t="s">
        <v>74</v>
      </c>
      <c r="BH73" t="s">
        <v>74</v>
      </c>
      <c r="BI73">
        <v>14</v>
      </c>
      <c r="BJ73" t="s">
        <v>100</v>
      </c>
      <c r="BK73" t="s">
        <v>101</v>
      </c>
      <c r="BL73" t="s">
        <v>102</v>
      </c>
      <c r="BM73" t="s">
        <v>1438</v>
      </c>
      <c r="BN73" t="s">
        <v>74</v>
      </c>
      <c r="BO73" t="s">
        <v>74</v>
      </c>
      <c r="BP73" t="s">
        <v>74</v>
      </c>
      <c r="BQ73" t="s">
        <v>74</v>
      </c>
      <c r="BR73" t="s">
        <v>104</v>
      </c>
      <c r="BS73" t="s">
        <v>1439</v>
      </c>
      <c r="BT73" t="str">
        <f>HYPERLINK("https%3A%2F%2Fwww.webofscience.com%2Fwos%2Fwoscc%2Ffull-record%2FWOS:000546970600002","View Full Record in Web of Science")</f>
        <v>View Full Record in Web of Science</v>
      </c>
    </row>
    <row r="74" spans="1:72" x14ac:dyDescent="0.25">
      <c r="A74" t="s">
        <v>72</v>
      </c>
      <c r="B74" t="s">
        <v>1440</v>
      </c>
      <c r="C74" t="s">
        <v>74</v>
      </c>
      <c r="D74" t="s">
        <v>74</v>
      </c>
      <c r="E74" t="s">
        <v>74</v>
      </c>
      <c r="F74" t="s">
        <v>1441</v>
      </c>
      <c r="G74" t="s">
        <v>74</v>
      </c>
      <c r="H74" t="s">
        <v>74</v>
      </c>
      <c r="I74" t="s">
        <v>1442</v>
      </c>
      <c r="J74" t="s">
        <v>128</v>
      </c>
      <c r="K74" t="s">
        <v>74</v>
      </c>
      <c r="L74" t="s">
        <v>74</v>
      </c>
      <c r="M74" t="s">
        <v>78</v>
      </c>
      <c r="N74" t="s">
        <v>79</v>
      </c>
      <c r="O74" t="s">
        <v>74</v>
      </c>
      <c r="P74" t="s">
        <v>74</v>
      </c>
      <c r="Q74" t="s">
        <v>74</v>
      </c>
      <c r="R74" t="s">
        <v>74</v>
      </c>
      <c r="S74" t="s">
        <v>74</v>
      </c>
      <c r="T74" t="s">
        <v>1443</v>
      </c>
      <c r="U74" t="s">
        <v>1444</v>
      </c>
      <c r="V74" t="s">
        <v>1445</v>
      </c>
      <c r="W74" t="s">
        <v>1446</v>
      </c>
      <c r="X74" t="s">
        <v>1447</v>
      </c>
      <c r="Y74" t="s">
        <v>1448</v>
      </c>
      <c r="Z74" t="s">
        <v>1449</v>
      </c>
      <c r="AA74" t="s">
        <v>74</v>
      </c>
      <c r="AB74" t="s">
        <v>1450</v>
      </c>
      <c r="AC74" t="s">
        <v>1451</v>
      </c>
      <c r="AD74" t="s">
        <v>1452</v>
      </c>
      <c r="AE74" t="s">
        <v>1453</v>
      </c>
      <c r="AF74" t="s">
        <v>74</v>
      </c>
      <c r="AG74">
        <v>32</v>
      </c>
      <c r="AH74">
        <v>13</v>
      </c>
      <c r="AI74">
        <v>14</v>
      </c>
      <c r="AJ74">
        <v>21</v>
      </c>
      <c r="AK74">
        <v>73</v>
      </c>
      <c r="AL74" t="s">
        <v>138</v>
      </c>
      <c r="AM74" t="s">
        <v>139</v>
      </c>
      <c r="AN74" t="s">
        <v>140</v>
      </c>
      <c r="AO74" t="s">
        <v>141</v>
      </c>
      <c r="AP74" t="s">
        <v>142</v>
      </c>
      <c r="AQ74" t="s">
        <v>74</v>
      </c>
      <c r="AR74" t="s">
        <v>143</v>
      </c>
      <c r="AS74" t="s">
        <v>144</v>
      </c>
      <c r="AT74" t="s">
        <v>533</v>
      </c>
      <c r="AU74">
        <v>2024</v>
      </c>
      <c r="AV74">
        <v>242</v>
      </c>
      <c r="AW74" t="s">
        <v>74</v>
      </c>
      <c r="AX74" t="s">
        <v>74</v>
      </c>
      <c r="AY74" t="s">
        <v>74</v>
      </c>
      <c r="AZ74" t="s">
        <v>74</v>
      </c>
      <c r="BA74" t="s">
        <v>74</v>
      </c>
      <c r="BB74" t="s">
        <v>74</v>
      </c>
      <c r="BC74" t="s">
        <v>74</v>
      </c>
      <c r="BD74">
        <v>109724</v>
      </c>
      <c r="BE74" t="s">
        <v>1454</v>
      </c>
      <c r="BF74" t="str">
        <f>HYPERLINK("http://dx.doi.org/10.1016/j.ress.2023.109724","http://dx.doi.org/10.1016/j.ress.2023.109724")</f>
        <v>http://dx.doi.org/10.1016/j.ress.2023.109724</v>
      </c>
      <c r="BG74" t="s">
        <v>74</v>
      </c>
      <c r="BH74" t="s">
        <v>846</v>
      </c>
      <c r="BI74">
        <v>9</v>
      </c>
      <c r="BJ74" t="s">
        <v>148</v>
      </c>
      <c r="BK74" t="s">
        <v>149</v>
      </c>
      <c r="BL74" t="s">
        <v>150</v>
      </c>
      <c r="BM74" t="s">
        <v>1455</v>
      </c>
      <c r="BN74" t="s">
        <v>74</v>
      </c>
      <c r="BO74" t="s">
        <v>74</v>
      </c>
      <c r="BP74" t="s">
        <v>74</v>
      </c>
      <c r="BQ74" t="s">
        <v>74</v>
      </c>
      <c r="BR74" t="s">
        <v>104</v>
      </c>
      <c r="BS74" t="s">
        <v>1456</v>
      </c>
      <c r="BT74" t="str">
        <f>HYPERLINK("https%3A%2F%2Fwww.webofscience.com%2Fwos%2Fwoscc%2Ffull-record%2FWOS:001102650200001","View Full Record in Web of Science")</f>
        <v>View Full Record in Web of Science</v>
      </c>
    </row>
    <row r="75" spans="1:72" x14ac:dyDescent="0.25">
      <c r="A75" t="s">
        <v>72</v>
      </c>
      <c r="B75" t="s">
        <v>1457</v>
      </c>
      <c r="C75" t="s">
        <v>74</v>
      </c>
      <c r="D75" t="s">
        <v>74</v>
      </c>
      <c r="E75" t="s">
        <v>74</v>
      </c>
      <c r="F75" t="s">
        <v>1458</v>
      </c>
      <c r="G75" t="s">
        <v>74</v>
      </c>
      <c r="H75" t="s">
        <v>74</v>
      </c>
      <c r="I75" t="s">
        <v>1459</v>
      </c>
      <c r="J75" t="s">
        <v>77</v>
      </c>
      <c r="K75" t="s">
        <v>74</v>
      </c>
      <c r="L75" t="s">
        <v>74</v>
      </c>
      <c r="M75" t="s">
        <v>78</v>
      </c>
      <c r="N75" t="s">
        <v>79</v>
      </c>
      <c r="O75" t="s">
        <v>74</v>
      </c>
      <c r="P75" t="s">
        <v>74</v>
      </c>
      <c r="Q75" t="s">
        <v>74</v>
      </c>
      <c r="R75" t="s">
        <v>74</v>
      </c>
      <c r="S75" t="s">
        <v>74</v>
      </c>
      <c r="T75" t="s">
        <v>1460</v>
      </c>
      <c r="U75" t="s">
        <v>1461</v>
      </c>
      <c r="V75" t="s">
        <v>1462</v>
      </c>
      <c r="W75" t="s">
        <v>1463</v>
      </c>
      <c r="X75" t="s">
        <v>1464</v>
      </c>
      <c r="Y75" t="s">
        <v>1465</v>
      </c>
      <c r="Z75" t="s">
        <v>1466</v>
      </c>
      <c r="AA75" t="s">
        <v>1467</v>
      </c>
      <c r="AB75" t="s">
        <v>1468</v>
      </c>
      <c r="AC75" t="s">
        <v>1469</v>
      </c>
      <c r="AD75" t="s">
        <v>1469</v>
      </c>
      <c r="AE75" t="s">
        <v>1470</v>
      </c>
      <c r="AF75" t="s">
        <v>74</v>
      </c>
      <c r="AG75">
        <v>29</v>
      </c>
      <c r="AH75">
        <v>8</v>
      </c>
      <c r="AI75">
        <v>9</v>
      </c>
      <c r="AJ75">
        <v>2</v>
      </c>
      <c r="AK75">
        <v>13</v>
      </c>
      <c r="AL75" t="s">
        <v>90</v>
      </c>
      <c r="AM75" t="s">
        <v>118</v>
      </c>
      <c r="AN75" t="s">
        <v>119</v>
      </c>
      <c r="AO75" t="s">
        <v>93</v>
      </c>
      <c r="AP75" t="s">
        <v>94</v>
      </c>
      <c r="AQ75" t="s">
        <v>74</v>
      </c>
      <c r="AR75" t="s">
        <v>95</v>
      </c>
      <c r="AS75" t="s">
        <v>96</v>
      </c>
      <c r="AT75" t="s">
        <v>911</v>
      </c>
      <c r="AU75">
        <v>2020</v>
      </c>
      <c r="AV75">
        <v>26</v>
      </c>
      <c r="AW75">
        <v>1</v>
      </c>
      <c r="AX75" t="s">
        <v>74</v>
      </c>
      <c r="AY75" t="s">
        <v>74</v>
      </c>
      <c r="AZ75" t="s">
        <v>74</v>
      </c>
      <c r="BA75" t="s">
        <v>74</v>
      </c>
      <c r="BB75">
        <v>104</v>
      </c>
      <c r="BC75">
        <v>119</v>
      </c>
      <c r="BD75" t="s">
        <v>74</v>
      </c>
      <c r="BE75" t="s">
        <v>1471</v>
      </c>
      <c r="BF75" t="str">
        <f>HYPERLINK("http://dx.doi.org/10.1108/JQME-12-2017-0091","http://dx.doi.org/10.1108/JQME-12-2017-0091")</f>
        <v>http://dx.doi.org/10.1108/JQME-12-2017-0091</v>
      </c>
      <c r="BG75" t="s">
        <v>74</v>
      </c>
      <c r="BH75" t="s">
        <v>74</v>
      </c>
      <c r="BI75">
        <v>16</v>
      </c>
      <c r="BJ75" t="s">
        <v>100</v>
      </c>
      <c r="BK75" t="s">
        <v>101</v>
      </c>
      <c r="BL75" t="s">
        <v>102</v>
      </c>
      <c r="BM75" t="s">
        <v>913</v>
      </c>
      <c r="BN75" t="s">
        <v>74</v>
      </c>
      <c r="BO75" t="s">
        <v>1044</v>
      </c>
      <c r="BP75" t="s">
        <v>74</v>
      </c>
      <c r="BQ75" t="s">
        <v>74</v>
      </c>
      <c r="BR75" t="s">
        <v>104</v>
      </c>
      <c r="BS75" t="s">
        <v>1472</v>
      </c>
      <c r="BT75" t="str">
        <f>HYPERLINK("https%3A%2F%2Fwww.webofscience.com%2Fwos%2Fwoscc%2Ffull-record%2FWOS:000511243400007","View Full Record in Web of Science")</f>
        <v>View Full Record in Web of Science</v>
      </c>
    </row>
    <row r="76" spans="1:72" x14ac:dyDescent="0.25">
      <c r="A76" t="s">
        <v>72</v>
      </c>
      <c r="B76" t="s">
        <v>1473</v>
      </c>
      <c r="C76" t="s">
        <v>74</v>
      </c>
      <c r="D76" t="s">
        <v>74</v>
      </c>
      <c r="E76" t="s">
        <v>74</v>
      </c>
      <c r="F76" t="s">
        <v>1474</v>
      </c>
      <c r="G76" t="s">
        <v>74</v>
      </c>
      <c r="H76" t="s">
        <v>74</v>
      </c>
      <c r="I76" t="s">
        <v>1475</v>
      </c>
      <c r="J76" t="s">
        <v>128</v>
      </c>
      <c r="K76" t="s">
        <v>74</v>
      </c>
      <c r="L76" t="s">
        <v>74</v>
      </c>
      <c r="M76" t="s">
        <v>78</v>
      </c>
      <c r="N76" t="s">
        <v>79</v>
      </c>
      <c r="O76" t="s">
        <v>74</v>
      </c>
      <c r="P76" t="s">
        <v>74</v>
      </c>
      <c r="Q76" t="s">
        <v>74</v>
      </c>
      <c r="R76" t="s">
        <v>74</v>
      </c>
      <c r="S76" t="s">
        <v>74</v>
      </c>
      <c r="T76" t="s">
        <v>1476</v>
      </c>
      <c r="U76" t="s">
        <v>1477</v>
      </c>
      <c r="V76" t="s">
        <v>1478</v>
      </c>
      <c r="W76" t="s">
        <v>1479</v>
      </c>
      <c r="X76" t="s">
        <v>1480</v>
      </c>
      <c r="Y76" t="s">
        <v>1481</v>
      </c>
      <c r="Z76" t="s">
        <v>1482</v>
      </c>
      <c r="AA76" t="s">
        <v>74</v>
      </c>
      <c r="AB76" t="s">
        <v>1483</v>
      </c>
      <c r="AC76" t="s">
        <v>1484</v>
      </c>
      <c r="AD76" t="s">
        <v>1485</v>
      </c>
      <c r="AE76" t="s">
        <v>1486</v>
      </c>
      <c r="AF76" t="s">
        <v>74</v>
      </c>
      <c r="AG76">
        <v>34</v>
      </c>
      <c r="AH76">
        <v>8</v>
      </c>
      <c r="AI76">
        <v>8</v>
      </c>
      <c r="AJ76">
        <v>20</v>
      </c>
      <c r="AK76">
        <v>63</v>
      </c>
      <c r="AL76" t="s">
        <v>138</v>
      </c>
      <c r="AM76" t="s">
        <v>139</v>
      </c>
      <c r="AN76" t="s">
        <v>140</v>
      </c>
      <c r="AO76" t="s">
        <v>141</v>
      </c>
      <c r="AP76" t="s">
        <v>142</v>
      </c>
      <c r="AQ76" t="s">
        <v>74</v>
      </c>
      <c r="AR76" t="s">
        <v>143</v>
      </c>
      <c r="AS76" t="s">
        <v>144</v>
      </c>
      <c r="AT76" t="s">
        <v>145</v>
      </c>
      <c r="AU76">
        <v>2023</v>
      </c>
      <c r="AV76">
        <v>240</v>
      </c>
      <c r="AW76" t="s">
        <v>74</v>
      </c>
      <c r="AX76" t="s">
        <v>74</v>
      </c>
      <c r="AY76" t="s">
        <v>74</v>
      </c>
      <c r="AZ76" t="s">
        <v>74</v>
      </c>
      <c r="BA76" t="s">
        <v>74</v>
      </c>
      <c r="BB76" t="s">
        <v>74</v>
      </c>
      <c r="BC76" t="s">
        <v>74</v>
      </c>
      <c r="BD76">
        <v>109595</v>
      </c>
      <c r="BE76" t="s">
        <v>1487</v>
      </c>
      <c r="BF76" t="str">
        <f>HYPERLINK("http://dx.doi.org/10.1016/j.ress.2023.109595","http://dx.doi.org/10.1016/j.ress.2023.109595")</f>
        <v>http://dx.doi.org/10.1016/j.ress.2023.109595</v>
      </c>
      <c r="BG76" t="s">
        <v>74</v>
      </c>
      <c r="BH76" t="s">
        <v>1488</v>
      </c>
      <c r="BI76">
        <v>11</v>
      </c>
      <c r="BJ76" t="s">
        <v>148</v>
      </c>
      <c r="BK76" t="s">
        <v>149</v>
      </c>
      <c r="BL76" t="s">
        <v>150</v>
      </c>
      <c r="BM76" t="s">
        <v>1489</v>
      </c>
      <c r="BN76" t="s">
        <v>74</v>
      </c>
      <c r="BO76" t="s">
        <v>74</v>
      </c>
      <c r="BP76" t="s">
        <v>74</v>
      </c>
      <c r="BQ76" t="s">
        <v>74</v>
      </c>
      <c r="BR76" t="s">
        <v>104</v>
      </c>
      <c r="BS76" t="s">
        <v>1490</v>
      </c>
      <c r="BT76" t="str">
        <f>HYPERLINK("https%3A%2F%2Fwww.webofscience.com%2Fwos%2Fwoscc%2Ffull-record%2FWOS:001071270400001","View Full Record in Web of Science")</f>
        <v>View Full Record in Web of Science</v>
      </c>
    </row>
    <row r="77" spans="1:72" x14ac:dyDescent="0.25">
      <c r="A77" t="s">
        <v>72</v>
      </c>
      <c r="B77" t="s">
        <v>1491</v>
      </c>
      <c r="C77" t="s">
        <v>74</v>
      </c>
      <c r="D77" t="s">
        <v>74</v>
      </c>
      <c r="E77" t="s">
        <v>74</v>
      </c>
      <c r="F77" t="s">
        <v>1492</v>
      </c>
      <c r="G77" t="s">
        <v>74</v>
      </c>
      <c r="H77" t="s">
        <v>74</v>
      </c>
      <c r="I77" t="s">
        <v>1493</v>
      </c>
      <c r="J77" t="s">
        <v>77</v>
      </c>
      <c r="K77" t="s">
        <v>74</v>
      </c>
      <c r="L77" t="s">
        <v>74</v>
      </c>
      <c r="M77" t="s">
        <v>78</v>
      </c>
      <c r="N77" t="s">
        <v>79</v>
      </c>
      <c r="O77" t="s">
        <v>74</v>
      </c>
      <c r="P77" t="s">
        <v>74</v>
      </c>
      <c r="Q77" t="s">
        <v>74</v>
      </c>
      <c r="R77" t="s">
        <v>74</v>
      </c>
      <c r="S77" t="s">
        <v>74</v>
      </c>
      <c r="T77" t="s">
        <v>1494</v>
      </c>
      <c r="U77" t="s">
        <v>1495</v>
      </c>
      <c r="V77" t="s">
        <v>1496</v>
      </c>
      <c r="W77" t="s">
        <v>1497</v>
      </c>
      <c r="X77" t="s">
        <v>193</v>
      </c>
      <c r="Y77" t="s">
        <v>1498</v>
      </c>
      <c r="Z77" t="s">
        <v>1499</v>
      </c>
      <c r="AA77" t="s">
        <v>1500</v>
      </c>
      <c r="AB77" t="s">
        <v>1501</v>
      </c>
      <c r="AC77" t="s">
        <v>74</v>
      </c>
      <c r="AD77" t="s">
        <v>74</v>
      </c>
      <c r="AE77" t="s">
        <v>74</v>
      </c>
      <c r="AF77" t="s">
        <v>74</v>
      </c>
      <c r="AG77">
        <v>42</v>
      </c>
      <c r="AH77">
        <v>25</v>
      </c>
      <c r="AI77">
        <v>25</v>
      </c>
      <c r="AJ77">
        <v>1</v>
      </c>
      <c r="AK77">
        <v>16</v>
      </c>
      <c r="AL77" t="s">
        <v>90</v>
      </c>
      <c r="AM77" t="s">
        <v>118</v>
      </c>
      <c r="AN77" t="s">
        <v>119</v>
      </c>
      <c r="AO77" t="s">
        <v>93</v>
      </c>
      <c r="AP77" t="s">
        <v>94</v>
      </c>
      <c r="AQ77" t="s">
        <v>74</v>
      </c>
      <c r="AR77" t="s">
        <v>95</v>
      </c>
      <c r="AS77" t="s">
        <v>96</v>
      </c>
      <c r="AT77" t="s">
        <v>595</v>
      </c>
      <c r="AU77">
        <v>2021</v>
      </c>
      <c r="AV77">
        <v>27</v>
      </c>
      <c r="AW77">
        <v>2</v>
      </c>
      <c r="AX77" t="s">
        <v>74</v>
      </c>
      <c r="AY77" t="s">
        <v>74</v>
      </c>
      <c r="AZ77" t="s">
        <v>74</v>
      </c>
      <c r="BA77" t="s">
        <v>74</v>
      </c>
      <c r="BB77">
        <v>308</v>
      </c>
      <c r="BC77">
        <v>330</v>
      </c>
      <c r="BD77" t="s">
        <v>74</v>
      </c>
      <c r="BE77" t="s">
        <v>1502</v>
      </c>
      <c r="BF77" t="str">
        <f>HYPERLINK("http://dx.doi.org/10.1108/JQME-03-2019-0033","http://dx.doi.org/10.1108/JQME-03-2019-0033")</f>
        <v>http://dx.doi.org/10.1108/JQME-03-2019-0033</v>
      </c>
      <c r="BG77" t="s">
        <v>74</v>
      </c>
      <c r="BH77" t="s">
        <v>691</v>
      </c>
      <c r="BI77">
        <v>23</v>
      </c>
      <c r="BJ77" t="s">
        <v>100</v>
      </c>
      <c r="BK77" t="s">
        <v>101</v>
      </c>
      <c r="BL77" t="s">
        <v>102</v>
      </c>
      <c r="BM77" t="s">
        <v>598</v>
      </c>
      <c r="BN77" t="s">
        <v>74</v>
      </c>
      <c r="BO77" t="s">
        <v>123</v>
      </c>
      <c r="BP77" t="s">
        <v>74</v>
      </c>
      <c r="BQ77" t="s">
        <v>74</v>
      </c>
      <c r="BR77" t="s">
        <v>104</v>
      </c>
      <c r="BS77" t="s">
        <v>1503</v>
      </c>
      <c r="BT77" t="str">
        <f>HYPERLINK("https%3A%2F%2Fwww.webofscience.com%2Fwos%2Fwoscc%2Ffull-record%2FWOS:000544437100001","View Full Record in Web of Science")</f>
        <v>View Full Record in Web of Science</v>
      </c>
    </row>
    <row r="78" spans="1:72" x14ac:dyDescent="0.25">
      <c r="A78" t="s">
        <v>72</v>
      </c>
      <c r="B78" t="s">
        <v>1504</v>
      </c>
      <c r="C78" t="s">
        <v>74</v>
      </c>
      <c r="D78" t="s">
        <v>74</v>
      </c>
      <c r="E78" t="s">
        <v>74</v>
      </c>
      <c r="F78" t="s">
        <v>1505</v>
      </c>
      <c r="G78" t="s">
        <v>74</v>
      </c>
      <c r="H78" t="s">
        <v>74</v>
      </c>
      <c r="I78" t="s">
        <v>1506</v>
      </c>
      <c r="J78" t="s">
        <v>1507</v>
      </c>
      <c r="K78" t="s">
        <v>74</v>
      </c>
      <c r="L78" t="s">
        <v>74</v>
      </c>
      <c r="M78" t="s">
        <v>78</v>
      </c>
      <c r="N78" t="s">
        <v>79</v>
      </c>
      <c r="O78" t="s">
        <v>74</v>
      </c>
      <c r="P78" t="s">
        <v>74</v>
      </c>
      <c r="Q78" t="s">
        <v>74</v>
      </c>
      <c r="R78" t="s">
        <v>74</v>
      </c>
      <c r="S78" t="s">
        <v>74</v>
      </c>
      <c r="T78" t="s">
        <v>1508</v>
      </c>
      <c r="U78" t="s">
        <v>1509</v>
      </c>
      <c r="V78" t="s">
        <v>1510</v>
      </c>
      <c r="W78" t="s">
        <v>1511</v>
      </c>
      <c r="X78" t="s">
        <v>1512</v>
      </c>
      <c r="Y78" t="s">
        <v>1513</v>
      </c>
      <c r="Z78" t="s">
        <v>1514</v>
      </c>
      <c r="AA78" t="s">
        <v>1515</v>
      </c>
      <c r="AB78" t="s">
        <v>1516</v>
      </c>
      <c r="AC78" t="s">
        <v>1517</v>
      </c>
      <c r="AD78" t="s">
        <v>1518</v>
      </c>
      <c r="AE78" t="s">
        <v>1519</v>
      </c>
      <c r="AF78" t="s">
        <v>74</v>
      </c>
      <c r="AG78">
        <v>73</v>
      </c>
      <c r="AH78">
        <v>15</v>
      </c>
      <c r="AI78">
        <v>18</v>
      </c>
      <c r="AJ78">
        <v>4</v>
      </c>
      <c r="AK78">
        <v>31</v>
      </c>
      <c r="AL78" t="s">
        <v>90</v>
      </c>
      <c r="AM78" t="s">
        <v>91</v>
      </c>
      <c r="AN78" t="s">
        <v>92</v>
      </c>
      <c r="AO78" t="s">
        <v>1520</v>
      </c>
      <c r="AP78" t="s">
        <v>1521</v>
      </c>
      <c r="AQ78" t="s">
        <v>74</v>
      </c>
      <c r="AR78" t="s">
        <v>1522</v>
      </c>
      <c r="AS78" t="s">
        <v>1523</v>
      </c>
      <c r="AT78" t="s">
        <v>1524</v>
      </c>
      <c r="AU78">
        <v>2021</v>
      </c>
      <c r="AV78">
        <v>32</v>
      </c>
      <c r="AW78">
        <v>9</v>
      </c>
      <c r="AX78" t="s">
        <v>74</v>
      </c>
      <c r="AY78" t="s">
        <v>74</v>
      </c>
      <c r="AZ78" t="s">
        <v>74</v>
      </c>
      <c r="BA78" t="s">
        <v>74</v>
      </c>
      <c r="BB78">
        <v>142</v>
      </c>
      <c r="BC78">
        <v>166</v>
      </c>
      <c r="BD78" t="s">
        <v>74</v>
      </c>
      <c r="BE78" t="s">
        <v>1525</v>
      </c>
      <c r="BF78" t="str">
        <f>HYPERLINK("http://dx.doi.org/10.1108/JMTM-06-2020-0222","http://dx.doi.org/10.1108/JMTM-06-2020-0222")</f>
        <v>http://dx.doi.org/10.1108/JMTM-06-2020-0222</v>
      </c>
      <c r="BG78" t="s">
        <v>74</v>
      </c>
      <c r="BH78" t="s">
        <v>74</v>
      </c>
      <c r="BI78">
        <v>25</v>
      </c>
      <c r="BJ78" t="s">
        <v>1526</v>
      </c>
      <c r="BK78" t="s">
        <v>322</v>
      </c>
      <c r="BL78" t="s">
        <v>398</v>
      </c>
      <c r="BM78" t="s">
        <v>1527</v>
      </c>
      <c r="BN78" t="s">
        <v>74</v>
      </c>
      <c r="BO78" t="s">
        <v>152</v>
      </c>
      <c r="BP78" t="s">
        <v>74</v>
      </c>
      <c r="BQ78" t="s">
        <v>74</v>
      </c>
      <c r="BR78" t="s">
        <v>104</v>
      </c>
      <c r="BS78" t="s">
        <v>1528</v>
      </c>
      <c r="BT78" t="str">
        <f>HYPERLINK("https%3A%2F%2Fwww.webofscience.com%2Fwos%2Fwoscc%2Ffull-record%2FWOS:000761724900001","View Full Record in Web of Science")</f>
        <v>View Full Record in Web of Science</v>
      </c>
    </row>
    <row r="79" spans="1:72" x14ac:dyDescent="0.25">
      <c r="A79" t="s">
        <v>72</v>
      </c>
      <c r="B79" t="s">
        <v>1529</v>
      </c>
      <c r="C79" t="s">
        <v>74</v>
      </c>
      <c r="D79" t="s">
        <v>74</v>
      </c>
      <c r="E79" t="s">
        <v>74</v>
      </c>
      <c r="F79" t="s">
        <v>1530</v>
      </c>
      <c r="G79" t="s">
        <v>74</v>
      </c>
      <c r="H79" t="s">
        <v>74</v>
      </c>
      <c r="I79" t="s">
        <v>1531</v>
      </c>
      <c r="J79" t="s">
        <v>77</v>
      </c>
      <c r="K79" t="s">
        <v>74</v>
      </c>
      <c r="L79" t="s">
        <v>74</v>
      </c>
      <c r="M79" t="s">
        <v>78</v>
      </c>
      <c r="N79" t="s">
        <v>79</v>
      </c>
      <c r="O79" t="s">
        <v>74</v>
      </c>
      <c r="P79" t="s">
        <v>74</v>
      </c>
      <c r="Q79" t="s">
        <v>74</v>
      </c>
      <c r="R79" t="s">
        <v>74</v>
      </c>
      <c r="S79" t="s">
        <v>74</v>
      </c>
      <c r="T79" t="s">
        <v>1532</v>
      </c>
      <c r="U79" t="s">
        <v>74</v>
      </c>
      <c r="V79" t="s">
        <v>1533</v>
      </c>
      <c r="W79" t="s">
        <v>1534</v>
      </c>
      <c r="X79" t="s">
        <v>1535</v>
      </c>
      <c r="Y79" t="s">
        <v>1536</v>
      </c>
      <c r="Z79" t="s">
        <v>1537</v>
      </c>
      <c r="AA79" t="s">
        <v>1538</v>
      </c>
      <c r="AB79" t="s">
        <v>1539</v>
      </c>
      <c r="AC79" t="s">
        <v>74</v>
      </c>
      <c r="AD79" t="s">
        <v>74</v>
      </c>
      <c r="AE79" t="s">
        <v>74</v>
      </c>
      <c r="AF79" t="s">
        <v>74</v>
      </c>
      <c r="AG79">
        <v>83</v>
      </c>
      <c r="AH79">
        <v>5</v>
      </c>
      <c r="AI79">
        <v>5</v>
      </c>
      <c r="AJ79">
        <v>0</v>
      </c>
      <c r="AK79">
        <v>11</v>
      </c>
      <c r="AL79" t="s">
        <v>90</v>
      </c>
      <c r="AM79" t="s">
        <v>118</v>
      </c>
      <c r="AN79" t="s">
        <v>119</v>
      </c>
      <c r="AO79" t="s">
        <v>93</v>
      </c>
      <c r="AP79" t="s">
        <v>94</v>
      </c>
      <c r="AQ79" t="s">
        <v>74</v>
      </c>
      <c r="AR79" t="s">
        <v>95</v>
      </c>
      <c r="AS79" t="s">
        <v>96</v>
      </c>
      <c r="AT79" t="s">
        <v>754</v>
      </c>
      <c r="AU79">
        <v>2022</v>
      </c>
      <c r="AV79">
        <v>28</v>
      </c>
      <c r="AW79">
        <v>2</v>
      </c>
      <c r="AX79" t="s">
        <v>74</v>
      </c>
      <c r="AY79" t="s">
        <v>74</v>
      </c>
      <c r="AZ79" t="s">
        <v>74</v>
      </c>
      <c r="BA79" t="s">
        <v>74</v>
      </c>
      <c r="BB79">
        <v>296</v>
      </c>
      <c r="BC79">
        <v>326</v>
      </c>
      <c r="BD79" t="s">
        <v>74</v>
      </c>
      <c r="BE79" t="s">
        <v>1540</v>
      </c>
      <c r="BF79" t="str">
        <f>HYPERLINK("http://dx.doi.org/10.1108/JQME-02-2019-0018","http://dx.doi.org/10.1108/JQME-02-2019-0018")</f>
        <v>http://dx.doi.org/10.1108/JQME-02-2019-0018</v>
      </c>
      <c r="BG79" t="s">
        <v>74</v>
      </c>
      <c r="BH79" t="s">
        <v>434</v>
      </c>
      <c r="BI79">
        <v>31</v>
      </c>
      <c r="BJ79" t="s">
        <v>100</v>
      </c>
      <c r="BK79" t="s">
        <v>101</v>
      </c>
      <c r="BL79" t="s">
        <v>102</v>
      </c>
      <c r="BM79" t="s">
        <v>757</v>
      </c>
      <c r="BN79" t="s">
        <v>74</v>
      </c>
      <c r="BO79" t="s">
        <v>74</v>
      </c>
      <c r="BP79" t="s">
        <v>74</v>
      </c>
      <c r="BQ79" t="s">
        <v>74</v>
      </c>
      <c r="BR79" t="s">
        <v>104</v>
      </c>
      <c r="BS79" t="s">
        <v>1541</v>
      </c>
      <c r="BT79" t="str">
        <f>HYPERLINK("https%3A%2F%2Fwww.webofscience.com%2Fwos%2Fwoscc%2Ffull-record%2FWOS:000600942600001","View Full Record in Web of Science")</f>
        <v>View Full Record in Web of Science</v>
      </c>
    </row>
    <row r="80" spans="1:72" x14ac:dyDescent="0.25">
      <c r="A80" t="s">
        <v>72</v>
      </c>
      <c r="B80" t="s">
        <v>1542</v>
      </c>
      <c r="C80" t="s">
        <v>74</v>
      </c>
      <c r="D80" t="s">
        <v>74</v>
      </c>
      <c r="E80" t="s">
        <v>74</v>
      </c>
      <c r="F80" t="s">
        <v>1543</v>
      </c>
      <c r="G80" t="s">
        <v>74</v>
      </c>
      <c r="H80" t="s">
        <v>74</v>
      </c>
      <c r="I80" t="s">
        <v>1544</v>
      </c>
      <c r="J80" t="s">
        <v>940</v>
      </c>
      <c r="K80" t="s">
        <v>74</v>
      </c>
      <c r="L80" t="s">
        <v>74</v>
      </c>
      <c r="M80" t="s">
        <v>78</v>
      </c>
      <c r="N80" t="s">
        <v>79</v>
      </c>
      <c r="O80" t="s">
        <v>74</v>
      </c>
      <c r="P80" t="s">
        <v>74</v>
      </c>
      <c r="Q80" t="s">
        <v>74</v>
      </c>
      <c r="R80" t="s">
        <v>74</v>
      </c>
      <c r="S80" t="s">
        <v>74</v>
      </c>
      <c r="T80" t="s">
        <v>1545</v>
      </c>
      <c r="U80" t="s">
        <v>1546</v>
      </c>
      <c r="V80" t="s">
        <v>1547</v>
      </c>
      <c r="W80" t="s">
        <v>1548</v>
      </c>
      <c r="X80" t="s">
        <v>1549</v>
      </c>
      <c r="Y80" t="s">
        <v>1550</v>
      </c>
      <c r="Z80" t="s">
        <v>1551</v>
      </c>
      <c r="AA80" t="s">
        <v>74</v>
      </c>
      <c r="AB80" t="s">
        <v>74</v>
      </c>
      <c r="AC80" t="s">
        <v>74</v>
      </c>
      <c r="AD80" t="s">
        <v>74</v>
      </c>
      <c r="AE80" t="s">
        <v>74</v>
      </c>
      <c r="AF80" t="s">
        <v>74</v>
      </c>
      <c r="AG80">
        <v>61</v>
      </c>
      <c r="AH80">
        <v>16</v>
      </c>
      <c r="AI80">
        <v>16</v>
      </c>
      <c r="AJ80">
        <v>3</v>
      </c>
      <c r="AK80">
        <v>37</v>
      </c>
      <c r="AL80" t="s">
        <v>220</v>
      </c>
      <c r="AM80" t="s">
        <v>221</v>
      </c>
      <c r="AN80" t="s">
        <v>222</v>
      </c>
      <c r="AO80" t="s">
        <v>950</v>
      </c>
      <c r="AP80" t="s">
        <v>951</v>
      </c>
      <c r="AQ80" t="s">
        <v>74</v>
      </c>
      <c r="AR80" t="s">
        <v>952</v>
      </c>
      <c r="AS80" t="s">
        <v>953</v>
      </c>
      <c r="AT80" t="s">
        <v>533</v>
      </c>
      <c r="AU80">
        <v>2020</v>
      </c>
      <c r="AV80">
        <v>67</v>
      </c>
      <c r="AW80">
        <v>1</v>
      </c>
      <c r="AX80" t="s">
        <v>74</v>
      </c>
      <c r="AY80" t="s">
        <v>74</v>
      </c>
      <c r="AZ80" t="s">
        <v>74</v>
      </c>
      <c r="BA80" t="s">
        <v>74</v>
      </c>
      <c r="BB80">
        <v>42</v>
      </c>
      <c r="BC80">
        <v>53</v>
      </c>
      <c r="BD80" t="s">
        <v>74</v>
      </c>
      <c r="BE80" t="s">
        <v>1552</v>
      </c>
      <c r="BF80" t="str">
        <f>HYPERLINK("http://dx.doi.org/10.1109/TEM.2018.2870326","http://dx.doi.org/10.1109/TEM.2018.2870326")</f>
        <v>http://dx.doi.org/10.1109/TEM.2018.2870326</v>
      </c>
      <c r="BG80" t="s">
        <v>74</v>
      </c>
      <c r="BH80" t="s">
        <v>74</v>
      </c>
      <c r="BI80">
        <v>12</v>
      </c>
      <c r="BJ80" t="s">
        <v>955</v>
      </c>
      <c r="BK80" t="s">
        <v>322</v>
      </c>
      <c r="BL80" t="s">
        <v>956</v>
      </c>
      <c r="BM80" t="s">
        <v>957</v>
      </c>
      <c r="BN80" t="s">
        <v>74</v>
      </c>
      <c r="BO80" t="s">
        <v>74</v>
      </c>
      <c r="BP80" t="s">
        <v>74</v>
      </c>
      <c r="BQ80" t="s">
        <v>74</v>
      </c>
      <c r="BR80" t="s">
        <v>104</v>
      </c>
      <c r="BS80" t="s">
        <v>1553</v>
      </c>
      <c r="BT80" t="str">
        <f>HYPERLINK("https%3A%2F%2Fwww.webofscience.com%2Fwos%2Fwoscc%2Ffull-record%2FWOS:000510672900005","View Full Record in Web of Science")</f>
        <v>View Full Record in Web of Science</v>
      </c>
    </row>
    <row r="81" spans="1:72" x14ac:dyDescent="0.25">
      <c r="A81" t="s">
        <v>72</v>
      </c>
      <c r="B81" t="s">
        <v>1554</v>
      </c>
      <c r="C81" t="s">
        <v>74</v>
      </c>
      <c r="D81" t="s">
        <v>74</v>
      </c>
      <c r="E81" t="s">
        <v>74</v>
      </c>
      <c r="F81" t="s">
        <v>1555</v>
      </c>
      <c r="G81" t="s">
        <v>74</v>
      </c>
      <c r="H81" t="s">
        <v>74</v>
      </c>
      <c r="I81" t="s">
        <v>1556</v>
      </c>
      <c r="J81" t="s">
        <v>1557</v>
      </c>
      <c r="K81" t="s">
        <v>74</v>
      </c>
      <c r="L81" t="s">
        <v>74</v>
      </c>
      <c r="M81" t="s">
        <v>78</v>
      </c>
      <c r="N81" t="s">
        <v>79</v>
      </c>
      <c r="O81" t="s">
        <v>74</v>
      </c>
      <c r="P81" t="s">
        <v>74</v>
      </c>
      <c r="Q81" t="s">
        <v>74</v>
      </c>
      <c r="R81" t="s">
        <v>74</v>
      </c>
      <c r="S81" t="s">
        <v>74</v>
      </c>
      <c r="T81" t="s">
        <v>1558</v>
      </c>
      <c r="U81" t="s">
        <v>1559</v>
      </c>
      <c r="V81" t="s">
        <v>1560</v>
      </c>
      <c r="W81" t="s">
        <v>1561</v>
      </c>
      <c r="X81" t="s">
        <v>1562</v>
      </c>
      <c r="Y81" t="s">
        <v>1563</v>
      </c>
      <c r="Z81" t="s">
        <v>1564</v>
      </c>
      <c r="AA81" t="s">
        <v>1565</v>
      </c>
      <c r="AB81" t="s">
        <v>74</v>
      </c>
      <c r="AC81" t="s">
        <v>1566</v>
      </c>
      <c r="AD81" t="s">
        <v>1567</v>
      </c>
      <c r="AE81" t="s">
        <v>1568</v>
      </c>
      <c r="AF81" t="s">
        <v>74</v>
      </c>
      <c r="AG81">
        <v>53</v>
      </c>
      <c r="AH81">
        <v>30</v>
      </c>
      <c r="AI81">
        <v>31</v>
      </c>
      <c r="AJ81">
        <v>5</v>
      </c>
      <c r="AK81">
        <v>162</v>
      </c>
      <c r="AL81" t="s">
        <v>707</v>
      </c>
      <c r="AM81" t="s">
        <v>246</v>
      </c>
      <c r="AN81" t="s">
        <v>708</v>
      </c>
      <c r="AO81" t="s">
        <v>1569</v>
      </c>
      <c r="AP81" t="s">
        <v>1570</v>
      </c>
      <c r="AQ81" t="s">
        <v>74</v>
      </c>
      <c r="AR81" t="s">
        <v>1571</v>
      </c>
      <c r="AS81" t="s">
        <v>1572</v>
      </c>
      <c r="AT81" t="s">
        <v>1573</v>
      </c>
      <c r="AU81">
        <v>2019</v>
      </c>
      <c r="AV81">
        <v>135</v>
      </c>
      <c r="AW81" t="s">
        <v>74</v>
      </c>
      <c r="AX81" t="s">
        <v>74</v>
      </c>
      <c r="AY81" t="s">
        <v>74</v>
      </c>
      <c r="AZ81" t="s">
        <v>74</v>
      </c>
      <c r="BA81" t="s">
        <v>74</v>
      </c>
      <c r="BB81">
        <v>259</v>
      </c>
      <c r="BC81">
        <v>272</v>
      </c>
      <c r="BD81" t="s">
        <v>74</v>
      </c>
      <c r="BE81" t="s">
        <v>1574</v>
      </c>
      <c r="BF81" t="str">
        <f>HYPERLINK("http://dx.doi.org/10.1016/j.eswa.2019.05.051","http://dx.doi.org/10.1016/j.eswa.2019.05.051")</f>
        <v>http://dx.doi.org/10.1016/j.eswa.2019.05.051</v>
      </c>
      <c r="BG81" t="s">
        <v>74</v>
      </c>
      <c r="BH81" t="s">
        <v>74</v>
      </c>
      <c r="BI81">
        <v>14</v>
      </c>
      <c r="BJ81" t="s">
        <v>1575</v>
      </c>
      <c r="BK81" t="s">
        <v>149</v>
      </c>
      <c r="BL81" t="s">
        <v>1576</v>
      </c>
      <c r="BM81" t="s">
        <v>1577</v>
      </c>
      <c r="BN81" t="s">
        <v>74</v>
      </c>
      <c r="BO81" t="s">
        <v>1578</v>
      </c>
      <c r="BP81" t="s">
        <v>74</v>
      </c>
      <c r="BQ81" t="s">
        <v>74</v>
      </c>
      <c r="BR81" t="s">
        <v>104</v>
      </c>
      <c r="BS81" t="s">
        <v>1579</v>
      </c>
      <c r="BT81" t="str">
        <f>HYPERLINK("https%3A%2F%2Fwww.webofscience.com%2Fwos%2Fwoscc%2Ffull-record%2FWOS:000480665800020","View Full Record in Web of Science")</f>
        <v>View Full Record in Web of Science</v>
      </c>
    </row>
    <row r="82" spans="1:72" x14ac:dyDescent="0.25">
      <c r="A82" t="s">
        <v>72</v>
      </c>
      <c r="B82" t="s">
        <v>1580</v>
      </c>
      <c r="C82" t="s">
        <v>74</v>
      </c>
      <c r="D82" t="s">
        <v>74</v>
      </c>
      <c r="E82" t="s">
        <v>74</v>
      </c>
      <c r="F82" t="s">
        <v>1581</v>
      </c>
      <c r="G82" t="s">
        <v>74</v>
      </c>
      <c r="H82" t="s">
        <v>74</v>
      </c>
      <c r="I82" t="s">
        <v>1582</v>
      </c>
      <c r="J82" t="s">
        <v>77</v>
      </c>
      <c r="K82" t="s">
        <v>74</v>
      </c>
      <c r="L82" t="s">
        <v>74</v>
      </c>
      <c r="M82" t="s">
        <v>78</v>
      </c>
      <c r="N82" t="s">
        <v>79</v>
      </c>
      <c r="O82" t="s">
        <v>74</v>
      </c>
      <c r="P82" t="s">
        <v>74</v>
      </c>
      <c r="Q82" t="s">
        <v>74</v>
      </c>
      <c r="R82" t="s">
        <v>74</v>
      </c>
      <c r="S82" t="s">
        <v>74</v>
      </c>
      <c r="T82" t="s">
        <v>1583</v>
      </c>
      <c r="U82" t="s">
        <v>1584</v>
      </c>
      <c r="V82" t="s">
        <v>1585</v>
      </c>
      <c r="W82" t="s">
        <v>1586</v>
      </c>
      <c r="X82" t="s">
        <v>1587</v>
      </c>
      <c r="Y82" t="s">
        <v>1588</v>
      </c>
      <c r="Z82" t="s">
        <v>1589</v>
      </c>
      <c r="AA82" t="s">
        <v>1590</v>
      </c>
      <c r="AB82" t="s">
        <v>1591</v>
      </c>
      <c r="AC82" t="s">
        <v>1592</v>
      </c>
      <c r="AD82" t="s">
        <v>1593</v>
      </c>
      <c r="AE82" t="s">
        <v>1594</v>
      </c>
      <c r="AF82" t="s">
        <v>74</v>
      </c>
      <c r="AG82">
        <v>58</v>
      </c>
      <c r="AH82">
        <v>10</v>
      </c>
      <c r="AI82">
        <v>10</v>
      </c>
      <c r="AJ82">
        <v>1</v>
      </c>
      <c r="AK82">
        <v>14</v>
      </c>
      <c r="AL82" t="s">
        <v>90</v>
      </c>
      <c r="AM82" t="s">
        <v>118</v>
      </c>
      <c r="AN82" t="s">
        <v>119</v>
      </c>
      <c r="AO82" t="s">
        <v>93</v>
      </c>
      <c r="AP82" t="s">
        <v>94</v>
      </c>
      <c r="AQ82" t="s">
        <v>74</v>
      </c>
      <c r="AR82" t="s">
        <v>95</v>
      </c>
      <c r="AS82" t="s">
        <v>96</v>
      </c>
      <c r="AT82" t="s">
        <v>689</v>
      </c>
      <c r="AU82">
        <v>2021</v>
      </c>
      <c r="AV82">
        <v>27</v>
      </c>
      <c r="AW82">
        <v>1</v>
      </c>
      <c r="AX82" t="s">
        <v>74</v>
      </c>
      <c r="AY82" t="s">
        <v>74</v>
      </c>
      <c r="AZ82" t="s">
        <v>74</v>
      </c>
      <c r="BA82" t="s">
        <v>74</v>
      </c>
      <c r="BB82">
        <v>225</v>
      </c>
      <c r="BC82">
        <v>252</v>
      </c>
      <c r="BD82" t="s">
        <v>74</v>
      </c>
      <c r="BE82" t="s">
        <v>1595</v>
      </c>
      <c r="BF82" t="str">
        <f>HYPERLINK("http://dx.doi.org/10.1108/JQME-10-2018-0085","http://dx.doi.org/10.1108/JQME-10-2018-0085")</f>
        <v>http://dx.doi.org/10.1108/JQME-10-2018-0085</v>
      </c>
      <c r="BG82" t="s">
        <v>74</v>
      </c>
      <c r="BH82" t="s">
        <v>1596</v>
      </c>
      <c r="BI82">
        <v>28</v>
      </c>
      <c r="BJ82" t="s">
        <v>100</v>
      </c>
      <c r="BK82" t="s">
        <v>101</v>
      </c>
      <c r="BL82" t="s">
        <v>102</v>
      </c>
      <c r="BM82" t="s">
        <v>692</v>
      </c>
      <c r="BN82" t="s">
        <v>74</v>
      </c>
      <c r="BO82" t="s">
        <v>74</v>
      </c>
      <c r="BP82" t="s">
        <v>74</v>
      </c>
      <c r="BQ82" t="s">
        <v>74</v>
      </c>
      <c r="BR82" t="s">
        <v>104</v>
      </c>
      <c r="BS82" t="s">
        <v>1597</v>
      </c>
      <c r="BT82" t="str">
        <f>HYPERLINK("https%3A%2F%2Fwww.webofscience.com%2Fwos%2Fwoscc%2Ffull-record%2FWOS:000532728000001","View Full Record in Web of Science")</f>
        <v>View Full Record in Web of Science</v>
      </c>
    </row>
    <row r="83" spans="1:72" x14ac:dyDescent="0.25">
      <c r="A83" t="s">
        <v>72</v>
      </c>
      <c r="B83" t="s">
        <v>1598</v>
      </c>
      <c r="C83" t="s">
        <v>74</v>
      </c>
      <c r="D83" t="s">
        <v>74</v>
      </c>
      <c r="E83" t="s">
        <v>74</v>
      </c>
      <c r="F83" t="s">
        <v>1599</v>
      </c>
      <c r="G83" t="s">
        <v>74</v>
      </c>
      <c r="H83" t="s">
        <v>74</v>
      </c>
      <c r="I83" t="s">
        <v>1600</v>
      </c>
      <c r="J83" t="s">
        <v>128</v>
      </c>
      <c r="K83" t="s">
        <v>74</v>
      </c>
      <c r="L83" t="s">
        <v>74</v>
      </c>
      <c r="M83" t="s">
        <v>78</v>
      </c>
      <c r="N83" t="s">
        <v>79</v>
      </c>
      <c r="O83" t="s">
        <v>74</v>
      </c>
      <c r="P83" t="s">
        <v>74</v>
      </c>
      <c r="Q83" t="s">
        <v>74</v>
      </c>
      <c r="R83" t="s">
        <v>74</v>
      </c>
      <c r="S83" t="s">
        <v>74</v>
      </c>
      <c r="T83" t="s">
        <v>1601</v>
      </c>
      <c r="U83" t="s">
        <v>1602</v>
      </c>
      <c r="V83" t="s">
        <v>1603</v>
      </c>
      <c r="W83" t="s">
        <v>1604</v>
      </c>
      <c r="X83" t="s">
        <v>1605</v>
      </c>
      <c r="Y83" t="s">
        <v>1606</v>
      </c>
      <c r="Z83" t="s">
        <v>1607</v>
      </c>
      <c r="AA83" t="s">
        <v>1608</v>
      </c>
      <c r="AB83" t="s">
        <v>1609</v>
      </c>
      <c r="AC83" t="s">
        <v>1610</v>
      </c>
      <c r="AD83" t="s">
        <v>1611</v>
      </c>
      <c r="AE83" t="s">
        <v>1612</v>
      </c>
      <c r="AF83" t="s">
        <v>74</v>
      </c>
      <c r="AG83">
        <v>40</v>
      </c>
      <c r="AH83">
        <v>28</v>
      </c>
      <c r="AI83">
        <v>30</v>
      </c>
      <c r="AJ83">
        <v>8</v>
      </c>
      <c r="AK83">
        <v>71</v>
      </c>
      <c r="AL83" t="s">
        <v>138</v>
      </c>
      <c r="AM83" t="s">
        <v>246</v>
      </c>
      <c r="AN83" t="s">
        <v>247</v>
      </c>
      <c r="AO83" t="s">
        <v>141</v>
      </c>
      <c r="AP83" t="s">
        <v>142</v>
      </c>
      <c r="AQ83" t="s">
        <v>74</v>
      </c>
      <c r="AR83" t="s">
        <v>143</v>
      </c>
      <c r="AS83" t="s">
        <v>144</v>
      </c>
      <c r="AT83" t="s">
        <v>1076</v>
      </c>
      <c r="AU83">
        <v>2021</v>
      </c>
      <c r="AV83">
        <v>214</v>
      </c>
      <c r="AW83" t="s">
        <v>74</v>
      </c>
      <c r="AX83" t="s">
        <v>74</v>
      </c>
      <c r="AY83" t="s">
        <v>74</v>
      </c>
      <c r="AZ83" t="s">
        <v>74</v>
      </c>
      <c r="BA83" t="s">
        <v>74</v>
      </c>
      <c r="BB83" t="s">
        <v>74</v>
      </c>
      <c r="BC83" t="s">
        <v>74</v>
      </c>
      <c r="BD83">
        <v>107686</v>
      </c>
      <c r="BE83" t="s">
        <v>1613</v>
      </c>
      <c r="BF83" t="str">
        <f>HYPERLINK("http://dx.doi.org/10.1016/j.ress.2021.107686","http://dx.doi.org/10.1016/j.ress.2021.107686")</f>
        <v>http://dx.doi.org/10.1016/j.ress.2021.107686</v>
      </c>
      <c r="BG83" t="s">
        <v>74</v>
      </c>
      <c r="BH83" t="s">
        <v>1614</v>
      </c>
      <c r="BI83">
        <v>16</v>
      </c>
      <c r="BJ83" t="s">
        <v>148</v>
      </c>
      <c r="BK83" t="s">
        <v>149</v>
      </c>
      <c r="BL83" t="s">
        <v>150</v>
      </c>
      <c r="BM83" t="s">
        <v>1615</v>
      </c>
      <c r="BN83" t="s">
        <v>74</v>
      </c>
      <c r="BO83" t="s">
        <v>74</v>
      </c>
      <c r="BP83" t="s">
        <v>74</v>
      </c>
      <c r="BQ83" t="s">
        <v>74</v>
      </c>
      <c r="BR83" t="s">
        <v>104</v>
      </c>
      <c r="BS83" t="s">
        <v>1616</v>
      </c>
      <c r="BT83" t="str">
        <f>HYPERLINK("https%3A%2F%2Fwww.webofscience.com%2Fwos%2Fwoscc%2Ffull-record%2FWOS:000663912500006","View Full Record in Web of Science")</f>
        <v>View Full Record in Web of Science</v>
      </c>
    </row>
    <row r="84" spans="1:72" x14ac:dyDescent="0.25">
      <c r="A84" t="s">
        <v>72</v>
      </c>
      <c r="B84" t="s">
        <v>1617</v>
      </c>
      <c r="C84" t="s">
        <v>74</v>
      </c>
      <c r="D84" t="s">
        <v>74</v>
      </c>
      <c r="E84" t="s">
        <v>74</v>
      </c>
      <c r="F84" t="s">
        <v>1618</v>
      </c>
      <c r="G84" t="s">
        <v>74</v>
      </c>
      <c r="H84" t="s">
        <v>74</v>
      </c>
      <c r="I84" t="s">
        <v>1619</v>
      </c>
      <c r="J84" t="s">
        <v>128</v>
      </c>
      <c r="K84" t="s">
        <v>74</v>
      </c>
      <c r="L84" t="s">
        <v>74</v>
      </c>
      <c r="M84" t="s">
        <v>78</v>
      </c>
      <c r="N84" t="s">
        <v>79</v>
      </c>
      <c r="O84" t="s">
        <v>74</v>
      </c>
      <c r="P84" t="s">
        <v>74</v>
      </c>
      <c r="Q84" t="s">
        <v>74</v>
      </c>
      <c r="R84" t="s">
        <v>74</v>
      </c>
      <c r="S84" t="s">
        <v>74</v>
      </c>
      <c r="T84" t="s">
        <v>1620</v>
      </c>
      <c r="U84" t="s">
        <v>1621</v>
      </c>
      <c r="V84" t="s">
        <v>1622</v>
      </c>
      <c r="W84" t="s">
        <v>1623</v>
      </c>
      <c r="X84" t="s">
        <v>1624</v>
      </c>
      <c r="Y84" t="s">
        <v>1625</v>
      </c>
      <c r="Z84" t="s">
        <v>1626</v>
      </c>
      <c r="AA84" t="s">
        <v>1627</v>
      </c>
      <c r="AB84" t="s">
        <v>1628</v>
      </c>
      <c r="AC84" t="s">
        <v>1629</v>
      </c>
      <c r="AD84" t="s">
        <v>1630</v>
      </c>
      <c r="AE84" t="s">
        <v>1631</v>
      </c>
      <c r="AF84" t="s">
        <v>74</v>
      </c>
      <c r="AG84">
        <v>46</v>
      </c>
      <c r="AH84">
        <v>23</v>
      </c>
      <c r="AI84">
        <v>24</v>
      </c>
      <c r="AJ84">
        <v>4</v>
      </c>
      <c r="AK84">
        <v>24</v>
      </c>
      <c r="AL84" t="s">
        <v>138</v>
      </c>
      <c r="AM84" t="s">
        <v>246</v>
      </c>
      <c r="AN84" t="s">
        <v>247</v>
      </c>
      <c r="AO84" t="s">
        <v>141</v>
      </c>
      <c r="AP84" t="s">
        <v>142</v>
      </c>
      <c r="AQ84" t="s">
        <v>74</v>
      </c>
      <c r="AR84" t="s">
        <v>143</v>
      </c>
      <c r="AS84" t="s">
        <v>144</v>
      </c>
      <c r="AT84" t="s">
        <v>1076</v>
      </c>
      <c r="AU84">
        <v>2020</v>
      </c>
      <c r="AV84">
        <v>202</v>
      </c>
      <c r="AW84" t="s">
        <v>74</v>
      </c>
      <c r="AX84" t="s">
        <v>74</v>
      </c>
      <c r="AY84" t="s">
        <v>74</v>
      </c>
      <c r="AZ84" t="s">
        <v>74</v>
      </c>
      <c r="BA84" t="s">
        <v>74</v>
      </c>
      <c r="BB84" t="s">
        <v>74</v>
      </c>
      <c r="BC84" t="s">
        <v>74</v>
      </c>
      <c r="BD84">
        <v>107065</v>
      </c>
      <c r="BE84" t="s">
        <v>1632</v>
      </c>
      <c r="BF84" t="str">
        <f>HYPERLINK("http://dx.doi.org/10.1016/j.ress.2020.107065","http://dx.doi.org/10.1016/j.ress.2020.107065")</f>
        <v>http://dx.doi.org/10.1016/j.ress.2020.107065</v>
      </c>
      <c r="BG84" t="s">
        <v>74</v>
      </c>
      <c r="BH84" t="s">
        <v>74</v>
      </c>
      <c r="BI84">
        <v>13</v>
      </c>
      <c r="BJ84" t="s">
        <v>148</v>
      </c>
      <c r="BK84" t="s">
        <v>149</v>
      </c>
      <c r="BL84" t="s">
        <v>150</v>
      </c>
      <c r="BM84" t="s">
        <v>1633</v>
      </c>
      <c r="BN84" t="s">
        <v>74</v>
      </c>
      <c r="BO84" t="s">
        <v>74</v>
      </c>
      <c r="BP84" t="s">
        <v>74</v>
      </c>
      <c r="BQ84" t="s">
        <v>74</v>
      </c>
      <c r="BR84" t="s">
        <v>104</v>
      </c>
      <c r="BS84" t="s">
        <v>1634</v>
      </c>
      <c r="BT84" t="str">
        <f>HYPERLINK("https%3A%2F%2Fwww.webofscience.com%2Fwos%2Fwoscc%2Ffull-record%2FWOS:000564277900052","View Full Record in Web of Science")</f>
        <v>View Full Record in Web of Science</v>
      </c>
    </row>
    <row r="85" spans="1:72" x14ac:dyDescent="0.25">
      <c r="A85" t="s">
        <v>72</v>
      </c>
      <c r="B85" t="s">
        <v>1635</v>
      </c>
      <c r="C85" t="s">
        <v>74</v>
      </c>
      <c r="D85" t="s">
        <v>74</v>
      </c>
      <c r="E85" t="s">
        <v>74</v>
      </c>
      <c r="F85" t="s">
        <v>1636</v>
      </c>
      <c r="G85" t="s">
        <v>74</v>
      </c>
      <c r="H85" t="s">
        <v>74</v>
      </c>
      <c r="I85" t="s">
        <v>1637</v>
      </c>
      <c r="J85" t="s">
        <v>778</v>
      </c>
      <c r="K85" t="s">
        <v>74</v>
      </c>
      <c r="L85" t="s">
        <v>74</v>
      </c>
      <c r="M85" t="s">
        <v>78</v>
      </c>
      <c r="N85" t="s">
        <v>79</v>
      </c>
      <c r="O85" t="s">
        <v>74</v>
      </c>
      <c r="P85" t="s">
        <v>74</v>
      </c>
      <c r="Q85" t="s">
        <v>74</v>
      </c>
      <c r="R85" t="s">
        <v>74</v>
      </c>
      <c r="S85" t="s">
        <v>74</v>
      </c>
      <c r="T85" t="s">
        <v>1638</v>
      </c>
      <c r="U85" t="s">
        <v>1639</v>
      </c>
      <c r="V85" t="s">
        <v>1640</v>
      </c>
      <c r="W85" t="s">
        <v>1641</v>
      </c>
      <c r="X85" t="s">
        <v>1512</v>
      </c>
      <c r="Y85" t="s">
        <v>1642</v>
      </c>
      <c r="Z85" t="s">
        <v>1643</v>
      </c>
      <c r="AA85" t="s">
        <v>1644</v>
      </c>
      <c r="AB85" t="s">
        <v>1645</v>
      </c>
      <c r="AC85" t="s">
        <v>1646</v>
      </c>
      <c r="AD85" t="s">
        <v>1647</v>
      </c>
      <c r="AE85" t="s">
        <v>1648</v>
      </c>
      <c r="AF85" t="s">
        <v>74</v>
      </c>
      <c r="AG85">
        <v>55</v>
      </c>
      <c r="AH85">
        <v>26</v>
      </c>
      <c r="AI85">
        <v>27</v>
      </c>
      <c r="AJ85">
        <v>9</v>
      </c>
      <c r="AK85">
        <v>56</v>
      </c>
      <c r="AL85" t="s">
        <v>311</v>
      </c>
      <c r="AM85" t="s">
        <v>312</v>
      </c>
      <c r="AN85" t="s">
        <v>313</v>
      </c>
      <c r="AO85" t="s">
        <v>788</v>
      </c>
      <c r="AP85" t="s">
        <v>789</v>
      </c>
      <c r="AQ85" t="s">
        <v>74</v>
      </c>
      <c r="AR85" t="s">
        <v>790</v>
      </c>
      <c r="AS85" t="s">
        <v>791</v>
      </c>
      <c r="AT85" t="s">
        <v>1649</v>
      </c>
      <c r="AU85">
        <v>2022</v>
      </c>
      <c r="AV85">
        <v>33</v>
      </c>
      <c r="AW85">
        <v>1</v>
      </c>
      <c r="AX85" t="s">
        <v>74</v>
      </c>
      <c r="AY85" t="s">
        <v>74</v>
      </c>
      <c r="AZ85" t="s">
        <v>74</v>
      </c>
      <c r="BA85" t="s">
        <v>74</v>
      </c>
      <c r="BB85">
        <v>1</v>
      </c>
      <c r="BC85">
        <v>19</v>
      </c>
      <c r="BD85" t="s">
        <v>74</v>
      </c>
      <c r="BE85" t="s">
        <v>1650</v>
      </c>
      <c r="BF85" t="str">
        <f>HYPERLINK("http://dx.doi.org/10.1080/09537287.2020.1817601","http://dx.doi.org/10.1080/09537287.2020.1817601")</f>
        <v>http://dx.doi.org/10.1080/09537287.2020.1817601</v>
      </c>
      <c r="BG85" t="s">
        <v>74</v>
      </c>
      <c r="BH85" t="s">
        <v>1651</v>
      </c>
      <c r="BI85">
        <v>19</v>
      </c>
      <c r="BJ85" t="s">
        <v>321</v>
      </c>
      <c r="BK85" t="s">
        <v>322</v>
      </c>
      <c r="BL85" t="s">
        <v>150</v>
      </c>
      <c r="BM85" t="s">
        <v>1652</v>
      </c>
      <c r="BN85" t="s">
        <v>74</v>
      </c>
      <c r="BO85" t="s">
        <v>1653</v>
      </c>
      <c r="BP85" t="s">
        <v>74</v>
      </c>
      <c r="BQ85" t="s">
        <v>74</v>
      </c>
      <c r="BR85" t="s">
        <v>104</v>
      </c>
      <c r="BS85" t="s">
        <v>1654</v>
      </c>
      <c r="BT85" t="str">
        <f>HYPERLINK("https%3A%2F%2Fwww.webofscience.com%2Fwos%2Fwoscc%2Ffull-record%2FWOS:000572229400001","View Full Record in Web of Science")</f>
        <v>View Full Record in Web of Science</v>
      </c>
    </row>
    <row r="86" spans="1:72" x14ac:dyDescent="0.25">
      <c r="A86" t="s">
        <v>72</v>
      </c>
      <c r="B86" t="s">
        <v>1655</v>
      </c>
      <c r="C86" t="s">
        <v>74</v>
      </c>
      <c r="D86" t="s">
        <v>74</v>
      </c>
      <c r="E86" t="s">
        <v>74</v>
      </c>
      <c r="F86" t="s">
        <v>1656</v>
      </c>
      <c r="G86" t="s">
        <v>74</v>
      </c>
      <c r="H86" t="s">
        <v>74</v>
      </c>
      <c r="I86" t="s">
        <v>1657</v>
      </c>
      <c r="J86" t="s">
        <v>188</v>
      </c>
      <c r="K86" t="s">
        <v>74</v>
      </c>
      <c r="L86" t="s">
        <v>74</v>
      </c>
      <c r="M86" t="s">
        <v>78</v>
      </c>
      <c r="N86" t="s">
        <v>79</v>
      </c>
      <c r="O86" t="s">
        <v>74</v>
      </c>
      <c r="P86" t="s">
        <v>74</v>
      </c>
      <c r="Q86" t="s">
        <v>74</v>
      </c>
      <c r="R86" t="s">
        <v>74</v>
      </c>
      <c r="S86" t="s">
        <v>74</v>
      </c>
      <c r="T86" t="s">
        <v>1658</v>
      </c>
      <c r="U86" t="s">
        <v>1659</v>
      </c>
      <c r="V86" t="s">
        <v>1660</v>
      </c>
      <c r="W86" t="s">
        <v>1661</v>
      </c>
      <c r="X86" t="s">
        <v>1662</v>
      </c>
      <c r="Y86" t="s">
        <v>1663</v>
      </c>
      <c r="Z86" t="s">
        <v>1664</v>
      </c>
      <c r="AA86" t="s">
        <v>1665</v>
      </c>
      <c r="AB86" t="s">
        <v>1666</v>
      </c>
      <c r="AC86" t="s">
        <v>74</v>
      </c>
      <c r="AD86" t="s">
        <v>74</v>
      </c>
      <c r="AE86" t="s">
        <v>74</v>
      </c>
      <c r="AF86" t="s">
        <v>74</v>
      </c>
      <c r="AG86">
        <v>32</v>
      </c>
      <c r="AH86">
        <v>2</v>
      </c>
      <c r="AI86">
        <v>3</v>
      </c>
      <c r="AJ86">
        <v>4</v>
      </c>
      <c r="AK86">
        <v>8</v>
      </c>
      <c r="AL86" t="s">
        <v>198</v>
      </c>
      <c r="AM86" t="s">
        <v>199</v>
      </c>
      <c r="AN86" t="s">
        <v>200</v>
      </c>
      <c r="AO86" t="s">
        <v>201</v>
      </c>
      <c r="AP86" t="s">
        <v>202</v>
      </c>
      <c r="AQ86" t="s">
        <v>74</v>
      </c>
      <c r="AR86" t="s">
        <v>203</v>
      </c>
      <c r="AS86" t="s">
        <v>204</v>
      </c>
      <c r="AT86" t="s">
        <v>275</v>
      </c>
      <c r="AU86">
        <v>2023</v>
      </c>
      <c r="AV86">
        <v>14</v>
      </c>
      <c r="AW86">
        <v>1</v>
      </c>
      <c r="AX86" t="s">
        <v>74</v>
      </c>
      <c r="AY86" t="s">
        <v>74</v>
      </c>
      <c r="AZ86" t="s">
        <v>74</v>
      </c>
      <c r="BA86" t="s">
        <v>74</v>
      </c>
      <c r="BB86">
        <v>137</v>
      </c>
      <c r="BC86">
        <v>155</v>
      </c>
      <c r="BD86" t="s">
        <v>74</v>
      </c>
      <c r="BE86" t="s">
        <v>1667</v>
      </c>
      <c r="BF86" t="str">
        <f>HYPERLINK("http://dx.doi.org/10.24425/mper.2023.145372","http://dx.doi.org/10.24425/mper.2023.145372")</f>
        <v>http://dx.doi.org/10.24425/mper.2023.145372</v>
      </c>
      <c r="BG86" t="s">
        <v>74</v>
      </c>
      <c r="BH86" t="s">
        <v>74</v>
      </c>
      <c r="BI86">
        <v>19</v>
      </c>
      <c r="BJ86" t="s">
        <v>100</v>
      </c>
      <c r="BK86" t="s">
        <v>101</v>
      </c>
      <c r="BL86" t="s">
        <v>102</v>
      </c>
      <c r="BM86" t="s">
        <v>1668</v>
      </c>
      <c r="BN86" t="s">
        <v>74</v>
      </c>
      <c r="BO86" t="s">
        <v>208</v>
      </c>
      <c r="BP86" t="s">
        <v>74</v>
      </c>
      <c r="BQ86" t="s">
        <v>74</v>
      </c>
      <c r="BR86" t="s">
        <v>104</v>
      </c>
      <c r="BS86" t="s">
        <v>1669</v>
      </c>
      <c r="BT86" t="str">
        <f>HYPERLINK("https%3A%2F%2Fwww.webofscience.com%2Fwos%2Fwoscc%2Ffull-record%2FWOS:000995788200012","View Full Record in Web of Science")</f>
        <v>View Full Record in Web of Science</v>
      </c>
    </row>
    <row r="87" spans="1:72" x14ac:dyDescent="0.25">
      <c r="A87" t="s">
        <v>72</v>
      </c>
      <c r="B87" t="s">
        <v>1670</v>
      </c>
      <c r="C87" t="s">
        <v>74</v>
      </c>
      <c r="D87" t="s">
        <v>74</v>
      </c>
      <c r="E87" t="s">
        <v>74</v>
      </c>
      <c r="F87" t="s">
        <v>1671</v>
      </c>
      <c r="G87" t="s">
        <v>74</v>
      </c>
      <c r="H87" t="s">
        <v>74</v>
      </c>
      <c r="I87" t="s">
        <v>1672</v>
      </c>
      <c r="J87" t="s">
        <v>697</v>
      </c>
      <c r="K87" t="s">
        <v>74</v>
      </c>
      <c r="L87" t="s">
        <v>74</v>
      </c>
      <c r="M87" t="s">
        <v>78</v>
      </c>
      <c r="N87" t="s">
        <v>79</v>
      </c>
      <c r="O87" t="s">
        <v>74</v>
      </c>
      <c r="P87" t="s">
        <v>74</v>
      </c>
      <c r="Q87" t="s">
        <v>74</v>
      </c>
      <c r="R87" t="s">
        <v>74</v>
      </c>
      <c r="S87" t="s">
        <v>74</v>
      </c>
      <c r="T87" t="s">
        <v>1673</v>
      </c>
      <c r="U87" t="s">
        <v>1674</v>
      </c>
      <c r="V87" t="s">
        <v>1675</v>
      </c>
      <c r="W87" t="s">
        <v>1676</v>
      </c>
      <c r="X87" t="s">
        <v>1677</v>
      </c>
      <c r="Y87" t="s">
        <v>1678</v>
      </c>
      <c r="Z87" t="s">
        <v>1679</v>
      </c>
      <c r="AA87" t="s">
        <v>1680</v>
      </c>
      <c r="AB87" t="s">
        <v>1681</v>
      </c>
      <c r="AC87" t="s">
        <v>1682</v>
      </c>
      <c r="AD87" t="s">
        <v>1682</v>
      </c>
      <c r="AE87" t="s">
        <v>1683</v>
      </c>
      <c r="AF87" t="s">
        <v>74</v>
      </c>
      <c r="AG87">
        <v>60</v>
      </c>
      <c r="AH87">
        <v>14</v>
      </c>
      <c r="AI87">
        <v>15</v>
      </c>
      <c r="AJ87">
        <v>5</v>
      </c>
      <c r="AK87">
        <v>21</v>
      </c>
      <c r="AL87" t="s">
        <v>707</v>
      </c>
      <c r="AM87" t="s">
        <v>246</v>
      </c>
      <c r="AN87" t="s">
        <v>708</v>
      </c>
      <c r="AO87" t="s">
        <v>709</v>
      </c>
      <c r="AP87" t="s">
        <v>710</v>
      </c>
      <c r="AQ87" t="s">
        <v>74</v>
      </c>
      <c r="AR87" t="s">
        <v>711</v>
      </c>
      <c r="AS87" t="s">
        <v>712</v>
      </c>
      <c r="AT87" t="s">
        <v>1202</v>
      </c>
      <c r="AU87">
        <v>2023</v>
      </c>
      <c r="AV87">
        <v>179</v>
      </c>
      <c r="AW87" t="s">
        <v>74</v>
      </c>
      <c r="AX87" t="s">
        <v>74</v>
      </c>
      <c r="AY87" t="s">
        <v>74</v>
      </c>
      <c r="AZ87" t="s">
        <v>74</v>
      </c>
      <c r="BA87" t="s">
        <v>74</v>
      </c>
      <c r="BB87" t="s">
        <v>74</v>
      </c>
      <c r="BC87" t="s">
        <v>74</v>
      </c>
      <c r="BD87">
        <v>109165</v>
      </c>
      <c r="BE87" t="s">
        <v>1684</v>
      </c>
      <c r="BF87" t="str">
        <f>HYPERLINK("http://dx.doi.org/10.1016/j.cie.2023.109165","http://dx.doi.org/10.1016/j.cie.2023.109165")</f>
        <v>http://dx.doi.org/10.1016/j.cie.2023.109165</v>
      </c>
      <c r="BG87" t="s">
        <v>74</v>
      </c>
      <c r="BH87" t="s">
        <v>1685</v>
      </c>
      <c r="BI87">
        <v>13</v>
      </c>
      <c r="BJ87" t="s">
        <v>715</v>
      </c>
      <c r="BK87" t="s">
        <v>149</v>
      </c>
      <c r="BL87" t="s">
        <v>716</v>
      </c>
      <c r="BM87" t="s">
        <v>1686</v>
      </c>
      <c r="BN87" t="s">
        <v>74</v>
      </c>
      <c r="BO87" t="s">
        <v>1044</v>
      </c>
      <c r="BP87" t="s">
        <v>74</v>
      </c>
      <c r="BQ87" t="s">
        <v>74</v>
      </c>
      <c r="BR87" t="s">
        <v>104</v>
      </c>
      <c r="BS87" t="s">
        <v>1687</v>
      </c>
      <c r="BT87" t="str">
        <f>HYPERLINK("https%3A%2F%2Fwww.webofscience.com%2Fwos%2Fwoscc%2Ffull-record%2FWOS:000972319100001","View Full Record in Web of Science")</f>
        <v>View Full Record in Web of Science</v>
      </c>
    </row>
    <row r="88" spans="1:72" x14ac:dyDescent="0.25">
      <c r="A88" t="s">
        <v>72</v>
      </c>
      <c r="B88" t="s">
        <v>1688</v>
      </c>
      <c r="C88" t="s">
        <v>74</v>
      </c>
      <c r="D88" t="s">
        <v>74</v>
      </c>
      <c r="E88" t="s">
        <v>74</v>
      </c>
      <c r="F88" t="s">
        <v>1689</v>
      </c>
      <c r="G88" t="s">
        <v>74</v>
      </c>
      <c r="H88" t="s">
        <v>74</v>
      </c>
      <c r="I88" t="s">
        <v>1690</v>
      </c>
      <c r="J88" t="s">
        <v>472</v>
      </c>
      <c r="K88" t="s">
        <v>74</v>
      </c>
      <c r="L88" t="s">
        <v>74</v>
      </c>
      <c r="M88" t="s">
        <v>78</v>
      </c>
      <c r="N88" t="s">
        <v>79</v>
      </c>
      <c r="O88" t="s">
        <v>74</v>
      </c>
      <c r="P88" t="s">
        <v>74</v>
      </c>
      <c r="Q88" t="s">
        <v>74</v>
      </c>
      <c r="R88" t="s">
        <v>74</v>
      </c>
      <c r="S88" t="s">
        <v>74</v>
      </c>
      <c r="T88" t="s">
        <v>1691</v>
      </c>
      <c r="U88" t="s">
        <v>1692</v>
      </c>
      <c r="V88" t="s">
        <v>1693</v>
      </c>
      <c r="W88" t="s">
        <v>1694</v>
      </c>
      <c r="X88" t="s">
        <v>1695</v>
      </c>
      <c r="Y88" t="s">
        <v>1696</v>
      </c>
      <c r="Z88" t="s">
        <v>1697</v>
      </c>
      <c r="AA88" t="s">
        <v>1698</v>
      </c>
      <c r="AB88" t="s">
        <v>1699</v>
      </c>
      <c r="AC88" t="s">
        <v>1700</v>
      </c>
      <c r="AD88" t="s">
        <v>1701</v>
      </c>
      <c r="AE88" t="s">
        <v>1702</v>
      </c>
      <c r="AF88" t="s">
        <v>74</v>
      </c>
      <c r="AG88">
        <v>29</v>
      </c>
      <c r="AH88">
        <v>11</v>
      </c>
      <c r="AI88">
        <v>14</v>
      </c>
      <c r="AJ88">
        <v>5</v>
      </c>
      <c r="AK88">
        <v>39</v>
      </c>
      <c r="AL88" t="s">
        <v>484</v>
      </c>
      <c r="AM88" t="s">
        <v>485</v>
      </c>
      <c r="AN88" t="s">
        <v>486</v>
      </c>
      <c r="AO88" t="s">
        <v>487</v>
      </c>
      <c r="AP88" t="s">
        <v>488</v>
      </c>
      <c r="AQ88" t="s">
        <v>74</v>
      </c>
      <c r="AR88" t="s">
        <v>489</v>
      </c>
      <c r="AS88" t="s">
        <v>490</v>
      </c>
      <c r="AT88" t="s">
        <v>275</v>
      </c>
      <c r="AU88">
        <v>2020</v>
      </c>
      <c r="AV88">
        <v>36</v>
      </c>
      <c r="AW88">
        <v>2</v>
      </c>
      <c r="AX88" t="s">
        <v>74</v>
      </c>
      <c r="AY88" t="s">
        <v>74</v>
      </c>
      <c r="AZ88" t="s">
        <v>74</v>
      </c>
      <c r="BA88" t="s">
        <v>74</v>
      </c>
      <c r="BB88">
        <v>529</v>
      </c>
      <c r="BC88">
        <v>546</v>
      </c>
      <c r="BD88" t="s">
        <v>74</v>
      </c>
      <c r="BE88" t="s">
        <v>1703</v>
      </c>
      <c r="BF88" t="str">
        <f>HYPERLINK("http://dx.doi.org/10.1002/qre.2585","http://dx.doi.org/10.1002/qre.2585")</f>
        <v>http://dx.doi.org/10.1002/qre.2585</v>
      </c>
      <c r="BG88" t="s">
        <v>74</v>
      </c>
      <c r="BH88" t="s">
        <v>1704</v>
      </c>
      <c r="BI88">
        <v>18</v>
      </c>
      <c r="BJ88" t="s">
        <v>494</v>
      </c>
      <c r="BK88" t="s">
        <v>149</v>
      </c>
      <c r="BL88" t="s">
        <v>150</v>
      </c>
      <c r="BM88" t="s">
        <v>1705</v>
      </c>
      <c r="BN88" t="s">
        <v>74</v>
      </c>
      <c r="BO88" t="s">
        <v>1706</v>
      </c>
      <c r="BP88" t="s">
        <v>74</v>
      </c>
      <c r="BQ88" t="s">
        <v>74</v>
      </c>
      <c r="BR88" t="s">
        <v>104</v>
      </c>
      <c r="BS88" t="s">
        <v>1707</v>
      </c>
      <c r="BT88" t="str">
        <f>HYPERLINK("https%3A%2F%2Fwww.webofscience.com%2Fwos%2Fwoscc%2Ffull-record%2FWOS:000503076900001","View Full Record in Web of Science")</f>
        <v>View Full Record in Web of Science</v>
      </c>
    </row>
    <row r="89" spans="1:72" x14ac:dyDescent="0.25">
      <c r="A89" t="s">
        <v>72</v>
      </c>
      <c r="B89" t="s">
        <v>1708</v>
      </c>
      <c r="C89" t="s">
        <v>74</v>
      </c>
      <c r="D89" t="s">
        <v>74</v>
      </c>
      <c r="E89" t="s">
        <v>74</v>
      </c>
      <c r="F89" t="s">
        <v>1709</v>
      </c>
      <c r="G89" t="s">
        <v>74</v>
      </c>
      <c r="H89" t="s">
        <v>74</v>
      </c>
      <c r="I89" t="s">
        <v>1710</v>
      </c>
      <c r="J89" t="s">
        <v>128</v>
      </c>
      <c r="K89" t="s">
        <v>74</v>
      </c>
      <c r="L89" t="s">
        <v>74</v>
      </c>
      <c r="M89" t="s">
        <v>78</v>
      </c>
      <c r="N89" t="s">
        <v>79</v>
      </c>
      <c r="O89" t="s">
        <v>74</v>
      </c>
      <c r="P89" t="s">
        <v>74</v>
      </c>
      <c r="Q89" t="s">
        <v>74</v>
      </c>
      <c r="R89" t="s">
        <v>74</v>
      </c>
      <c r="S89" t="s">
        <v>74</v>
      </c>
      <c r="T89" t="s">
        <v>1711</v>
      </c>
      <c r="U89" t="s">
        <v>1712</v>
      </c>
      <c r="V89" t="s">
        <v>1713</v>
      </c>
      <c r="W89" t="s">
        <v>1714</v>
      </c>
      <c r="X89" t="s">
        <v>1715</v>
      </c>
      <c r="Y89" t="s">
        <v>1716</v>
      </c>
      <c r="Z89" t="s">
        <v>1717</v>
      </c>
      <c r="AA89" t="s">
        <v>1718</v>
      </c>
      <c r="AB89" t="s">
        <v>1719</v>
      </c>
      <c r="AC89" t="s">
        <v>1720</v>
      </c>
      <c r="AD89" t="s">
        <v>1721</v>
      </c>
      <c r="AE89" t="s">
        <v>1722</v>
      </c>
      <c r="AF89" t="s">
        <v>74</v>
      </c>
      <c r="AG89">
        <v>40</v>
      </c>
      <c r="AH89">
        <v>39</v>
      </c>
      <c r="AI89">
        <v>42</v>
      </c>
      <c r="AJ89">
        <v>2</v>
      </c>
      <c r="AK89">
        <v>82</v>
      </c>
      <c r="AL89" t="s">
        <v>138</v>
      </c>
      <c r="AM89" t="s">
        <v>246</v>
      </c>
      <c r="AN89" t="s">
        <v>247</v>
      </c>
      <c r="AO89" t="s">
        <v>141</v>
      </c>
      <c r="AP89" t="s">
        <v>142</v>
      </c>
      <c r="AQ89" t="s">
        <v>74</v>
      </c>
      <c r="AR89" t="s">
        <v>143</v>
      </c>
      <c r="AS89" t="s">
        <v>144</v>
      </c>
      <c r="AT89" t="s">
        <v>559</v>
      </c>
      <c r="AU89">
        <v>2020</v>
      </c>
      <c r="AV89">
        <v>198</v>
      </c>
      <c r="AW89" t="s">
        <v>74</v>
      </c>
      <c r="AX89" t="s">
        <v>74</v>
      </c>
      <c r="AY89" t="s">
        <v>74</v>
      </c>
      <c r="AZ89" t="s">
        <v>74</v>
      </c>
      <c r="BA89" t="s">
        <v>74</v>
      </c>
      <c r="BB89" t="s">
        <v>74</v>
      </c>
      <c r="BC89" t="s">
        <v>74</v>
      </c>
      <c r="BD89">
        <v>106871</v>
      </c>
      <c r="BE89" t="s">
        <v>1723</v>
      </c>
      <c r="BF89" t="str">
        <f>HYPERLINK("http://dx.doi.org/10.1016/j.ress.2020.106871","http://dx.doi.org/10.1016/j.ress.2020.106871")</f>
        <v>http://dx.doi.org/10.1016/j.ress.2020.106871</v>
      </c>
      <c r="BG89" t="s">
        <v>74</v>
      </c>
      <c r="BH89" t="s">
        <v>74</v>
      </c>
      <c r="BI89">
        <v>11</v>
      </c>
      <c r="BJ89" t="s">
        <v>148</v>
      </c>
      <c r="BK89" t="s">
        <v>149</v>
      </c>
      <c r="BL89" t="s">
        <v>150</v>
      </c>
      <c r="BM89" t="s">
        <v>1724</v>
      </c>
      <c r="BN89" t="s">
        <v>74</v>
      </c>
      <c r="BO89" t="s">
        <v>74</v>
      </c>
      <c r="BP89" t="s">
        <v>74</v>
      </c>
      <c r="BQ89" t="s">
        <v>74</v>
      </c>
      <c r="BR89" t="s">
        <v>104</v>
      </c>
      <c r="BS89" t="s">
        <v>1725</v>
      </c>
      <c r="BT89" t="str">
        <f>HYPERLINK("https%3A%2F%2Fwww.webofscience.com%2Fwos%2Fwoscc%2Ffull-record%2FWOS:000527843700015","View Full Record in Web of Science")</f>
        <v>View Full Record in Web of Science</v>
      </c>
    </row>
    <row r="90" spans="1:72" x14ac:dyDescent="0.25">
      <c r="A90" t="s">
        <v>72</v>
      </c>
      <c r="B90" t="s">
        <v>1726</v>
      </c>
      <c r="C90" t="s">
        <v>74</v>
      </c>
      <c r="D90" t="s">
        <v>74</v>
      </c>
      <c r="E90" t="s">
        <v>74</v>
      </c>
      <c r="F90" t="s">
        <v>1727</v>
      </c>
      <c r="G90" t="s">
        <v>74</v>
      </c>
      <c r="H90" t="s">
        <v>74</v>
      </c>
      <c r="I90" t="s">
        <v>1728</v>
      </c>
      <c r="J90" t="s">
        <v>1507</v>
      </c>
      <c r="K90" t="s">
        <v>74</v>
      </c>
      <c r="L90" t="s">
        <v>74</v>
      </c>
      <c r="M90" t="s">
        <v>78</v>
      </c>
      <c r="N90" t="s">
        <v>79</v>
      </c>
      <c r="O90" t="s">
        <v>74</v>
      </c>
      <c r="P90" t="s">
        <v>74</v>
      </c>
      <c r="Q90" t="s">
        <v>74</v>
      </c>
      <c r="R90" t="s">
        <v>74</v>
      </c>
      <c r="S90" t="s">
        <v>74</v>
      </c>
      <c r="T90" t="s">
        <v>1729</v>
      </c>
      <c r="U90" t="s">
        <v>1730</v>
      </c>
      <c r="V90" t="s">
        <v>1731</v>
      </c>
      <c r="W90" t="s">
        <v>1732</v>
      </c>
      <c r="X90" t="s">
        <v>1733</v>
      </c>
      <c r="Y90" t="s">
        <v>1734</v>
      </c>
      <c r="Z90" t="s">
        <v>1735</v>
      </c>
      <c r="AA90" t="s">
        <v>1736</v>
      </c>
      <c r="AB90" t="s">
        <v>1737</v>
      </c>
      <c r="AC90" t="s">
        <v>74</v>
      </c>
      <c r="AD90" t="s">
        <v>74</v>
      </c>
      <c r="AE90" t="s">
        <v>74</v>
      </c>
      <c r="AF90" t="s">
        <v>74</v>
      </c>
      <c r="AG90">
        <v>40</v>
      </c>
      <c r="AH90">
        <v>1</v>
      </c>
      <c r="AI90">
        <v>1</v>
      </c>
      <c r="AJ90">
        <v>2</v>
      </c>
      <c r="AK90">
        <v>8</v>
      </c>
      <c r="AL90" t="s">
        <v>90</v>
      </c>
      <c r="AM90" t="s">
        <v>118</v>
      </c>
      <c r="AN90" t="s">
        <v>119</v>
      </c>
      <c r="AO90" t="s">
        <v>1520</v>
      </c>
      <c r="AP90" t="s">
        <v>1521</v>
      </c>
      <c r="AQ90" t="s">
        <v>74</v>
      </c>
      <c r="AR90" t="s">
        <v>1522</v>
      </c>
      <c r="AS90" t="s">
        <v>1523</v>
      </c>
      <c r="AT90" t="s">
        <v>1738</v>
      </c>
      <c r="AU90">
        <v>2021</v>
      </c>
      <c r="AV90">
        <v>32</v>
      </c>
      <c r="AW90">
        <v>6</v>
      </c>
      <c r="AX90" t="s">
        <v>74</v>
      </c>
      <c r="AY90" t="s">
        <v>74</v>
      </c>
      <c r="AZ90" t="s">
        <v>560</v>
      </c>
      <c r="BA90" t="s">
        <v>74</v>
      </c>
      <c r="BB90">
        <v>1357</v>
      </c>
      <c r="BC90">
        <v>1375</v>
      </c>
      <c r="BD90" t="s">
        <v>74</v>
      </c>
      <c r="BE90" t="s">
        <v>1739</v>
      </c>
      <c r="BF90" t="str">
        <f>HYPERLINK("http://dx.doi.org/10.1108/JMTM-08-2019-0300","http://dx.doi.org/10.1108/JMTM-08-2019-0300")</f>
        <v>http://dx.doi.org/10.1108/JMTM-08-2019-0300</v>
      </c>
      <c r="BG90" t="s">
        <v>74</v>
      </c>
      <c r="BH90" t="s">
        <v>691</v>
      </c>
      <c r="BI90">
        <v>19</v>
      </c>
      <c r="BJ90" t="s">
        <v>1526</v>
      </c>
      <c r="BK90" t="s">
        <v>322</v>
      </c>
      <c r="BL90" t="s">
        <v>398</v>
      </c>
      <c r="BM90" t="s">
        <v>1740</v>
      </c>
      <c r="BN90" t="s">
        <v>74</v>
      </c>
      <c r="BO90" t="s">
        <v>1741</v>
      </c>
      <c r="BP90" t="s">
        <v>74</v>
      </c>
      <c r="BQ90" t="s">
        <v>74</v>
      </c>
      <c r="BR90" t="s">
        <v>104</v>
      </c>
      <c r="BS90" t="s">
        <v>1742</v>
      </c>
      <c r="BT90" t="str">
        <f>HYPERLINK("https%3A%2F%2Fwww.webofscience.com%2Fwos%2Fwoscc%2Ffull-record%2FWOS:000541892100001","View Full Record in Web of Science")</f>
        <v>View Full Record in Web of Science</v>
      </c>
    </row>
    <row r="91" spans="1:72" x14ac:dyDescent="0.25">
      <c r="A91" t="s">
        <v>72</v>
      </c>
      <c r="B91" t="s">
        <v>1743</v>
      </c>
      <c r="C91" t="s">
        <v>74</v>
      </c>
      <c r="D91" t="s">
        <v>74</v>
      </c>
      <c r="E91" t="s">
        <v>74</v>
      </c>
      <c r="F91" t="s">
        <v>1744</v>
      </c>
      <c r="G91" t="s">
        <v>74</v>
      </c>
      <c r="H91" t="s">
        <v>74</v>
      </c>
      <c r="I91" t="s">
        <v>1745</v>
      </c>
      <c r="J91" t="s">
        <v>697</v>
      </c>
      <c r="K91" t="s">
        <v>74</v>
      </c>
      <c r="L91" t="s">
        <v>74</v>
      </c>
      <c r="M91" t="s">
        <v>78</v>
      </c>
      <c r="N91" t="s">
        <v>79</v>
      </c>
      <c r="O91" t="s">
        <v>74</v>
      </c>
      <c r="P91" t="s">
        <v>74</v>
      </c>
      <c r="Q91" t="s">
        <v>74</v>
      </c>
      <c r="R91" t="s">
        <v>74</v>
      </c>
      <c r="S91" t="s">
        <v>74</v>
      </c>
      <c r="T91" t="s">
        <v>1746</v>
      </c>
      <c r="U91" t="s">
        <v>1747</v>
      </c>
      <c r="V91" t="s">
        <v>1748</v>
      </c>
      <c r="W91" t="s">
        <v>1749</v>
      </c>
      <c r="X91" t="s">
        <v>1313</v>
      </c>
      <c r="Y91" t="s">
        <v>1750</v>
      </c>
      <c r="Z91" t="s">
        <v>1751</v>
      </c>
      <c r="AA91" t="s">
        <v>74</v>
      </c>
      <c r="AB91" t="s">
        <v>74</v>
      </c>
      <c r="AC91" t="s">
        <v>1752</v>
      </c>
      <c r="AD91" t="s">
        <v>1753</v>
      </c>
      <c r="AE91" t="s">
        <v>1754</v>
      </c>
      <c r="AF91" t="s">
        <v>74</v>
      </c>
      <c r="AG91">
        <v>59</v>
      </c>
      <c r="AH91">
        <v>20</v>
      </c>
      <c r="AI91">
        <v>21</v>
      </c>
      <c r="AJ91">
        <v>2</v>
      </c>
      <c r="AK91">
        <v>34</v>
      </c>
      <c r="AL91" t="s">
        <v>707</v>
      </c>
      <c r="AM91" t="s">
        <v>246</v>
      </c>
      <c r="AN91" t="s">
        <v>708</v>
      </c>
      <c r="AO91" t="s">
        <v>709</v>
      </c>
      <c r="AP91" t="s">
        <v>710</v>
      </c>
      <c r="AQ91" t="s">
        <v>74</v>
      </c>
      <c r="AR91" t="s">
        <v>711</v>
      </c>
      <c r="AS91" t="s">
        <v>712</v>
      </c>
      <c r="AT91" t="s">
        <v>1076</v>
      </c>
      <c r="AU91">
        <v>2019</v>
      </c>
      <c r="AV91">
        <v>136</v>
      </c>
      <c r="AW91" t="s">
        <v>74</v>
      </c>
      <c r="AX91" t="s">
        <v>74</v>
      </c>
      <c r="AY91" t="s">
        <v>74</v>
      </c>
      <c r="AZ91" t="s">
        <v>74</v>
      </c>
      <c r="BA91" t="s">
        <v>74</v>
      </c>
      <c r="BB91">
        <v>117</v>
      </c>
      <c r="BC91">
        <v>134</v>
      </c>
      <c r="BD91" t="s">
        <v>74</v>
      </c>
      <c r="BE91" t="s">
        <v>1755</v>
      </c>
      <c r="BF91" t="str">
        <f>HYPERLINK("http://dx.doi.org/10.1016/j.cie.2019.07.021","http://dx.doi.org/10.1016/j.cie.2019.07.021")</f>
        <v>http://dx.doi.org/10.1016/j.cie.2019.07.021</v>
      </c>
      <c r="BG91" t="s">
        <v>74</v>
      </c>
      <c r="BH91" t="s">
        <v>74</v>
      </c>
      <c r="BI91">
        <v>18</v>
      </c>
      <c r="BJ91" t="s">
        <v>715</v>
      </c>
      <c r="BK91" t="s">
        <v>149</v>
      </c>
      <c r="BL91" t="s">
        <v>716</v>
      </c>
      <c r="BM91" t="s">
        <v>1756</v>
      </c>
      <c r="BN91" t="s">
        <v>74</v>
      </c>
      <c r="BO91" t="s">
        <v>74</v>
      </c>
      <c r="BP91" t="s">
        <v>74</v>
      </c>
      <c r="BQ91" t="s">
        <v>74</v>
      </c>
      <c r="BR91" t="s">
        <v>104</v>
      </c>
      <c r="BS91" t="s">
        <v>1757</v>
      </c>
      <c r="BT91" t="str">
        <f>HYPERLINK("https%3A%2F%2Fwww.webofscience.com%2Fwos%2Fwoscc%2Ffull-record%2FWOS:000494891000011","View Full Record in Web of Science")</f>
        <v>View Full Record in Web of Science</v>
      </c>
    </row>
    <row r="92" spans="1:72" x14ac:dyDescent="0.25">
      <c r="A92" t="s">
        <v>72</v>
      </c>
      <c r="B92" t="s">
        <v>1758</v>
      </c>
      <c r="C92" t="s">
        <v>74</v>
      </c>
      <c r="D92" t="s">
        <v>74</v>
      </c>
      <c r="E92" t="s">
        <v>74</v>
      </c>
      <c r="F92" t="s">
        <v>1759</v>
      </c>
      <c r="G92" t="s">
        <v>74</v>
      </c>
      <c r="H92" t="s">
        <v>74</v>
      </c>
      <c r="I92" t="s">
        <v>1760</v>
      </c>
      <c r="J92" t="s">
        <v>128</v>
      </c>
      <c r="K92" t="s">
        <v>74</v>
      </c>
      <c r="L92" t="s">
        <v>74</v>
      </c>
      <c r="M92" t="s">
        <v>78</v>
      </c>
      <c r="N92" t="s">
        <v>79</v>
      </c>
      <c r="O92" t="s">
        <v>74</v>
      </c>
      <c r="P92" t="s">
        <v>74</v>
      </c>
      <c r="Q92" t="s">
        <v>74</v>
      </c>
      <c r="R92" t="s">
        <v>74</v>
      </c>
      <c r="S92" t="s">
        <v>74</v>
      </c>
      <c r="T92" t="s">
        <v>1761</v>
      </c>
      <c r="U92" t="s">
        <v>1762</v>
      </c>
      <c r="V92" t="s">
        <v>1763</v>
      </c>
      <c r="W92" t="s">
        <v>1764</v>
      </c>
      <c r="X92" t="s">
        <v>1765</v>
      </c>
      <c r="Y92" t="s">
        <v>1766</v>
      </c>
      <c r="Z92" t="s">
        <v>1767</v>
      </c>
      <c r="AA92" t="s">
        <v>1768</v>
      </c>
      <c r="AB92" t="s">
        <v>1769</v>
      </c>
      <c r="AC92" t="s">
        <v>74</v>
      </c>
      <c r="AD92" t="s">
        <v>74</v>
      </c>
      <c r="AE92" t="s">
        <v>74</v>
      </c>
      <c r="AF92" t="s">
        <v>74</v>
      </c>
      <c r="AG92">
        <v>80</v>
      </c>
      <c r="AH92">
        <v>40</v>
      </c>
      <c r="AI92">
        <v>40</v>
      </c>
      <c r="AJ92">
        <v>2</v>
      </c>
      <c r="AK92">
        <v>33</v>
      </c>
      <c r="AL92" t="s">
        <v>138</v>
      </c>
      <c r="AM92" t="s">
        <v>139</v>
      </c>
      <c r="AN92" t="s">
        <v>140</v>
      </c>
      <c r="AO92" t="s">
        <v>141</v>
      </c>
      <c r="AP92" t="s">
        <v>142</v>
      </c>
      <c r="AQ92" t="s">
        <v>74</v>
      </c>
      <c r="AR92" t="s">
        <v>143</v>
      </c>
      <c r="AS92" t="s">
        <v>144</v>
      </c>
      <c r="AT92" t="s">
        <v>1076</v>
      </c>
      <c r="AU92">
        <v>2021</v>
      </c>
      <c r="AV92">
        <v>214</v>
      </c>
      <c r="AW92" t="s">
        <v>74</v>
      </c>
      <c r="AX92" t="s">
        <v>74</v>
      </c>
      <c r="AY92" t="s">
        <v>74</v>
      </c>
      <c r="AZ92" t="s">
        <v>74</v>
      </c>
      <c r="BA92" t="s">
        <v>74</v>
      </c>
      <c r="BB92" t="s">
        <v>74</v>
      </c>
      <c r="BC92" t="s">
        <v>74</v>
      </c>
      <c r="BD92">
        <v>107812</v>
      </c>
      <c r="BE92" t="s">
        <v>1770</v>
      </c>
      <c r="BF92" t="str">
        <f>HYPERLINK("http://dx.doi.org/10.1016/j.ress.2021.107812","http://dx.doi.org/10.1016/j.ress.2021.107812")</f>
        <v>http://dx.doi.org/10.1016/j.ress.2021.107812</v>
      </c>
      <c r="BG92" t="s">
        <v>74</v>
      </c>
      <c r="BH92" t="s">
        <v>1771</v>
      </c>
      <c r="BI92">
        <v>17</v>
      </c>
      <c r="BJ92" t="s">
        <v>148</v>
      </c>
      <c r="BK92" t="s">
        <v>149</v>
      </c>
      <c r="BL92" t="s">
        <v>150</v>
      </c>
      <c r="BM92" t="s">
        <v>1615</v>
      </c>
      <c r="BN92" t="s">
        <v>74</v>
      </c>
      <c r="BO92" t="s">
        <v>1772</v>
      </c>
      <c r="BP92" t="s">
        <v>74</v>
      </c>
      <c r="BQ92" t="s">
        <v>74</v>
      </c>
      <c r="BR92" t="s">
        <v>104</v>
      </c>
      <c r="BS92" t="s">
        <v>1773</v>
      </c>
      <c r="BT92" t="str">
        <f>HYPERLINK("https%3A%2F%2Fwww.webofscience.com%2Fwos%2Fwoscc%2Ffull-record%2FWOS:000663912500049","View Full Record in Web of Science")</f>
        <v>View Full Record in Web of Science</v>
      </c>
    </row>
    <row r="93" spans="1:72" x14ac:dyDescent="0.25">
      <c r="A93" t="s">
        <v>72</v>
      </c>
      <c r="B93" t="s">
        <v>1774</v>
      </c>
      <c r="C93" t="s">
        <v>74</v>
      </c>
      <c r="D93" t="s">
        <v>74</v>
      </c>
      <c r="E93" t="s">
        <v>74</v>
      </c>
      <c r="F93" t="s">
        <v>1775</v>
      </c>
      <c r="G93" t="s">
        <v>74</v>
      </c>
      <c r="H93" t="s">
        <v>74</v>
      </c>
      <c r="I93" t="s">
        <v>1776</v>
      </c>
      <c r="J93" t="s">
        <v>697</v>
      </c>
      <c r="K93" t="s">
        <v>74</v>
      </c>
      <c r="L93" t="s">
        <v>74</v>
      </c>
      <c r="M93" t="s">
        <v>78</v>
      </c>
      <c r="N93" t="s">
        <v>1777</v>
      </c>
      <c r="O93" t="s">
        <v>1778</v>
      </c>
      <c r="P93" t="s">
        <v>1779</v>
      </c>
      <c r="Q93" t="s">
        <v>1780</v>
      </c>
      <c r="R93" t="s">
        <v>74</v>
      </c>
      <c r="S93" t="s">
        <v>74</v>
      </c>
      <c r="T93" t="s">
        <v>1781</v>
      </c>
      <c r="U93" t="s">
        <v>1782</v>
      </c>
      <c r="V93" t="s">
        <v>1783</v>
      </c>
      <c r="W93" t="s">
        <v>1784</v>
      </c>
      <c r="X93" t="s">
        <v>1785</v>
      </c>
      <c r="Y93" t="s">
        <v>1786</v>
      </c>
      <c r="Z93" t="s">
        <v>1787</v>
      </c>
      <c r="AA93" t="s">
        <v>74</v>
      </c>
      <c r="AB93" t="s">
        <v>74</v>
      </c>
      <c r="AC93" t="s">
        <v>1788</v>
      </c>
      <c r="AD93" t="s">
        <v>1789</v>
      </c>
      <c r="AE93" t="s">
        <v>1790</v>
      </c>
      <c r="AF93" t="s">
        <v>74</v>
      </c>
      <c r="AG93">
        <v>47</v>
      </c>
      <c r="AH93">
        <v>11</v>
      </c>
      <c r="AI93">
        <v>14</v>
      </c>
      <c r="AJ93">
        <v>1</v>
      </c>
      <c r="AK93">
        <v>38</v>
      </c>
      <c r="AL93" t="s">
        <v>707</v>
      </c>
      <c r="AM93" t="s">
        <v>246</v>
      </c>
      <c r="AN93" t="s">
        <v>708</v>
      </c>
      <c r="AO93" t="s">
        <v>709</v>
      </c>
      <c r="AP93" t="s">
        <v>710</v>
      </c>
      <c r="AQ93" t="s">
        <v>74</v>
      </c>
      <c r="AR93" t="s">
        <v>711</v>
      </c>
      <c r="AS93" t="s">
        <v>712</v>
      </c>
      <c r="AT93" t="s">
        <v>248</v>
      </c>
      <c r="AU93">
        <v>2021</v>
      </c>
      <c r="AV93">
        <v>157</v>
      </c>
      <c r="AW93" t="s">
        <v>74</v>
      </c>
      <c r="AX93" t="s">
        <v>74</v>
      </c>
      <c r="AY93" t="s">
        <v>74</v>
      </c>
      <c r="AZ93" t="s">
        <v>74</v>
      </c>
      <c r="BA93" t="s">
        <v>74</v>
      </c>
      <c r="BB93" t="s">
        <v>74</v>
      </c>
      <c r="BC93" t="s">
        <v>74</v>
      </c>
      <c r="BD93">
        <v>107335</v>
      </c>
      <c r="BE93" t="s">
        <v>1791</v>
      </c>
      <c r="BF93" t="str">
        <f>HYPERLINK("http://dx.doi.org/10.1016/j.cie.2021.107335","http://dx.doi.org/10.1016/j.cie.2021.107335")</f>
        <v>http://dx.doi.org/10.1016/j.cie.2021.107335</v>
      </c>
      <c r="BG93" t="s">
        <v>74</v>
      </c>
      <c r="BH93" t="s">
        <v>714</v>
      </c>
      <c r="BI93">
        <v>13</v>
      </c>
      <c r="BJ93" t="s">
        <v>715</v>
      </c>
      <c r="BK93" t="s">
        <v>1792</v>
      </c>
      <c r="BL93" t="s">
        <v>716</v>
      </c>
      <c r="BM93" t="s">
        <v>1793</v>
      </c>
      <c r="BN93" t="s">
        <v>74</v>
      </c>
      <c r="BO93" t="s">
        <v>74</v>
      </c>
      <c r="BP93" t="s">
        <v>74</v>
      </c>
      <c r="BQ93" t="s">
        <v>74</v>
      </c>
      <c r="BR93" t="s">
        <v>104</v>
      </c>
      <c r="BS93" t="s">
        <v>1794</v>
      </c>
      <c r="BT93" t="str">
        <f>HYPERLINK("https%3A%2F%2Fwww.webofscience.com%2Fwos%2Fwoscc%2Ffull-record%2FWOS:000659146800033","View Full Record in Web of Science")</f>
        <v>View Full Record in Web of Science</v>
      </c>
    </row>
    <row r="94" spans="1:72" x14ac:dyDescent="0.25">
      <c r="A94" t="s">
        <v>72</v>
      </c>
      <c r="B94" t="s">
        <v>1795</v>
      </c>
      <c r="C94" t="s">
        <v>74</v>
      </c>
      <c r="D94" t="s">
        <v>74</v>
      </c>
      <c r="E94" t="s">
        <v>74</v>
      </c>
      <c r="F94" t="s">
        <v>1796</v>
      </c>
      <c r="G94" t="s">
        <v>74</v>
      </c>
      <c r="H94" t="s">
        <v>74</v>
      </c>
      <c r="I94" t="s">
        <v>1797</v>
      </c>
      <c r="J94" t="s">
        <v>128</v>
      </c>
      <c r="K94" t="s">
        <v>74</v>
      </c>
      <c r="L94" t="s">
        <v>74</v>
      </c>
      <c r="M94" t="s">
        <v>78</v>
      </c>
      <c r="N94" t="s">
        <v>79</v>
      </c>
      <c r="O94" t="s">
        <v>74</v>
      </c>
      <c r="P94" t="s">
        <v>74</v>
      </c>
      <c r="Q94" t="s">
        <v>74</v>
      </c>
      <c r="R94" t="s">
        <v>74</v>
      </c>
      <c r="S94" t="s">
        <v>74</v>
      </c>
      <c r="T94" t="s">
        <v>1798</v>
      </c>
      <c r="U94" t="s">
        <v>1799</v>
      </c>
      <c r="V94" t="s">
        <v>1800</v>
      </c>
      <c r="W94" t="s">
        <v>1801</v>
      </c>
      <c r="X94" t="s">
        <v>1802</v>
      </c>
      <c r="Y94" t="s">
        <v>1803</v>
      </c>
      <c r="Z94" t="s">
        <v>1804</v>
      </c>
      <c r="AA94" t="s">
        <v>74</v>
      </c>
      <c r="AB94" t="s">
        <v>74</v>
      </c>
      <c r="AC94" t="s">
        <v>1805</v>
      </c>
      <c r="AD94" t="s">
        <v>1806</v>
      </c>
      <c r="AE94" t="s">
        <v>1807</v>
      </c>
      <c r="AF94" t="s">
        <v>74</v>
      </c>
      <c r="AG94">
        <v>43</v>
      </c>
      <c r="AH94">
        <v>8</v>
      </c>
      <c r="AI94">
        <v>8</v>
      </c>
      <c r="AJ94">
        <v>24</v>
      </c>
      <c r="AK94">
        <v>49</v>
      </c>
      <c r="AL94" t="s">
        <v>138</v>
      </c>
      <c r="AM94" t="s">
        <v>139</v>
      </c>
      <c r="AN94" t="s">
        <v>140</v>
      </c>
      <c r="AO94" t="s">
        <v>141</v>
      </c>
      <c r="AP94" t="s">
        <v>142</v>
      </c>
      <c r="AQ94" t="s">
        <v>74</v>
      </c>
      <c r="AR94" t="s">
        <v>143</v>
      </c>
      <c r="AS94" t="s">
        <v>144</v>
      </c>
      <c r="AT94" t="s">
        <v>145</v>
      </c>
      <c r="AU94">
        <v>2023</v>
      </c>
      <c r="AV94">
        <v>240</v>
      </c>
      <c r="AW94" t="s">
        <v>74</v>
      </c>
      <c r="AX94" t="s">
        <v>74</v>
      </c>
      <c r="AY94" t="s">
        <v>74</v>
      </c>
      <c r="AZ94" t="s">
        <v>74</v>
      </c>
      <c r="BA94" t="s">
        <v>74</v>
      </c>
      <c r="BB94" t="s">
        <v>74</v>
      </c>
      <c r="BC94" t="s">
        <v>74</v>
      </c>
      <c r="BD94">
        <v>109597</v>
      </c>
      <c r="BE94" t="s">
        <v>1808</v>
      </c>
      <c r="BF94" t="str">
        <f>HYPERLINK("http://dx.doi.org/10.1016/j.ress.2023.109597","http://dx.doi.org/10.1016/j.ress.2023.109597")</f>
        <v>http://dx.doi.org/10.1016/j.ress.2023.109597</v>
      </c>
      <c r="BG94" t="s">
        <v>74</v>
      </c>
      <c r="BH94" t="s">
        <v>147</v>
      </c>
      <c r="BI94">
        <v>14</v>
      </c>
      <c r="BJ94" t="s">
        <v>148</v>
      </c>
      <c r="BK94" t="s">
        <v>149</v>
      </c>
      <c r="BL94" t="s">
        <v>150</v>
      </c>
      <c r="BM94" t="s">
        <v>1809</v>
      </c>
      <c r="BN94" t="s">
        <v>74</v>
      </c>
      <c r="BO94" t="s">
        <v>74</v>
      </c>
      <c r="BP94" t="s">
        <v>74</v>
      </c>
      <c r="BQ94" t="s">
        <v>74</v>
      </c>
      <c r="BR94" t="s">
        <v>104</v>
      </c>
      <c r="BS94" t="s">
        <v>1810</v>
      </c>
      <c r="BT94" t="str">
        <f>HYPERLINK("https%3A%2F%2Fwww.webofscience.com%2Fwos%2Fwoscc%2Ffull-record%2FWOS:001072082300001","View Full Record in Web of Science")</f>
        <v>View Full Record in Web of Science</v>
      </c>
    </row>
    <row r="95" spans="1:72" x14ac:dyDescent="0.25">
      <c r="A95" t="s">
        <v>72</v>
      </c>
      <c r="B95" t="s">
        <v>1811</v>
      </c>
      <c r="C95" t="s">
        <v>74</v>
      </c>
      <c r="D95" t="s">
        <v>74</v>
      </c>
      <c r="E95" t="s">
        <v>74</v>
      </c>
      <c r="F95" t="s">
        <v>1812</v>
      </c>
      <c r="G95" t="s">
        <v>74</v>
      </c>
      <c r="H95" t="s">
        <v>74</v>
      </c>
      <c r="I95" t="s">
        <v>1813</v>
      </c>
      <c r="J95" t="s">
        <v>1814</v>
      </c>
      <c r="K95" t="s">
        <v>74</v>
      </c>
      <c r="L95" t="s">
        <v>74</v>
      </c>
      <c r="M95" t="s">
        <v>78</v>
      </c>
      <c r="N95" t="s">
        <v>79</v>
      </c>
      <c r="O95" t="s">
        <v>74</v>
      </c>
      <c r="P95" t="s">
        <v>74</v>
      </c>
      <c r="Q95" t="s">
        <v>74</v>
      </c>
      <c r="R95" t="s">
        <v>74</v>
      </c>
      <c r="S95" t="s">
        <v>74</v>
      </c>
      <c r="T95" t="s">
        <v>1815</v>
      </c>
      <c r="U95" t="s">
        <v>1816</v>
      </c>
      <c r="V95" t="s">
        <v>1817</v>
      </c>
      <c r="W95" t="s">
        <v>1818</v>
      </c>
      <c r="X95" t="s">
        <v>1819</v>
      </c>
      <c r="Y95" t="s">
        <v>1820</v>
      </c>
      <c r="Z95" t="s">
        <v>1821</v>
      </c>
      <c r="AA95" t="s">
        <v>1822</v>
      </c>
      <c r="AB95" t="s">
        <v>1823</v>
      </c>
      <c r="AC95" t="s">
        <v>74</v>
      </c>
      <c r="AD95" t="s">
        <v>74</v>
      </c>
      <c r="AE95" t="s">
        <v>74</v>
      </c>
      <c r="AF95" t="s">
        <v>74</v>
      </c>
      <c r="AG95">
        <v>43</v>
      </c>
      <c r="AH95">
        <v>4</v>
      </c>
      <c r="AI95">
        <v>4</v>
      </c>
      <c r="AJ95">
        <v>4</v>
      </c>
      <c r="AK95">
        <v>10</v>
      </c>
      <c r="AL95" t="s">
        <v>509</v>
      </c>
      <c r="AM95" t="s">
        <v>510</v>
      </c>
      <c r="AN95" t="s">
        <v>511</v>
      </c>
      <c r="AO95" t="s">
        <v>1824</v>
      </c>
      <c r="AP95" t="s">
        <v>1825</v>
      </c>
      <c r="AQ95" t="s">
        <v>74</v>
      </c>
      <c r="AR95" t="s">
        <v>1826</v>
      </c>
      <c r="AS95" t="s">
        <v>1827</v>
      </c>
      <c r="AT95" t="s">
        <v>205</v>
      </c>
      <c r="AU95">
        <v>2023</v>
      </c>
      <c r="AV95">
        <v>263</v>
      </c>
      <c r="AW95" t="s">
        <v>74</v>
      </c>
      <c r="AX95" t="s">
        <v>74</v>
      </c>
      <c r="AY95" t="s">
        <v>74</v>
      </c>
      <c r="AZ95" t="s">
        <v>74</v>
      </c>
      <c r="BA95" t="s">
        <v>74</v>
      </c>
      <c r="BB95" t="s">
        <v>74</v>
      </c>
      <c r="BC95" t="s">
        <v>74</v>
      </c>
      <c r="BD95">
        <v>108957</v>
      </c>
      <c r="BE95" t="s">
        <v>1828</v>
      </c>
      <c r="BF95" t="str">
        <f>HYPERLINK("http://dx.doi.org/10.1016/j.ijpe.2023.108957","http://dx.doi.org/10.1016/j.ijpe.2023.108957")</f>
        <v>http://dx.doi.org/10.1016/j.ijpe.2023.108957</v>
      </c>
      <c r="BG95" t="s">
        <v>74</v>
      </c>
      <c r="BH95" t="s">
        <v>1042</v>
      </c>
      <c r="BI95">
        <v>11</v>
      </c>
      <c r="BJ95" t="s">
        <v>321</v>
      </c>
      <c r="BK95" t="s">
        <v>149</v>
      </c>
      <c r="BL95" t="s">
        <v>150</v>
      </c>
      <c r="BM95" t="s">
        <v>1829</v>
      </c>
      <c r="BN95" t="s">
        <v>74</v>
      </c>
      <c r="BO95" t="s">
        <v>74</v>
      </c>
      <c r="BP95" t="s">
        <v>74</v>
      </c>
      <c r="BQ95" t="s">
        <v>74</v>
      </c>
      <c r="BR95" t="s">
        <v>104</v>
      </c>
      <c r="BS95" t="s">
        <v>1830</v>
      </c>
      <c r="BT95" t="str">
        <f>HYPERLINK("https%3A%2F%2Fwww.webofscience.com%2Fwos%2Fwoscc%2Ffull-record%2FWOS:001037672800001","View Full Record in Web of Science")</f>
        <v>View Full Record in Web of Science</v>
      </c>
    </row>
    <row r="96" spans="1:72" x14ac:dyDescent="0.25">
      <c r="A96" t="s">
        <v>72</v>
      </c>
      <c r="B96" t="s">
        <v>1831</v>
      </c>
      <c r="C96" t="s">
        <v>74</v>
      </c>
      <c r="D96" t="s">
        <v>74</v>
      </c>
      <c r="E96" t="s">
        <v>74</v>
      </c>
      <c r="F96" t="s">
        <v>1832</v>
      </c>
      <c r="G96" t="s">
        <v>74</v>
      </c>
      <c r="H96" t="s">
        <v>74</v>
      </c>
      <c r="I96" t="s">
        <v>1833</v>
      </c>
      <c r="J96" t="s">
        <v>1834</v>
      </c>
      <c r="K96" t="s">
        <v>74</v>
      </c>
      <c r="L96" t="s">
        <v>74</v>
      </c>
      <c r="M96" t="s">
        <v>78</v>
      </c>
      <c r="N96" t="s">
        <v>1777</v>
      </c>
      <c r="O96" t="s">
        <v>1835</v>
      </c>
      <c r="P96" t="s">
        <v>1836</v>
      </c>
      <c r="Q96" t="s">
        <v>1837</v>
      </c>
      <c r="R96" t="s">
        <v>74</v>
      </c>
      <c r="S96" t="s">
        <v>74</v>
      </c>
      <c r="T96" t="s">
        <v>74</v>
      </c>
      <c r="U96" t="s">
        <v>74</v>
      </c>
      <c r="V96" t="s">
        <v>1838</v>
      </c>
      <c r="W96" t="s">
        <v>1839</v>
      </c>
      <c r="X96" t="s">
        <v>1840</v>
      </c>
      <c r="Y96" t="s">
        <v>1841</v>
      </c>
      <c r="Z96" t="s">
        <v>1842</v>
      </c>
      <c r="AA96" t="s">
        <v>1843</v>
      </c>
      <c r="AB96" t="s">
        <v>1844</v>
      </c>
      <c r="AC96" t="s">
        <v>74</v>
      </c>
      <c r="AD96" t="s">
        <v>74</v>
      </c>
      <c r="AE96" t="s">
        <v>74</v>
      </c>
      <c r="AF96" t="s">
        <v>74</v>
      </c>
      <c r="AG96">
        <v>35</v>
      </c>
      <c r="AH96">
        <v>0</v>
      </c>
      <c r="AI96">
        <v>0</v>
      </c>
      <c r="AJ96">
        <v>0</v>
      </c>
      <c r="AK96">
        <v>3</v>
      </c>
      <c r="AL96" t="s">
        <v>1845</v>
      </c>
      <c r="AM96" t="s">
        <v>1846</v>
      </c>
      <c r="AN96" t="s">
        <v>1847</v>
      </c>
      <c r="AO96" t="s">
        <v>1848</v>
      </c>
      <c r="AP96" t="s">
        <v>74</v>
      </c>
      <c r="AQ96" t="s">
        <v>74</v>
      </c>
      <c r="AR96" t="s">
        <v>1849</v>
      </c>
      <c r="AS96" t="s">
        <v>1850</v>
      </c>
      <c r="AT96" t="s">
        <v>491</v>
      </c>
      <c r="AU96">
        <v>2020</v>
      </c>
      <c r="AV96">
        <v>31</v>
      </c>
      <c r="AW96">
        <v>3</v>
      </c>
      <c r="AX96" t="s">
        <v>74</v>
      </c>
      <c r="AY96" t="s">
        <v>74</v>
      </c>
      <c r="AZ96" t="s">
        <v>74</v>
      </c>
      <c r="BA96" t="s">
        <v>74</v>
      </c>
      <c r="BB96">
        <v>36</v>
      </c>
      <c r="BC96">
        <v>43</v>
      </c>
      <c r="BD96" t="s">
        <v>74</v>
      </c>
      <c r="BE96" t="s">
        <v>1851</v>
      </c>
      <c r="BF96" t="str">
        <f>HYPERLINK("http://dx.doi.org/10.7166/31-3-2420","http://dx.doi.org/10.7166/31-3-2420")</f>
        <v>http://dx.doi.org/10.7166/31-3-2420</v>
      </c>
      <c r="BG96" t="s">
        <v>74</v>
      </c>
      <c r="BH96" t="s">
        <v>74</v>
      </c>
      <c r="BI96">
        <v>8</v>
      </c>
      <c r="BJ96" t="s">
        <v>100</v>
      </c>
      <c r="BK96" t="s">
        <v>1792</v>
      </c>
      <c r="BL96" t="s">
        <v>102</v>
      </c>
      <c r="BM96" t="s">
        <v>1852</v>
      </c>
      <c r="BN96" t="s">
        <v>74</v>
      </c>
      <c r="BO96" t="s">
        <v>208</v>
      </c>
      <c r="BP96" t="s">
        <v>74</v>
      </c>
      <c r="BQ96" t="s">
        <v>74</v>
      </c>
      <c r="BR96" t="s">
        <v>104</v>
      </c>
      <c r="BS96" t="s">
        <v>1853</v>
      </c>
      <c r="BT96" t="str">
        <f>HYPERLINK("https%3A%2F%2Fwww.webofscience.com%2Fwos%2Fwoscc%2Ffull-record%2FWOS:000590436100005","View Full Record in Web of Science")</f>
        <v>View Full Record in Web of Science</v>
      </c>
    </row>
    <row r="97" spans="1:72" x14ac:dyDescent="0.25">
      <c r="A97" t="s">
        <v>72</v>
      </c>
      <c r="B97" t="s">
        <v>1854</v>
      </c>
      <c r="C97" t="s">
        <v>74</v>
      </c>
      <c r="D97" t="s">
        <v>74</v>
      </c>
      <c r="E97" t="s">
        <v>74</v>
      </c>
      <c r="F97" t="s">
        <v>1855</v>
      </c>
      <c r="G97" t="s">
        <v>74</v>
      </c>
      <c r="H97" t="s">
        <v>74</v>
      </c>
      <c r="I97" t="s">
        <v>1856</v>
      </c>
      <c r="J97" t="s">
        <v>128</v>
      </c>
      <c r="K97" t="s">
        <v>74</v>
      </c>
      <c r="L97" t="s">
        <v>74</v>
      </c>
      <c r="M97" t="s">
        <v>78</v>
      </c>
      <c r="N97" t="s">
        <v>79</v>
      </c>
      <c r="O97" t="s">
        <v>74</v>
      </c>
      <c r="P97" t="s">
        <v>74</v>
      </c>
      <c r="Q97" t="s">
        <v>74</v>
      </c>
      <c r="R97" t="s">
        <v>74</v>
      </c>
      <c r="S97" t="s">
        <v>74</v>
      </c>
      <c r="T97" t="s">
        <v>1857</v>
      </c>
      <c r="U97" t="s">
        <v>1858</v>
      </c>
      <c r="V97" t="s">
        <v>1859</v>
      </c>
      <c r="W97" t="s">
        <v>1860</v>
      </c>
      <c r="X97" t="s">
        <v>1861</v>
      </c>
      <c r="Y97" t="s">
        <v>1862</v>
      </c>
      <c r="Z97" t="s">
        <v>1863</v>
      </c>
      <c r="AA97" t="s">
        <v>74</v>
      </c>
      <c r="AB97" t="s">
        <v>74</v>
      </c>
      <c r="AC97" t="s">
        <v>1864</v>
      </c>
      <c r="AD97" t="s">
        <v>1865</v>
      </c>
      <c r="AE97" t="s">
        <v>1866</v>
      </c>
      <c r="AF97" t="s">
        <v>74</v>
      </c>
      <c r="AG97">
        <v>26</v>
      </c>
      <c r="AH97">
        <v>0</v>
      </c>
      <c r="AI97">
        <v>0</v>
      </c>
      <c r="AJ97">
        <v>8</v>
      </c>
      <c r="AK97">
        <v>8</v>
      </c>
      <c r="AL97" t="s">
        <v>138</v>
      </c>
      <c r="AM97" t="s">
        <v>139</v>
      </c>
      <c r="AN97" t="s">
        <v>140</v>
      </c>
      <c r="AO97" t="s">
        <v>141</v>
      </c>
      <c r="AP97" t="s">
        <v>142</v>
      </c>
      <c r="AQ97" t="s">
        <v>74</v>
      </c>
      <c r="AR97" t="s">
        <v>143</v>
      </c>
      <c r="AS97" t="s">
        <v>144</v>
      </c>
      <c r="AT97" t="s">
        <v>1867</v>
      </c>
      <c r="AU97">
        <v>2025</v>
      </c>
      <c r="AV97">
        <v>256</v>
      </c>
      <c r="AW97" t="s">
        <v>74</v>
      </c>
      <c r="AX97" t="s">
        <v>74</v>
      </c>
      <c r="AY97" t="s">
        <v>74</v>
      </c>
      <c r="AZ97" t="s">
        <v>74</v>
      </c>
      <c r="BA97" t="s">
        <v>74</v>
      </c>
      <c r="BB97" t="s">
        <v>74</v>
      </c>
      <c r="BC97" t="s">
        <v>74</v>
      </c>
      <c r="BD97">
        <v>110704</v>
      </c>
      <c r="BE97" t="s">
        <v>1868</v>
      </c>
      <c r="BF97" t="str">
        <f>HYPERLINK("http://dx.doi.org/10.1016/j.ress.2024.110704","http://dx.doi.org/10.1016/j.ress.2024.110704")</f>
        <v>http://dx.doi.org/10.1016/j.ress.2024.110704</v>
      </c>
      <c r="BG97" t="s">
        <v>74</v>
      </c>
      <c r="BH97" t="s">
        <v>1869</v>
      </c>
      <c r="BI97">
        <v>12</v>
      </c>
      <c r="BJ97" t="s">
        <v>148</v>
      </c>
      <c r="BK97" t="s">
        <v>149</v>
      </c>
      <c r="BL97" t="s">
        <v>150</v>
      </c>
      <c r="BM97" t="s">
        <v>1870</v>
      </c>
      <c r="BN97" t="s">
        <v>74</v>
      </c>
      <c r="BO97" t="s">
        <v>74</v>
      </c>
      <c r="BP97" t="s">
        <v>74</v>
      </c>
      <c r="BQ97" t="s">
        <v>74</v>
      </c>
      <c r="BR97" t="s">
        <v>104</v>
      </c>
      <c r="BS97" t="s">
        <v>1871</v>
      </c>
      <c r="BT97" t="str">
        <f>HYPERLINK("https%3A%2F%2Fwww.webofscience.com%2Fwos%2Fwoscc%2Ffull-record%2FWOS:001381374200001","View Full Record in Web of Science")</f>
        <v>View Full Record in Web of Science</v>
      </c>
    </row>
    <row r="98" spans="1:72" x14ac:dyDescent="0.25">
      <c r="A98" t="s">
        <v>72</v>
      </c>
      <c r="B98" t="s">
        <v>1872</v>
      </c>
      <c r="C98" t="s">
        <v>74</v>
      </c>
      <c r="D98" t="s">
        <v>74</v>
      </c>
      <c r="E98" t="s">
        <v>74</v>
      </c>
      <c r="F98" t="s">
        <v>1873</v>
      </c>
      <c r="G98" t="s">
        <v>74</v>
      </c>
      <c r="H98" t="s">
        <v>74</v>
      </c>
      <c r="I98" t="s">
        <v>1874</v>
      </c>
      <c r="J98" t="s">
        <v>299</v>
      </c>
      <c r="K98" t="s">
        <v>74</v>
      </c>
      <c r="L98" t="s">
        <v>74</v>
      </c>
      <c r="M98" t="s">
        <v>78</v>
      </c>
      <c r="N98" t="s">
        <v>79</v>
      </c>
      <c r="O98" t="s">
        <v>74</v>
      </c>
      <c r="P98" t="s">
        <v>74</v>
      </c>
      <c r="Q98" t="s">
        <v>74</v>
      </c>
      <c r="R98" t="s">
        <v>74</v>
      </c>
      <c r="S98" t="s">
        <v>74</v>
      </c>
      <c r="T98" t="s">
        <v>1875</v>
      </c>
      <c r="U98" t="s">
        <v>1876</v>
      </c>
      <c r="V98" t="s">
        <v>1877</v>
      </c>
      <c r="W98" t="s">
        <v>1878</v>
      </c>
      <c r="X98" t="s">
        <v>1879</v>
      </c>
      <c r="Y98" t="s">
        <v>1880</v>
      </c>
      <c r="Z98" t="s">
        <v>1881</v>
      </c>
      <c r="AA98" t="s">
        <v>1882</v>
      </c>
      <c r="AB98" t="s">
        <v>1883</v>
      </c>
      <c r="AC98" t="s">
        <v>1884</v>
      </c>
      <c r="AD98" t="s">
        <v>1885</v>
      </c>
      <c r="AE98" t="s">
        <v>1886</v>
      </c>
      <c r="AF98" t="s">
        <v>74</v>
      </c>
      <c r="AG98">
        <v>65</v>
      </c>
      <c r="AH98">
        <v>3</v>
      </c>
      <c r="AI98">
        <v>3</v>
      </c>
      <c r="AJ98">
        <v>8</v>
      </c>
      <c r="AK98">
        <v>25</v>
      </c>
      <c r="AL98" t="s">
        <v>311</v>
      </c>
      <c r="AM98" t="s">
        <v>312</v>
      </c>
      <c r="AN98" t="s">
        <v>313</v>
      </c>
      <c r="AO98" t="s">
        <v>314</v>
      </c>
      <c r="AP98" t="s">
        <v>315</v>
      </c>
      <c r="AQ98" t="s">
        <v>74</v>
      </c>
      <c r="AR98" t="s">
        <v>316</v>
      </c>
      <c r="AS98" t="s">
        <v>317</v>
      </c>
      <c r="AT98" t="s">
        <v>1887</v>
      </c>
      <c r="AU98">
        <v>2024</v>
      </c>
      <c r="AV98">
        <v>62</v>
      </c>
      <c r="AW98">
        <v>8</v>
      </c>
      <c r="AX98" t="s">
        <v>74</v>
      </c>
      <c r="AY98" t="s">
        <v>74</v>
      </c>
      <c r="AZ98" t="s">
        <v>560</v>
      </c>
      <c r="BA98" t="s">
        <v>74</v>
      </c>
      <c r="BB98">
        <v>2832</v>
      </c>
      <c r="BC98">
        <v>2852</v>
      </c>
      <c r="BD98" t="s">
        <v>74</v>
      </c>
      <c r="BE98" t="s">
        <v>1888</v>
      </c>
      <c r="BF98" t="str">
        <f>HYPERLINK("http://dx.doi.org/10.1080/00207543.2023.2235027","http://dx.doi.org/10.1080/00207543.2023.2235027")</f>
        <v>http://dx.doi.org/10.1080/00207543.2023.2235027</v>
      </c>
      <c r="BG98" t="s">
        <v>74</v>
      </c>
      <c r="BH98" t="s">
        <v>1155</v>
      </c>
      <c r="BI98">
        <v>21</v>
      </c>
      <c r="BJ98" t="s">
        <v>321</v>
      </c>
      <c r="BK98" t="s">
        <v>149</v>
      </c>
      <c r="BL98" t="s">
        <v>150</v>
      </c>
      <c r="BM98" t="s">
        <v>1889</v>
      </c>
      <c r="BN98" t="s">
        <v>74</v>
      </c>
      <c r="BO98" t="s">
        <v>74</v>
      </c>
      <c r="BP98" t="s">
        <v>74</v>
      </c>
      <c r="BQ98" t="s">
        <v>74</v>
      </c>
      <c r="BR98" t="s">
        <v>104</v>
      </c>
      <c r="BS98" t="s">
        <v>1890</v>
      </c>
      <c r="BT98" t="str">
        <f>HYPERLINK("https%3A%2F%2Fwww.webofscience.com%2Fwos%2Fwoscc%2Ffull-record%2FWOS:001029373400001","View Full Record in Web of Science")</f>
        <v>View Full Record in Web of Science</v>
      </c>
    </row>
    <row r="99" spans="1:72" x14ac:dyDescent="0.25">
      <c r="A99" t="s">
        <v>72</v>
      </c>
      <c r="B99" t="s">
        <v>1891</v>
      </c>
      <c r="C99" t="s">
        <v>74</v>
      </c>
      <c r="D99" t="s">
        <v>74</v>
      </c>
      <c r="E99" t="s">
        <v>74</v>
      </c>
      <c r="F99" t="s">
        <v>1892</v>
      </c>
      <c r="G99" t="s">
        <v>74</v>
      </c>
      <c r="H99" t="s">
        <v>74</v>
      </c>
      <c r="I99" t="s">
        <v>1893</v>
      </c>
      <c r="J99" t="s">
        <v>1894</v>
      </c>
      <c r="K99" t="s">
        <v>74</v>
      </c>
      <c r="L99" t="s">
        <v>74</v>
      </c>
      <c r="M99" t="s">
        <v>78</v>
      </c>
      <c r="N99" t="s">
        <v>79</v>
      </c>
      <c r="O99" t="s">
        <v>74</v>
      </c>
      <c r="P99" t="s">
        <v>74</v>
      </c>
      <c r="Q99" t="s">
        <v>74</v>
      </c>
      <c r="R99" t="s">
        <v>74</v>
      </c>
      <c r="S99" t="s">
        <v>74</v>
      </c>
      <c r="T99" t="s">
        <v>1895</v>
      </c>
      <c r="U99" t="s">
        <v>1896</v>
      </c>
      <c r="V99" t="s">
        <v>1897</v>
      </c>
      <c r="W99" t="s">
        <v>1898</v>
      </c>
      <c r="X99" t="s">
        <v>1899</v>
      </c>
      <c r="Y99" t="s">
        <v>1900</v>
      </c>
      <c r="Z99" t="s">
        <v>1901</v>
      </c>
      <c r="AA99" t="s">
        <v>74</v>
      </c>
      <c r="AB99" t="s">
        <v>1902</v>
      </c>
      <c r="AC99" t="s">
        <v>74</v>
      </c>
      <c r="AD99" t="s">
        <v>74</v>
      </c>
      <c r="AE99" t="s">
        <v>74</v>
      </c>
      <c r="AF99" t="s">
        <v>74</v>
      </c>
      <c r="AG99">
        <v>31</v>
      </c>
      <c r="AH99">
        <v>30</v>
      </c>
      <c r="AI99">
        <v>32</v>
      </c>
      <c r="AJ99">
        <v>4</v>
      </c>
      <c r="AK99">
        <v>24</v>
      </c>
      <c r="AL99" t="s">
        <v>138</v>
      </c>
      <c r="AM99" t="s">
        <v>246</v>
      </c>
      <c r="AN99" t="s">
        <v>247</v>
      </c>
      <c r="AO99" t="s">
        <v>1903</v>
      </c>
      <c r="AP99" t="s">
        <v>1904</v>
      </c>
      <c r="AQ99" t="s">
        <v>74</v>
      </c>
      <c r="AR99" t="s">
        <v>1905</v>
      </c>
      <c r="AS99" t="s">
        <v>1906</v>
      </c>
      <c r="AT99" t="s">
        <v>248</v>
      </c>
      <c r="AU99">
        <v>2019</v>
      </c>
      <c r="AV99">
        <v>52</v>
      </c>
      <c r="AW99" t="s">
        <v>74</v>
      </c>
      <c r="AX99" t="s">
        <v>1907</v>
      </c>
      <c r="AY99" t="s">
        <v>74</v>
      </c>
      <c r="AZ99" t="s">
        <v>74</v>
      </c>
      <c r="BA99" t="s">
        <v>74</v>
      </c>
      <c r="BB99">
        <v>110</v>
      </c>
      <c r="BC99">
        <v>120</v>
      </c>
      <c r="BD99" t="s">
        <v>74</v>
      </c>
      <c r="BE99" t="s">
        <v>1908</v>
      </c>
      <c r="BF99" t="str">
        <f>HYPERLINK("http://dx.doi.org/10.1016/j.jmsy.2019.06.002","http://dx.doi.org/10.1016/j.jmsy.2019.06.002")</f>
        <v>http://dx.doi.org/10.1016/j.jmsy.2019.06.002</v>
      </c>
      <c r="BG99" t="s">
        <v>74</v>
      </c>
      <c r="BH99" t="s">
        <v>74</v>
      </c>
      <c r="BI99">
        <v>11</v>
      </c>
      <c r="BJ99" t="s">
        <v>321</v>
      </c>
      <c r="BK99" t="s">
        <v>149</v>
      </c>
      <c r="BL99" t="s">
        <v>150</v>
      </c>
      <c r="BM99" t="s">
        <v>1909</v>
      </c>
      <c r="BN99" t="s">
        <v>74</v>
      </c>
      <c r="BO99" t="s">
        <v>74</v>
      </c>
      <c r="BP99" t="s">
        <v>74</v>
      </c>
      <c r="BQ99" t="s">
        <v>74</v>
      </c>
      <c r="BR99" t="s">
        <v>104</v>
      </c>
      <c r="BS99" t="s">
        <v>1910</v>
      </c>
      <c r="BT99" t="str">
        <f>HYPERLINK("https%3A%2F%2Fwww.webofscience.com%2Fwos%2Fwoscc%2Ffull-record%2FWOS:000488660800011","View Full Record in Web of Science")</f>
        <v>View Full Record in Web of Science</v>
      </c>
    </row>
    <row r="100" spans="1:72" x14ac:dyDescent="0.25">
      <c r="A100" t="s">
        <v>72</v>
      </c>
      <c r="B100" t="s">
        <v>1911</v>
      </c>
      <c r="C100" t="s">
        <v>74</v>
      </c>
      <c r="D100" t="s">
        <v>74</v>
      </c>
      <c r="E100" t="s">
        <v>74</v>
      </c>
      <c r="F100" t="s">
        <v>1912</v>
      </c>
      <c r="G100" t="s">
        <v>74</v>
      </c>
      <c r="H100" t="s">
        <v>74</v>
      </c>
      <c r="I100" t="s">
        <v>1913</v>
      </c>
      <c r="J100" t="s">
        <v>1894</v>
      </c>
      <c r="K100" t="s">
        <v>74</v>
      </c>
      <c r="L100" t="s">
        <v>74</v>
      </c>
      <c r="M100" t="s">
        <v>78</v>
      </c>
      <c r="N100" t="s">
        <v>79</v>
      </c>
      <c r="O100" t="s">
        <v>74</v>
      </c>
      <c r="P100" t="s">
        <v>74</v>
      </c>
      <c r="Q100" t="s">
        <v>74</v>
      </c>
      <c r="R100" t="s">
        <v>74</v>
      </c>
      <c r="S100" t="s">
        <v>74</v>
      </c>
      <c r="T100" t="s">
        <v>1914</v>
      </c>
      <c r="U100" t="s">
        <v>1915</v>
      </c>
      <c r="V100" t="s">
        <v>1916</v>
      </c>
      <c r="W100" t="s">
        <v>1917</v>
      </c>
      <c r="X100" t="s">
        <v>1918</v>
      </c>
      <c r="Y100" t="s">
        <v>1919</v>
      </c>
      <c r="Z100" t="s">
        <v>1920</v>
      </c>
      <c r="AA100" t="s">
        <v>1921</v>
      </c>
      <c r="AB100" t="s">
        <v>1922</v>
      </c>
      <c r="AC100" t="s">
        <v>1923</v>
      </c>
      <c r="AD100" t="s">
        <v>1924</v>
      </c>
      <c r="AE100" t="s">
        <v>1925</v>
      </c>
      <c r="AF100" t="s">
        <v>74</v>
      </c>
      <c r="AG100">
        <v>26</v>
      </c>
      <c r="AH100">
        <v>20</v>
      </c>
      <c r="AI100">
        <v>20</v>
      </c>
      <c r="AJ100">
        <v>7</v>
      </c>
      <c r="AK100">
        <v>53</v>
      </c>
      <c r="AL100" t="s">
        <v>138</v>
      </c>
      <c r="AM100" t="s">
        <v>246</v>
      </c>
      <c r="AN100" t="s">
        <v>247</v>
      </c>
      <c r="AO100" t="s">
        <v>1903</v>
      </c>
      <c r="AP100" t="s">
        <v>1904</v>
      </c>
      <c r="AQ100" t="s">
        <v>74</v>
      </c>
      <c r="AR100" t="s">
        <v>1905</v>
      </c>
      <c r="AS100" t="s">
        <v>1906</v>
      </c>
      <c r="AT100" t="s">
        <v>248</v>
      </c>
      <c r="AU100">
        <v>2020</v>
      </c>
      <c r="AV100">
        <v>56</v>
      </c>
      <c r="AW100" t="s">
        <v>74</v>
      </c>
      <c r="AX100" t="s">
        <v>74</v>
      </c>
      <c r="AY100" t="s">
        <v>74</v>
      </c>
      <c r="AZ100" t="s">
        <v>74</v>
      </c>
      <c r="BA100" t="s">
        <v>74</v>
      </c>
      <c r="BB100">
        <v>452</v>
      </c>
      <c r="BC100">
        <v>462</v>
      </c>
      <c r="BD100" t="s">
        <v>74</v>
      </c>
      <c r="BE100" t="s">
        <v>1926</v>
      </c>
      <c r="BF100" t="str">
        <f>HYPERLINK("http://dx.doi.org/10.1016/j.jmsy.2020.07.002","http://dx.doi.org/10.1016/j.jmsy.2020.07.002")</f>
        <v>http://dx.doi.org/10.1016/j.jmsy.2020.07.002</v>
      </c>
      <c r="BG100" t="s">
        <v>74</v>
      </c>
      <c r="BH100" t="s">
        <v>74</v>
      </c>
      <c r="BI100">
        <v>11</v>
      </c>
      <c r="BJ100" t="s">
        <v>321</v>
      </c>
      <c r="BK100" t="s">
        <v>149</v>
      </c>
      <c r="BL100" t="s">
        <v>150</v>
      </c>
      <c r="BM100" t="s">
        <v>1927</v>
      </c>
      <c r="BN100" t="s">
        <v>74</v>
      </c>
      <c r="BO100" t="s">
        <v>74</v>
      </c>
      <c r="BP100" t="s">
        <v>74</v>
      </c>
      <c r="BQ100" t="s">
        <v>74</v>
      </c>
      <c r="BR100" t="s">
        <v>104</v>
      </c>
      <c r="BS100" t="s">
        <v>1928</v>
      </c>
      <c r="BT100" t="str">
        <f>HYPERLINK("https%3A%2F%2Fwww.webofscience.com%2Fwos%2Fwoscc%2Ffull-record%2FWOS:000572349100009","View Full Record in Web of Science")</f>
        <v>View Full Record in Web of Science</v>
      </c>
    </row>
    <row r="101" spans="1:72" x14ac:dyDescent="0.25">
      <c r="A101" t="s">
        <v>72</v>
      </c>
      <c r="B101" t="s">
        <v>1929</v>
      </c>
      <c r="C101" t="s">
        <v>74</v>
      </c>
      <c r="D101" t="s">
        <v>74</v>
      </c>
      <c r="E101" t="s">
        <v>74</v>
      </c>
      <c r="F101" t="s">
        <v>1930</v>
      </c>
      <c r="G101" t="s">
        <v>74</v>
      </c>
      <c r="H101" t="s">
        <v>74</v>
      </c>
      <c r="I101" t="s">
        <v>1931</v>
      </c>
      <c r="J101" t="s">
        <v>1932</v>
      </c>
      <c r="K101" t="s">
        <v>74</v>
      </c>
      <c r="L101" t="s">
        <v>74</v>
      </c>
      <c r="M101" t="s">
        <v>78</v>
      </c>
      <c r="N101" t="s">
        <v>79</v>
      </c>
      <c r="O101" t="s">
        <v>74</v>
      </c>
      <c r="P101" t="s">
        <v>74</v>
      </c>
      <c r="Q101" t="s">
        <v>74</v>
      </c>
      <c r="R101" t="s">
        <v>74</v>
      </c>
      <c r="S101" t="s">
        <v>74</v>
      </c>
      <c r="T101" t="s">
        <v>1933</v>
      </c>
      <c r="U101" t="s">
        <v>1934</v>
      </c>
      <c r="V101" t="s">
        <v>1935</v>
      </c>
      <c r="W101" t="s">
        <v>1936</v>
      </c>
      <c r="X101" t="s">
        <v>1937</v>
      </c>
      <c r="Y101" t="s">
        <v>1938</v>
      </c>
      <c r="Z101" t="s">
        <v>1939</v>
      </c>
      <c r="AA101" t="s">
        <v>1940</v>
      </c>
      <c r="AB101" t="s">
        <v>1941</v>
      </c>
      <c r="AC101" t="s">
        <v>74</v>
      </c>
      <c r="AD101" t="s">
        <v>74</v>
      </c>
      <c r="AE101" t="s">
        <v>74</v>
      </c>
      <c r="AF101" t="s">
        <v>74</v>
      </c>
      <c r="AG101">
        <v>38</v>
      </c>
      <c r="AH101">
        <v>19</v>
      </c>
      <c r="AI101">
        <v>19</v>
      </c>
      <c r="AJ101">
        <v>5</v>
      </c>
      <c r="AK101">
        <v>60</v>
      </c>
      <c r="AL101" t="s">
        <v>1942</v>
      </c>
      <c r="AM101" t="s">
        <v>1943</v>
      </c>
      <c r="AN101" t="s">
        <v>1944</v>
      </c>
      <c r="AO101" t="s">
        <v>1945</v>
      </c>
      <c r="AP101" t="s">
        <v>1946</v>
      </c>
      <c r="AQ101" t="s">
        <v>74</v>
      </c>
      <c r="AR101" t="s">
        <v>1947</v>
      </c>
      <c r="AS101" t="s">
        <v>1948</v>
      </c>
      <c r="AT101" t="s">
        <v>1949</v>
      </c>
      <c r="AU101">
        <v>2020</v>
      </c>
      <c r="AV101">
        <v>17</v>
      </c>
      <c r="AW101">
        <v>2</v>
      </c>
      <c r="AX101" t="s">
        <v>74</v>
      </c>
      <c r="AY101" t="s">
        <v>74</v>
      </c>
      <c r="AZ101" t="s">
        <v>74</v>
      </c>
      <c r="BA101" t="s">
        <v>74</v>
      </c>
      <c r="BB101">
        <v>186</v>
      </c>
      <c r="BC101">
        <v>202</v>
      </c>
      <c r="BD101" t="s">
        <v>74</v>
      </c>
      <c r="BE101" t="s">
        <v>1950</v>
      </c>
      <c r="BF101" t="str">
        <f>HYPERLINK("http://dx.doi.org/10.1080/16843703.2019.1567664","http://dx.doi.org/10.1080/16843703.2019.1567664")</f>
        <v>http://dx.doi.org/10.1080/16843703.2019.1567664</v>
      </c>
      <c r="BG101" t="s">
        <v>74</v>
      </c>
      <c r="BH101" t="s">
        <v>74</v>
      </c>
      <c r="BI101">
        <v>17</v>
      </c>
      <c r="BJ101" t="s">
        <v>1951</v>
      </c>
      <c r="BK101" t="s">
        <v>149</v>
      </c>
      <c r="BL101" t="s">
        <v>1952</v>
      </c>
      <c r="BM101" t="s">
        <v>1953</v>
      </c>
      <c r="BN101" t="s">
        <v>74</v>
      </c>
      <c r="BO101" t="s">
        <v>1044</v>
      </c>
      <c r="BP101" t="s">
        <v>74</v>
      </c>
      <c r="BQ101" t="s">
        <v>74</v>
      </c>
      <c r="BR101" t="s">
        <v>104</v>
      </c>
      <c r="BS101" t="s">
        <v>1954</v>
      </c>
      <c r="BT101" t="str">
        <f>HYPERLINK("https%3A%2F%2Fwww.webofscience.com%2Fwos%2Fwoscc%2Ffull-record%2FWOS:000510486800004","View Full Record in Web of Science")</f>
        <v>View Full Record in Web of Science</v>
      </c>
    </row>
    <row r="102" spans="1:72" x14ac:dyDescent="0.25">
      <c r="A102" t="s">
        <v>72</v>
      </c>
      <c r="B102" t="s">
        <v>1955</v>
      </c>
      <c r="C102" t="s">
        <v>74</v>
      </c>
      <c r="D102" t="s">
        <v>74</v>
      </c>
      <c r="E102" t="s">
        <v>74</v>
      </c>
      <c r="F102" t="s">
        <v>1956</v>
      </c>
      <c r="G102" t="s">
        <v>74</v>
      </c>
      <c r="H102" t="s">
        <v>74</v>
      </c>
      <c r="I102" t="s">
        <v>1957</v>
      </c>
      <c r="J102" t="s">
        <v>940</v>
      </c>
      <c r="K102" t="s">
        <v>74</v>
      </c>
      <c r="L102" t="s">
        <v>74</v>
      </c>
      <c r="M102" t="s">
        <v>78</v>
      </c>
      <c r="N102" t="s">
        <v>79</v>
      </c>
      <c r="O102" t="s">
        <v>74</v>
      </c>
      <c r="P102" t="s">
        <v>74</v>
      </c>
      <c r="Q102" t="s">
        <v>74</v>
      </c>
      <c r="R102" t="s">
        <v>74</v>
      </c>
      <c r="S102" t="s">
        <v>74</v>
      </c>
      <c r="T102" t="s">
        <v>1958</v>
      </c>
      <c r="U102" t="s">
        <v>1959</v>
      </c>
      <c r="V102" t="s">
        <v>1960</v>
      </c>
      <c r="W102" t="s">
        <v>1961</v>
      </c>
      <c r="X102" t="s">
        <v>1962</v>
      </c>
      <c r="Y102" t="s">
        <v>1963</v>
      </c>
      <c r="Z102" t="s">
        <v>1964</v>
      </c>
      <c r="AA102" t="s">
        <v>1965</v>
      </c>
      <c r="AB102" t="s">
        <v>1966</v>
      </c>
      <c r="AC102" t="s">
        <v>1967</v>
      </c>
      <c r="AD102" t="s">
        <v>1968</v>
      </c>
      <c r="AE102" t="s">
        <v>1969</v>
      </c>
      <c r="AF102" t="s">
        <v>74</v>
      </c>
      <c r="AG102">
        <v>49</v>
      </c>
      <c r="AH102">
        <v>32</v>
      </c>
      <c r="AI102">
        <v>32</v>
      </c>
      <c r="AJ102">
        <v>24</v>
      </c>
      <c r="AK102">
        <v>113</v>
      </c>
      <c r="AL102" t="s">
        <v>220</v>
      </c>
      <c r="AM102" t="s">
        <v>221</v>
      </c>
      <c r="AN102" t="s">
        <v>222</v>
      </c>
      <c r="AO102" t="s">
        <v>950</v>
      </c>
      <c r="AP102" t="s">
        <v>951</v>
      </c>
      <c r="AQ102" t="s">
        <v>74</v>
      </c>
      <c r="AR102" t="s">
        <v>952</v>
      </c>
      <c r="AS102" t="s">
        <v>953</v>
      </c>
      <c r="AT102" t="s">
        <v>74</v>
      </c>
      <c r="AU102">
        <v>2024</v>
      </c>
      <c r="AV102">
        <v>71</v>
      </c>
      <c r="AW102" t="s">
        <v>74</v>
      </c>
      <c r="AX102" t="s">
        <v>74</v>
      </c>
      <c r="AY102" t="s">
        <v>74</v>
      </c>
      <c r="AZ102" t="s">
        <v>74</v>
      </c>
      <c r="BA102" t="s">
        <v>74</v>
      </c>
      <c r="BB102">
        <v>1086</v>
      </c>
      <c r="BC102">
        <v>1102</v>
      </c>
      <c r="BD102" t="s">
        <v>74</v>
      </c>
      <c r="BE102" t="s">
        <v>1970</v>
      </c>
      <c r="BF102" t="str">
        <f>HYPERLINK("http://dx.doi.org/10.1109/TEM.2022.3146361","http://dx.doi.org/10.1109/TEM.2022.3146361")</f>
        <v>http://dx.doi.org/10.1109/TEM.2022.3146361</v>
      </c>
      <c r="BG102" t="s">
        <v>74</v>
      </c>
      <c r="BH102" t="s">
        <v>1971</v>
      </c>
      <c r="BI102">
        <v>17</v>
      </c>
      <c r="BJ102" t="s">
        <v>955</v>
      </c>
      <c r="BK102" t="s">
        <v>322</v>
      </c>
      <c r="BL102" t="s">
        <v>956</v>
      </c>
      <c r="BM102" t="s">
        <v>1972</v>
      </c>
      <c r="BN102" t="s">
        <v>74</v>
      </c>
      <c r="BO102" t="s">
        <v>74</v>
      </c>
      <c r="BP102" t="s">
        <v>74</v>
      </c>
      <c r="BQ102" t="s">
        <v>74</v>
      </c>
      <c r="BR102" t="s">
        <v>104</v>
      </c>
      <c r="BS102" t="s">
        <v>1973</v>
      </c>
      <c r="BT102" t="str">
        <f>HYPERLINK("https%3A%2F%2Fwww.webofscience.com%2Fwos%2Fwoscc%2Ffull-record%2FWOS:000761645300001","View Full Record in Web of Science")</f>
        <v>View Full Record in Web of Science</v>
      </c>
    </row>
    <row r="103" spans="1:72" x14ac:dyDescent="0.25">
      <c r="A103" t="s">
        <v>72</v>
      </c>
      <c r="B103" t="s">
        <v>1974</v>
      </c>
      <c r="C103" t="s">
        <v>74</v>
      </c>
      <c r="D103" t="s">
        <v>74</v>
      </c>
      <c r="E103" t="s">
        <v>74</v>
      </c>
      <c r="F103" t="s">
        <v>1975</v>
      </c>
      <c r="G103" t="s">
        <v>74</v>
      </c>
      <c r="H103" t="s">
        <v>74</v>
      </c>
      <c r="I103" t="s">
        <v>1976</v>
      </c>
      <c r="J103" t="s">
        <v>128</v>
      </c>
      <c r="K103" t="s">
        <v>74</v>
      </c>
      <c r="L103" t="s">
        <v>74</v>
      </c>
      <c r="M103" t="s">
        <v>78</v>
      </c>
      <c r="N103" t="s">
        <v>79</v>
      </c>
      <c r="O103" t="s">
        <v>74</v>
      </c>
      <c r="P103" t="s">
        <v>74</v>
      </c>
      <c r="Q103" t="s">
        <v>74</v>
      </c>
      <c r="R103" t="s">
        <v>74</v>
      </c>
      <c r="S103" t="s">
        <v>74</v>
      </c>
      <c r="T103" t="s">
        <v>1977</v>
      </c>
      <c r="U103" t="s">
        <v>1978</v>
      </c>
      <c r="V103" t="s">
        <v>1979</v>
      </c>
      <c r="W103" t="s">
        <v>1980</v>
      </c>
      <c r="X103" t="s">
        <v>1981</v>
      </c>
      <c r="Y103" t="s">
        <v>1982</v>
      </c>
      <c r="Z103" t="s">
        <v>806</v>
      </c>
      <c r="AA103" t="s">
        <v>705</v>
      </c>
      <c r="AB103" t="s">
        <v>1280</v>
      </c>
      <c r="AC103" t="s">
        <v>1983</v>
      </c>
      <c r="AD103" t="s">
        <v>1984</v>
      </c>
      <c r="AE103" t="s">
        <v>1985</v>
      </c>
      <c r="AF103" t="s">
        <v>74</v>
      </c>
      <c r="AG103">
        <v>36</v>
      </c>
      <c r="AH103">
        <v>26</v>
      </c>
      <c r="AI103">
        <v>26</v>
      </c>
      <c r="AJ103">
        <v>17</v>
      </c>
      <c r="AK103">
        <v>65</v>
      </c>
      <c r="AL103" t="s">
        <v>138</v>
      </c>
      <c r="AM103" t="s">
        <v>246</v>
      </c>
      <c r="AN103" t="s">
        <v>247</v>
      </c>
      <c r="AO103" t="s">
        <v>141</v>
      </c>
      <c r="AP103" t="s">
        <v>142</v>
      </c>
      <c r="AQ103" t="s">
        <v>74</v>
      </c>
      <c r="AR103" t="s">
        <v>143</v>
      </c>
      <c r="AS103" t="s">
        <v>144</v>
      </c>
      <c r="AT103" t="s">
        <v>145</v>
      </c>
      <c r="AU103">
        <v>2022</v>
      </c>
      <c r="AV103">
        <v>228</v>
      </c>
      <c r="AW103" t="s">
        <v>74</v>
      </c>
      <c r="AX103" t="s">
        <v>74</v>
      </c>
      <c r="AY103" t="s">
        <v>74</v>
      </c>
      <c r="AZ103" t="s">
        <v>74</v>
      </c>
      <c r="BA103" t="s">
        <v>74</v>
      </c>
      <c r="BB103" t="s">
        <v>74</v>
      </c>
      <c r="BC103" t="s">
        <v>74</v>
      </c>
      <c r="BD103">
        <v>108755</v>
      </c>
      <c r="BE103" t="s">
        <v>1986</v>
      </c>
      <c r="BF103" t="str">
        <f>HYPERLINK("http://dx.doi.org/10.1016/j.ress.2022.108755","http://dx.doi.org/10.1016/j.ress.2022.108755")</f>
        <v>http://dx.doi.org/10.1016/j.ress.2022.108755</v>
      </c>
      <c r="BG103" t="s">
        <v>74</v>
      </c>
      <c r="BH103" t="s">
        <v>658</v>
      </c>
      <c r="BI103">
        <v>15</v>
      </c>
      <c r="BJ103" t="s">
        <v>148</v>
      </c>
      <c r="BK103" t="s">
        <v>149</v>
      </c>
      <c r="BL103" t="s">
        <v>150</v>
      </c>
      <c r="BM103" t="s">
        <v>1987</v>
      </c>
      <c r="BN103" t="s">
        <v>74</v>
      </c>
      <c r="BO103" t="s">
        <v>400</v>
      </c>
      <c r="BP103" t="s">
        <v>74</v>
      </c>
      <c r="BQ103" t="s">
        <v>74</v>
      </c>
      <c r="BR103" t="s">
        <v>104</v>
      </c>
      <c r="BS103" t="s">
        <v>1988</v>
      </c>
      <c r="BT103" t="str">
        <f>HYPERLINK("https%3A%2F%2Fwww.webofscience.com%2Fwos%2Fwoscc%2Ffull-record%2FWOS:000864737700008","View Full Record in Web of Science")</f>
        <v>View Full Record in Web of Science</v>
      </c>
    </row>
    <row r="104" spans="1:72" x14ac:dyDescent="0.25">
      <c r="A104" t="s">
        <v>72</v>
      </c>
      <c r="B104" t="s">
        <v>1989</v>
      </c>
      <c r="C104" t="s">
        <v>74</v>
      </c>
      <c r="D104" t="s">
        <v>74</v>
      </c>
      <c r="E104" t="s">
        <v>74</v>
      </c>
      <c r="F104" t="s">
        <v>1990</v>
      </c>
      <c r="G104" t="s">
        <v>74</v>
      </c>
      <c r="H104" t="s">
        <v>74</v>
      </c>
      <c r="I104" t="s">
        <v>1991</v>
      </c>
      <c r="J104" t="s">
        <v>128</v>
      </c>
      <c r="K104" t="s">
        <v>74</v>
      </c>
      <c r="L104" t="s">
        <v>74</v>
      </c>
      <c r="M104" t="s">
        <v>78</v>
      </c>
      <c r="N104" t="s">
        <v>79</v>
      </c>
      <c r="O104" t="s">
        <v>74</v>
      </c>
      <c r="P104" t="s">
        <v>74</v>
      </c>
      <c r="Q104" t="s">
        <v>74</v>
      </c>
      <c r="R104" t="s">
        <v>74</v>
      </c>
      <c r="S104" t="s">
        <v>74</v>
      </c>
      <c r="T104" t="s">
        <v>1992</v>
      </c>
      <c r="U104" t="s">
        <v>1993</v>
      </c>
      <c r="V104" t="s">
        <v>1994</v>
      </c>
      <c r="W104" t="s">
        <v>1995</v>
      </c>
      <c r="X104" t="s">
        <v>1996</v>
      </c>
      <c r="Y104" t="s">
        <v>1997</v>
      </c>
      <c r="Z104" t="s">
        <v>1998</v>
      </c>
      <c r="AA104" t="s">
        <v>74</v>
      </c>
      <c r="AB104" t="s">
        <v>1999</v>
      </c>
      <c r="AC104" t="s">
        <v>2000</v>
      </c>
      <c r="AD104" t="s">
        <v>482</v>
      </c>
      <c r="AE104" t="s">
        <v>2001</v>
      </c>
      <c r="AF104" t="s">
        <v>74</v>
      </c>
      <c r="AG104">
        <v>43</v>
      </c>
      <c r="AH104">
        <v>1</v>
      </c>
      <c r="AI104">
        <v>1</v>
      </c>
      <c r="AJ104">
        <v>11</v>
      </c>
      <c r="AK104">
        <v>14</v>
      </c>
      <c r="AL104" t="s">
        <v>138</v>
      </c>
      <c r="AM104" t="s">
        <v>139</v>
      </c>
      <c r="AN104" t="s">
        <v>140</v>
      </c>
      <c r="AO104" t="s">
        <v>141</v>
      </c>
      <c r="AP104" t="s">
        <v>142</v>
      </c>
      <c r="AQ104" t="s">
        <v>74</v>
      </c>
      <c r="AR104" t="s">
        <v>143</v>
      </c>
      <c r="AS104" t="s">
        <v>144</v>
      </c>
      <c r="AT104" t="s">
        <v>248</v>
      </c>
      <c r="AU104">
        <v>2024</v>
      </c>
      <c r="AV104">
        <v>247</v>
      </c>
      <c r="AW104" t="s">
        <v>74</v>
      </c>
      <c r="AX104" t="s">
        <v>74</v>
      </c>
      <c r="AY104" t="s">
        <v>74</v>
      </c>
      <c r="AZ104" t="s">
        <v>74</v>
      </c>
      <c r="BA104" t="s">
        <v>74</v>
      </c>
      <c r="BB104" t="s">
        <v>74</v>
      </c>
      <c r="BC104" t="s">
        <v>74</v>
      </c>
      <c r="BD104">
        <v>110069</v>
      </c>
      <c r="BE104" t="s">
        <v>2002</v>
      </c>
      <c r="BF104" t="str">
        <f>HYPERLINK("http://dx.doi.org/10.1016/j.ress.2024.110069","http://dx.doi.org/10.1016/j.ress.2024.110069")</f>
        <v>http://dx.doi.org/10.1016/j.ress.2024.110069</v>
      </c>
      <c r="BG104" t="s">
        <v>74</v>
      </c>
      <c r="BH104" t="s">
        <v>2003</v>
      </c>
      <c r="BI104">
        <v>13</v>
      </c>
      <c r="BJ104" t="s">
        <v>148</v>
      </c>
      <c r="BK104" t="s">
        <v>149</v>
      </c>
      <c r="BL104" t="s">
        <v>150</v>
      </c>
      <c r="BM104" t="s">
        <v>2004</v>
      </c>
      <c r="BN104" t="s">
        <v>74</v>
      </c>
      <c r="BO104" t="s">
        <v>74</v>
      </c>
      <c r="BP104" t="s">
        <v>74</v>
      </c>
      <c r="BQ104" t="s">
        <v>74</v>
      </c>
      <c r="BR104" t="s">
        <v>104</v>
      </c>
      <c r="BS104" t="s">
        <v>2005</v>
      </c>
      <c r="BT104" t="str">
        <f>HYPERLINK("https%3A%2F%2Fwww.webofscience.com%2Fwos%2Fwoscc%2Ffull-record%2FWOS:001218231700001","View Full Record in Web of Science")</f>
        <v>View Full Record in Web of Science</v>
      </c>
    </row>
    <row r="105" spans="1:72" x14ac:dyDescent="0.25">
      <c r="A105" t="s">
        <v>72</v>
      </c>
      <c r="B105" t="s">
        <v>2006</v>
      </c>
      <c r="C105" t="s">
        <v>74</v>
      </c>
      <c r="D105" t="s">
        <v>74</v>
      </c>
      <c r="E105" t="s">
        <v>74</v>
      </c>
      <c r="F105" t="s">
        <v>2007</v>
      </c>
      <c r="G105" t="s">
        <v>74</v>
      </c>
      <c r="H105" t="s">
        <v>74</v>
      </c>
      <c r="I105" t="s">
        <v>2008</v>
      </c>
      <c r="J105" t="s">
        <v>299</v>
      </c>
      <c r="K105" t="s">
        <v>74</v>
      </c>
      <c r="L105" t="s">
        <v>74</v>
      </c>
      <c r="M105" t="s">
        <v>78</v>
      </c>
      <c r="N105" t="s">
        <v>79</v>
      </c>
      <c r="O105" t="s">
        <v>74</v>
      </c>
      <c r="P105" t="s">
        <v>74</v>
      </c>
      <c r="Q105" t="s">
        <v>74</v>
      </c>
      <c r="R105" t="s">
        <v>74</v>
      </c>
      <c r="S105" t="s">
        <v>74</v>
      </c>
      <c r="T105" t="s">
        <v>2009</v>
      </c>
      <c r="U105" t="s">
        <v>2010</v>
      </c>
      <c r="V105" t="s">
        <v>2011</v>
      </c>
      <c r="W105" t="s">
        <v>2012</v>
      </c>
      <c r="X105" t="s">
        <v>2013</v>
      </c>
      <c r="Y105" t="s">
        <v>2014</v>
      </c>
      <c r="Z105" t="s">
        <v>2015</v>
      </c>
      <c r="AA105" t="s">
        <v>2016</v>
      </c>
      <c r="AB105" t="s">
        <v>2017</v>
      </c>
      <c r="AC105" t="s">
        <v>2018</v>
      </c>
      <c r="AD105" t="s">
        <v>2018</v>
      </c>
      <c r="AE105" t="s">
        <v>2019</v>
      </c>
      <c r="AF105" t="s">
        <v>74</v>
      </c>
      <c r="AG105">
        <v>40</v>
      </c>
      <c r="AH105">
        <v>2</v>
      </c>
      <c r="AI105">
        <v>2</v>
      </c>
      <c r="AJ105">
        <v>8</v>
      </c>
      <c r="AK105">
        <v>25</v>
      </c>
      <c r="AL105" t="s">
        <v>311</v>
      </c>
      <c r="AM105" t="s">
        <v>312</v>
      </c>
      <c r="AN105" t="s">
        <v>313</v>
      </c>
      <c r="AO105" t="s">
        <v>314</v>
      </c>
      <c r="AP105" t="s">
        <v>315</v>
      </c>
      <c r="AQ105" t="s">
        <v>74</v>
      </c>
      <c r="AR105" t="s">
        <v>316</v>
      </c>
      <c r="AS105" t="s">
        <v>317</v>
      </c>
      <c r="AT105" t="s">
        <v>2020</v>
      </c>
      <c r="AU105">
        <v>2023</v>
      </c>
      <c r="AV105">
        <v>61</v>
      </c>
      <c r="AW105">
        <v>23</v>
      </c>
      <c r="AX105" t="s">
        <v>74</v>
      </c>
      <c r="AY105" t="s">
        <v>74</v>
      </c>
      <c r="AZ105" t="s">
        <v>560</v>
      </c>
      <c r="BA105" t="s">
        <v>74</v>
      </c>
      <c r="BB105">
        <v>8291</v>
      </c>
      <c r="BC105">
        <v>8308</v>
      </c>
      <c r="BD105" t="s">
        <v>74</v>
      </c>
      <c r="BE105" t="s">
        <v>2021</v>
      </c>
      <c r="BF105" t="str">
        <f>HYPERLINK("http://dx.doi.org/10.1080/00207543.2023.2168083","http://dx.doi.org/10.1080/00207543.2023.2168083")</f>
        <v>http://dx.doi.org/10.1080/00207543.2023.2168083</v>
      </c>
      <c r="BG105" t="s">
        <v>74</v>
      </c>
      <c r="BH105" t="s">
        <v>2022</v>
      </c>
      <c r="BI105">
        <v>18</v>
      </c>
      <c r="BJ105" t="s">
        <v>321</v>
      </c>
      <c r="BK105" t="s">
        <v>149</v>
      </c>
      <c r="BL105" t="s">
        <v>150</v>
      </c>
      <c r="BM105" t="s">
        <v>2023</v>
      </c>
      <c r="BN105" t="s">
        <v>74</v>
      </c>
      <c r="BO105" t="s">
        <v>74</v>
      </c>
      <c r="BP105" t="s">
        <v>74</v>
      </c>
      <c r="BQ105" t="s">
        <v>74</v>
      </c>
      <c r="BR105" t="s">
        <v>104</v>
      </c>
      <c r="BS105" t="s">
        <v>2024</v>
      </c>
      <c r="BT105" t="str">
        <f>HYPERLINK("https%3A%2F%2Fwww.webofscience.com%2Fwos%2Fwoscc%2Ffull-record%2FWOS:000930865900001","View Full Record in Web of Science")</f>
        <v>View Full Record in Web of Science</v>
      </c>
    </row>
    <row r="106" spans="1:72" x14ac:dyDescent="0.25">
      <c r="A106" t="s">
        <v>72</v>
      </c>
      <c r="B106" t="s">
        <v>2025</v>
      </c>
      <c r="C106" t="s">
        <v>74</v>
      </c>
      <c r="D106" t="s">
        <v>74</v>
      </c>
      <c r="E106" t="s">
        <v>74</v>
      </c>
      <c r="F106" t="s">
        <v>2026</v>
      </c>
      <c r="G106" t="s">
        <v>74</v>
      </c>
      <c r="H106" t="s">
        <v>74</v>
      </c>
      <c r="I106" t="s">
        <v>2027</v>
      </c>
      <c r="J106" t="s">
        <v>128</v>
      </c>
      <c r="K106" t="s">
        <v>74</v>
      </c>
      <c r="L106" t="s">
        <v>74</v>
      </c>
      <c r="M106" t="s">
        <v>78</v>
      </c>
      <c r="N106" t="s">
        <v>79</v>
      </c>
      <c r="O106" t="s">
        <v>74</v>
      </c>
      <c r="P106" t="s">
        <v>74</v>
      </c>
      <c r="Q106" t="s">
        <v>74</v>
      </c>
      <c r="R106" t="s">
        <v>74</v>
      </c>
      <c r="S106" t="s">
        <v>74</v>
      </c>
      <c r="T106" t="s">
        <v>2028</v>
      </c>
      <c r="U106" t="s">
        <v>2029</v>
      </c>
      <c r="V106" t="s">
        <v>2030</v>
      </c>
      <c r="W106" t="s">
        <v>2031</v>
      </c>
      <c r="X106" t="s">
        <v>2032</v>
      </c>
      <c r="Y106" t="s">
        <v>2033</v>
      </c>
      <c r="Z106" t="s">
        <v>2034</v>
      </c>
      <c r="AA106" t="s">
        <v>74</v>
      </c>
      <c r="AB106" t="s">
        <v>2035</v>
      </c>
      <c r="AC106" t="s">
        <v>2036</v>
      </c>
      <c r="AD106" t="s">
        <v>482</v>
      </c>
      <c r="AE106" t="s">
        <v>2037</v>
      </c>
      <c r="AF106" t="s">
        <v>74</v>
      </c>
      <c r="AG106">
        <v>45</v>
      </c>
      <c r="AH106">
        <v>6</v>
      </c>
      <c r="AI106">
        <v>6</v>
      </c>
      <c r="AJ106">
        <v>29</v>
      </c>
      <c r="AK106">
        <v>44</v>
      </c>
      <c r="AL106" t="s">
        <v>138</v>
      </c>
      <c r="AM106" t="s">
        <v>139</v>
      </c>
      <c r="AN106" t="s">
        <v>140</v>
      </c>
      <c r="AO106" t="s">
        <v>141</v>
      </c>
      <c r="AP106" t="s">
        <v>142</v>
      </c>
      <c r="AQ106" t="s">
        <v>74</v>
      </c>
      <c r="AR106" t="s">
        <v>143</v>
      </c>
      <c r="AS106" t="s">
        <v>144</v>
      </c>
      <c r="AT106" t="s">
        <v>248</v>
      </c>
      <c r="AU106">
        <v>2024</v>
      </c>
      <c r="AV106">
        <v>247</v>
      </c>
      <c r="AW106" t="s">
        <v>74</v>
      </c>
      <c r="AX106" t="s">
        <v>74</v>
      </c>
      <c r="AY106" t="s">
        <v>74</v>
      </c>
      <c r="AZ106" t="s">
        <v>74</v>
      </c>
      <c r="BA106" t="s">
        <v>74</v>
      </c>
      <c r="BB106" t="s">
        <v>74</v>
      </c>
      <c r="BC106" t="s">
        <v>74</v>
      </c>
      <c r="BD106">
        <v>110129</v>
      </c>
      <c r="BE106" t="s">
        <v>2038</v>
      </c>
      <c r="BF106" t="str">
        <f>HYPERLINK("http://dx.doi.org/10.1016/j.ress.2024.110129","http://dx.doi.org/10.1016/j.ress.2024.110129")</f>
        <v>http://dx.doi.org/10.1016/j.ress.2024.110129</v>
      </c>
      <c r="BG106" t="s">
        <v>74</v>
      </c>
      <c r="BH106" t="s">
        <v>2039</v>
      </c>
      <c r="BI106">
        <v>15</v>
      </c>
      <c r="BJ106" t="s">
        <v>148</v>
      </c>
      <c r="BK106" t="s">
        <v>149</v>
      </c>
      <c r="BL106" t="s">
        <v>150</v>
      </c>
      <c r="BM106" t="s">
        <v>2040</v>
      </c>
      <c r="BN106" t="s">
        <v>74</v>
      </c>
      <c r="BO106" t="s">
        <v>74</v>
      </c>
      <c r="BP106" t="s">
        <v>74</v>
      </c>
      <c r="BQ106" t="s">
        <v>74</v>
      </c>
      <c r="BR106" t="s">
        <v>104</v>
      </c>
      <c r="BS106" t="s">
        <v>2041</v>
      </c>
      <c r="BT106" t="str">
        <f>HYPERLINK("https%3A%2F%2Fwww.webofscience.com%2Fwos%2Fwoscc%2Ffull-record%2FWOS:001226343200002","View Full Record in Web of Science")</f>
        <v>View Full Record in Web of Science</v>
      </c>
    </row>
    <row r="107" spans="1:72" x14ac:dyDescent="0.25">
      <c r="A107" t="s">
        <v>72</v>
      </c>
      <c r="B107" t="s">
        <v>2042</v>
      </c>
      <c r="C107" t="s">
        <v>74</v>
      </c>
      <c r="D107" t="s">
        <v>74</v>
      </c>
      <c r="E107" t="s">
        <v>74</v>
      </c>
      <c r="F107" t="s">
        <v>2043</v>
      </c>
      <c r="G107" t="s">
        <v>74</v>
      </c>
      <c r="H107" t="s">
        <v>74</v>
      </c>
      <c r="I107" t="s">
        <v>2044</v>
      </c>
      <c r="J107" t="s">
        <v>77</v>
      </c>
      <c r="K107" t="s">
        <v>74</v>
      </c>
      <c r="L107" t="s">
        <v>74</v>
      </c>
      <c r="M107" t="s">
        <v>78</v>
      </c>
      <c r="N107" t="s">
        <v>79</v>
      </c>
      <c r="O107" t="s">
        <v>74</v>
      </c>
      <c r="P107" t="s">
        <v>74</v>
      </c>
      <c r="Q107" t="s">
        <v>74</v>
      </c>
      <c r="R107" t="s">
        <v>74</v>
      </c>
      <c r="S107" t="s">
        <v>74</v>
      </c>
      <c r="T107" t="s">
        <v>2045</v>
      </c>
      <c r="U107" t="s">
        <v>2046</v>
      </c>
      <c r="V107" t="s">
        <v>2047</v>
      </c>
      <c r="W107" t="s">
        <v>2048</v>
      </c>
      <c r="X107" t="s">
        <v>2049</v>
      </c>
      <c r="Y107" t="s">
        <v>2050</v>
      </c>
      <c r="Z107" t="s">
        <v>2051</v>
      </c>
      <c r="AA107" t="s">
        <v>2052</v>
      </c>
      <c r="AB107" t="s">
        <v>2053</v>
      </c>
      <c r="AC107" t="s">
        <v>74</v>
      </c>
      <c r="AD107" t="s">
        <v>74</v>
      </c>
      <c r="AE107" t="s">
        <v>74</v>
      </c>
      <c r="AF107" t="s">
        <v>74</v>
      </c>
      <c r="AG107">
        <v>57</v>
      </c>
      <c r="AH107">
        <v>7</v>
      </c>
      <c r="AI107">
        <v>7</v>
      </c>
      <c r="AJ107">
        <v>0</v>
      </c>
      <c r="AK107">
        <v>8</v>
      </c>
      <c r="AL107" t="s">
        <v>90</v>
      </c>
      <c r="AM107" t="s">
        <v>118</v>
      </c>
      <c r="AN107" t="s">
        <v>119</v>
      </c>
      <c r="AO107" t="s">
        <v>93</v>
      </c>
      <c r="AP107" t="s">
        <v>94</v>
      </c>
      <c r="AQ107" t="s">
        <v>74</v>
      </c>
      <c r="AR107" t="s">
        <v>95</v>
      </c>
      <c r="AS107" t="s">
        <v>96</v>
      </c>
      <c r="AT107" t="s">
        <v>2054</v>
      </c>
      <c r="AU107">
        <v>2022</v>
      </c>
      <c r="AV107">
        <v>28</v>
      </c>
      <c r="AW107">
        <v>3</v>
      </c>
      <c r="AX107" t="s">
        <v>74</v>
      </c>
      <c r="AY107" t="s">
        <v>74</v>
      </c>
      <c r="AZ107" t="s">
        <v>74</v>
      </c>
      <c r="BA107" t="s">
        <v>74</v>
      </c>
      <c r="BB107">
        <v>545</v>
      </c>
      <c r="BC107">
        <v>566</v>
      </c>
      <c r="BD107" t="s">
        <v>74</v>
      </c>
      <c r="BE107" t="s">
        <v>2055</v>
      </c>
      <c r="BF107" t="str">
        <f>HYPERLINK("http://dx.doi.org/10.1108/JQME-06-2020-0056","http://dx.doi.org/10.1108/JQME-06-2020-0056")</f>
        <v>http://dx.doi.org/10.1108/JQME-06-2020-0056</v>
      </c>
      <c r="BG107" t="s">
        <v>74</v>
      </c>
      <c r="BH107" t="s">
        <v>714</v>
      </c>
      <c r="BI107">
        <v>22</v>
      </c>
      <c r="BJ107" t="s">
        <v>100</v>
      </c>
      <c r="BK107" t="s">
        <v>101</v>
      </c>
      <c r="BL107" t="s">
        <v>102</v>
      </c>
      <c r="BM107" t="s">
        <v>2056</v>
      </c>
      <c r="BN107" t="s">
        <v>74</v>
      </c>
      <c r="BO107" t="s">
        <v>74</v>
      </c>
      <c r="BP107" t="s">
        <v>74</v>
      </c>
      <c r="BQ107" t="s">
        <v>74</v>
      </c>
      <c r="BR107" t="s">
        <v>104</v>
      </c>
      <c r="BS107" t="s">
        <v>2057</v>
      </c>
      <c r="BT107" t="str">
        <f>HYPERLINK("https%3A%2F%2Fwww.webofscience.com%2Fwos%2Fwoscc%2Ffull-record%2FWOS:000646288100001","View Full Record in Web of Science")</f>
        <v>View Full Record in Web of Science</v>
      </c>
    </row>
    <row r="108" spans="1:72" x14ac:dyDescent="0.25">
      <c r="A108" t="s">
        <v>72</v>
      </c>
      <c r="B108" t="s">
        <v>2058</v>
      </c>
      <c r="C108" t="s">
        <v>74</v>
      </c>
      <c r="D108" t="s">
        <v>74</v>
      </c>
      <c r="E108" t="s">
        <v>74</v>
      </c>
      <c r="F108" t="s">
        <v>2059</v>
      </c>
      <c r="G108" t="s">
        <v>74</v>
      </c>
      <c r="H108" t="s">
        <v>74</v>
      </c>
      <c r="I108" t="s">
        <v>2060</v>
      </c>
      <c r="J108" t="s">
        <v>299</v>
      </c>
      <c r="K108" t="s">
        <v>74</v>
      </c>
      <c r="L108" t="s">
        <v>74</v>
      </c>
      <c r="M108" t="s">
        <v>78</v>
      </c>
      <c r="N108" t="s">
        <v>79</v>
      </c>
      <c r="O108" t="s">
        <v>74</v>
      </c>
      <c r="P108" t="s">
        <v>74</v>
      </c>
      <c r="Q108" t="s">
        <v>74</v>
      </c>
      <c r="R108" t="s">
        <v>74</v>
      </c>
      <c r="S108" t="s">
        <v>74</v>
      </c>
      <c r="T108" t="s">
        <v>2061</v>
      </c>
      <c r="U108" t="s">
        <v>2062</v>
      </c>
      <c r="V108" t="s">
        <v>2063</v>
      </c>
      <c r="W108" t="s">
        <v>2064</v>
      </c>
      <c r="X108" t="s">
        <v>2065</v>
      </c>
      <c r="Y108" t="s">
        <v>2066</v>
      </c>
      <c r="Z108" t="s">
        <v>2067</v>
      </c>
      <c r="AA108" t="s">
        <v>2068</v>
      </c>
      <c r="AB108" t="s">
        <v>2069</v>
      </c>
      <c r="AC108" t="s">
        <v>74</v>
      </c>
      <c r="AD108" t="s">
        <v>74</v>
      </c>
      <c r="AE108" t="s">
        <v>74</v>
      </c>
      <c r="AF108" t="s">
        <v>74</v>
      </c>
      <c r="AG108">
        <v>51</v>
      </c>
      <c r="AH108">
        <v>0</v>
      </c>
      <c r="AI108">
        <v>0</v>
      </c>
      <c r="AJ108">
        <v>11</v>
      </c>
      <c r="AK108">
        <v>23</v>
      </c>
      <c r="AL108" t="s">
        <v>311</v>
      </c>
      <c r="AM108" t="s">
        <v>312</v>
      </c>
      <c r="AN108" t="s">
        <v>313</v>
      </c>
      <c r="AO108" t="s">
        <v>314</v>
      </c>
      <c r="AP108" t="s">
        <v>315</v>
      </c>
      <c r="AQ108" t="s">
        <v>74</v>
      </c>
      <c r="AR108" t="s">
        <v>316</v>
      </c>
      <c r="AS108" t="s">
        <v>317</v>
      </c>
      <c r="AT108" t="s">
        <v>2070</v>
      </c>
      <c r="AU108">
        <v>2024</v>
      </c>
      <c r="AV108">
        <v>62</v>
      </c>
      <c r="AW108">
        <v>24</v>
      </c>
      <c r="AX108" t="s">
        <v>74</v>
      </c>
      <c r="AY108" t="s">
        <v>74</v>
      </c>
      <c r="AZ108" t="s">
        <v>560</v>
      </c>
      <c r="BA108" t="s">
        <v>74</v>
      </c>
      <c r="BB108">
        <v>8701</v>
      </c>
      <c r="BC108">
        <v>8718</v>
      </c>
      <c r="BD108" t="s">
        <v>74</v>
      </c>
      <c r="BE108" t="s">
        <v>2071</v>
      </c>
      <c r="BF108" t="str">
        <f>HYPERLINK("http://dx.doi.org/10.1080/00207543.2024.2347564","http://dx.doi.org/10.1080/00207543.2024.2347564")</f>
        <v>http://dx.doi.org/10.1080/00207543.2024.2347564</v>
      </c>
      <c r="BG108" t="s">
        <v>74</v>
      </c>
      <c r="BH108" t="s">
        <v>2072</v>
      </c>
      <c r="BI108">
        <v>18</v>
      </c>
      <c r="BJ108" t="s">
        <v>321</v>
      </c>
      <c r="BK108" t="s">
        <v>149</v>
      </c>
      <c r="BL108" t="s">
        <v>150</v>
      </c>
      <c r="BM108" t="s">
        <v>2073</v>
      </c>
      <c r="BN108" t="s">
        <v>74</v>
      </c>
      <c r="BO108" t="s">
        <v>74</v>
      </c>
      <c r="BP108" t="s">
        <v>74</v>
      </c>
      <c r="BQ108" t="s">
        <v>74</v>
      </c>
      <c r="BR108" t="s">
        <v>104</v>
      </c>
      <c r="BS108" t="s">
        <v>2074</v>
      </c>
      <c r="BT108" t="str">
        <f>HYPERLINK("https%3A%2F%2Fwww.webofscience.com%2Fwos%2Fwoscc%2Ffull-record%2FWOS:001215386300001","View Full Record in Web of Science")</f>
        <v>View Full Record in Web of Science</v>
      </c>
    </row>
    <row r="109" spans="1:72" x14ac:dyDescent="0.25">
      <c r="A109" t="s">
        <v>72</v>
      </c>
      <c r="B109" t="s">
        <v>2075</v>
      </c>
      <c r="C109" t="s">
        <v>74</v>
      </c>
      <c r="D109" t="s">
        <v>74</v>
      </c>
      <c r="E109" t="s">
        <v>74</v>
      </c>
      <c r="F109" t="s">
        <v>2076</v>
      </c>
      <c r="G109" t="s">
        <v>74</v>
      </c>
      <c r="H109" t="s">
        <v>74</v>
      </c>
      <c r="I109" t="s">
        <v>2077</v>
      </c>
      <c r="J109" t="s">
        <v>128</v>
      </c>
      <c r="K109" t="s">
        <v>74</v>
      </c>
      <c r="L109" t="s">
        <v>74</v>
      </c>
      <c r="M109" t="s">
        <v>78</v>
      </c>
      <c r="N109" t="s">
        <v>79</v>
      </c>
      <c r="O109" t="s">
        <v>74</v>
      </c>
      <c r="P109" t="s">
        <v>74</v>
      </c>
      <c r="Q109" t="s">
        <v>74</v>
      </c>
      <c r="R109" t="s">
        <v>74</v>
      </c>
      <c r="S109" t="s">
        <v>74</v>
      </c>
      <c r="T109" t="s">
        <v>2078</v>
      </c>
      <c r="U109" t="s">
        <v>2079</v>
      </c>
      <c r="V109" t="s">
        <v>2080</v>
      </c>
      <c r="W109" t="s">
        <v>2081</v>
      </c>
      <c r="X109" t="s">
        <v>2082</v>
      </c>
      <c r="Y109" t="s">
        <v>1625</v>
      </c>
      <c r="Z109" t="s">
        <v>2083</v>
      </c>
      <c r="AA109" t="s">
        <v>2084</v>
      </c>
      <c r="AB109" t="s">
        <v>74</v>
      </c>
      <c r="AC109" t="s">
        <v>2085</v>
      </c>
      <c r="AD109" t="s">
        <v>2086</v>
      </c>
      <c r="AE109" t="s">
        <v>2087</v>
      </c>
      <c r="AF109" t="s">
        <v>74</v>
      </c>
      <c r="AG109">
        <v>34</v>
      </c>
      <c r="AH109">
        <v>35</v>
      </c>
      <c r="AI109">
        <v>36</v>
      </c>
      <c r="AJ109">
        <v>9</v>
      </c>
      <c r="AK109">
        <v>64</v>
      </c>
      <c r="AL109" t="s">
        <v>138</v>
      </c>
      <c r="AM109" t="s">
        <v>246</v>
      </c>
      <c r="AN109" t="s">
        <v>247</v>
      </c>
      <c r="AO109" t="s">
        <v>141</v>
      </c>
      <c r="AP109" t="s">
        <v>142</v>
      </c>
      <c r="AQ109" t="s">
        <v>74</v>
      </c>
      <c r="AR109" t="s">
        <v>143</v>
      </c>
      <c r="AS109" t="s">
        <v>144</v>
      </c>
      <c r="AT109" t="s">
        <v>145</v>
      </c>
      <c r="AU109">
        <v>2021</v>
      </c>
      <c r="AV109">
        <v>216</v>
      </c>
      <c r="AW109" t="s">
        <v>74</v>
      </c>
      <c r="AX109" t="s">
        <v>74</v>
      </c>
      <c r="AY109" t="s">
        <v>74</v>
      </c>
      <c r="AZ109" t="s">
        <v>74</v>
      </c>
      <c r="BA109" t="s">
        <v>74</v>
      </c>
      <c r="BB109" t="s">
        <v>74</v>
      </c>
      <c r="BC109" t="s">
        <v>74</v>
      </c>
      <c r="BD109">
        <v>108006</v>
      </c>
      <c r="BE109" t="s">
        <v>2088</v>
      </c>
      <c r="BF109" t="str">
        <f>HYPERLINK("http://dx.doi.org/10.1016/j.ress.2021.108006","http://dx.doi.org/10.1016/j.ress.2021.108006")</f>
        <v>http://dx.doi.org/10.1016/j.ress.2021.108006</v>
      </c>
      <c r="BG109" t="s">
        <v>74</v>
      </c>
      <c r="BH109" t="s">
        <v>2089</v>
      </c>
      <c r="BI109">
        <v>14</v>
      </c>
      <c r="BJ109" t="s">
        <v>148</v>
      </c>
      <c r="BK109" t="s">
        <v>322</v>
      </c>
      <c r="BL109" t="s">
        <v>150</v>
      </c>
      <c r="BM109" t="s">
        <v>2090</v>
      </c>
      <c r="BN109" t="s">
        <v>74</v>
      </c>
      <c r="BO109" t="s">
        <v>74</v>
      </c>
      <c r="BP109" t="s">
        <v>74</v>
      </c>
      <c r="BQ109" t="s">
        <v>74</v>
      </c>
      <c r="BR109" t="s">
        <v>104</v>
      </c>
      <c r="BS109" t="s">
        <v>2091</v>
      </c>
      <c r="BT109" t="str">
        <f>HYPERLINK("https%3A%2F%2Fwww.webofscience.com%2Fwos%2Fwoscc%2Ffull-record%2FWOS:000702351700073","View Full Record in Web of Science")</f>
        <v>View Full Record in Web of Science</v>
      </c>
    </row>
    <row r="110" spans="1:72" x14ac:dyDescent="0.25">
      <c r="A110" t="s">
        <v>72</v>
      </c>
      <c r="B110" t="s">
        <v>2092</v>
      </c>
      <c r="C110" t="s">
        <v>74</v>
      </c>
      <c r="D110" t="s">
        <v>74</v>
      </c>
      <c r="E110" t="s">
        <v>74</v>
      </c>
      <c r="F110" t="s">
        <v>2093</v>
      </c>
      <c r="G110" t="s">
        <v>74</v>
      </c>
      <c r="H110" t="s">
        <v>74</v>
      </c>
      <c r="I110" t="s">
        <v>2094</v>
      </c>
      <c r="J110" t="s">
        <v>128</v>
      </c>
      <c r="K110" t="s">
        <v>74</v>
      </c>
      <c r="L110" t="s">
        <v>74</v>
      </c>
      <c r="M110" t="s">
        <v>78</v>
      </c>
      <c r="N110" t="s">
        <v>79</v>
      </c>
      <c r="O110" t="s">
        <v>74</v>
      </c>
      <c r="P110" t="s">
        <v>74</v>
      </c>
      <c r="Q110" t="s">
        <v>74</v>
      </c>
      <c r="R110" t="s">
        <v>74</v>
      </c>
      <c r="S110" t="s">
        <v>74</v>
      </c>
      <c r="T110" t="s">
        <v>2095</v>
      </c>
      <c r="U110" t="s">
        <v>2096</v>
      </c>
      <c r="V110" t="s">
        <v>2097</v>
      </c>
      <c r="W110" t="s">
        <v>2098</v>
      </c>
      <c r="X110" t="s">
        <v>2099</v>
      </c>
      <c r="Y110" t="s">
        <v>2100</v>
      </c>
      <c r="Z110" t="s">
        <v>2101</v>
      </c>
      <c r="AA110" t="s">
        <v>2102</v>
      </c>
      <c r="AB110" t="s">
        <v>2103</v>
      </c>
      <c r="AC110" t="s">
        <v>2104</v>
      </c>
      <c r="AD110" t="s">
        <v>2105</v>
      </c>
      <c r="AE110" t="s">
        <v>2106</v>
      </c>
      <c r="AF110" t="s">
        <v>74</v>
      </c>
      <c r="AG110">
        <v>59</v>
      </c>
      <c r="AH110">
        <v>3</v>
      </c>
      <c r="AI110">
        <v>3</v>
      </c>
      <c r="AJ110">
        <v>18</v>
      </c>
      <c r="AK110">
        <v>18</v>
      </c>
      <c r="AL110" t="s">
        <v>138</v>
      </c>
      <c r="AM110" t="s">
        <v>139</v>
      </c>
      <c r="AN110" t="s">
        <v>140</v>
      </c>
      <c r="AO110" t="s">
        <v>141</v>
      </c>
      <c r="AP110" t="s">
        <v>142</v>
      </c>
      <c r="AQ110" t="s">
        <v>74</v>
      </c>
      <c r="AR110" t="s">
        <v>143</v>
      </c>
      <c r="AS110" t="s">
        <v>144</v>
      </c>
      <c r="AT110" t="s">
        <v>145</v>
      </c>
      <c r="AU110">
        <v>2024</v>
      </c>
      <c r="AV110">
        <v>252</v>
      </c>
      <c r="AW110" t="s">
        <v>74</v>
      </c>
      <c r="AX110" t="s">
        <v>74</v>
      </c>
      <c r="AY110" t="s">
        <v>74</v>
      </c>
      <c r="AZ110" t="s">
        <v>74</v>
      </c>
      <c r="BA110" t="s">
        <v>74</v>
      </c>
      <c r="BB110" t="s">
        <v>74</v>
      </c>
      <c r="BC110" t="s">
        <v>74</v>
      </c>
      <c r="BD110">
        <v>110466</v>
      </c>
      <c r="BE110" t="s">
        <v>2107</v>
      </c>
      <c r="BF110" t="str">
        <f>HYPERLINK("http://dx.doi.org/10.1016/j.ress.2024.110466","http://dx.doi.org/10.1016/j.ress.2024.110466")</f>
        <v>http://dx.doi.org/10.1016/j.ress.2024.110466</v>
      </c>
      <c r="BG110" t="s">
        <v>74</v>
      </c>
      <c r="BH110" t="s">
        <v>516</v>
      </c>
      <c r="BI110">
        <v>11</v>
      </c>
      <c r="BJ110" t="s">
        <v>148</v>
      </c>
      <c r="BK110" t="s">
        <v>149</v>
      </c>
      <c r="BL110" t="s">
        <v>150</v>
      </c>
      <c r="BM110" t="s">
        <v>2108</v>
      </c>
      <c r="BN110" t="s">
        <v>74</v>
      </c>
      <c r="BO110" t="s">
        <v>123</v>
      </c>
      <c r="BP110" t="s">
        <v>74</v>
      </c>
      <c r="BQ110" t="s">
        <v>74</v>
      </c>
      <c r="BR110" t="s">
        <v>104</v>
      </c>
      <c r="BS110" t="s">
        <v>2109</v>
      </c>
      <c r="BT110" t="str">
        <f>HYPERLINK("https%3A%2F%2Fwww.webofscience.com%2Fwos%2Fwoscc%2Ffull-record%2FWOS:001309766600001","View Full Record in Web of Science")</f>
        <v>View Full Record in Web of Science</v>
      </c>
    </row>
    <row r="111" spans="1:72" x14ac:dyDescent="0.25">
      <c r="A111" t="s">
        <v>72</v>
      </c>
      <c r="B111" t="s">
        <v>2110</v>
      </c>
      <c r="C111" t="s">
        <v>74</v>
      </c>
      <c r="D111" t="s">
        <v>74</v>
      </c>
      <c r="E111" t="s">
        <v>74</v>
      </c>
      <c r="F111" t="s">
        <v>2111</v>
      </c>
      <c r="G111" t="s">
        <v>74</v>
      </c>
      <c r="H111" t="s">
        <v>74</v>
      </c>
      <c r="I111" t="s">
        <v>2112</v>
      </c>
      <c r="J111" t="s">
        <v>1210</v>
      </c>
      <c r="K111" t="s">
        <v>74</v>
      </c>
      <c r="L111" t="s">
        <v>74</v>
      </c>
      <c r="M111" t="s">
        <v>78</v>
      </c>
      <c r="N111" t="s">
        <v>79</v>
      </c>
      <c r="O111" t="s">
        <v>74</v>
      </c>
      <c r="P111" t="s">
        <v>74</v>
      </c>
      <c r="Q111" t="s">
        <v>74</v>
      </c>
      <c r="R111" t="s">
        <v>74</v>
      </c>
      <c r="S111" t="s">
        <v>74</v>
      </c>
      <c r="T111" t="s">
        <v>2113</v>
      </c>
      <c r="U111" t="s">
        <v>2114</v>
      </c>
      <c r="V111" t="s">
        <v>2115</v>
      </c>
      <c r="W111" t="s">
        <v>2116</v>
      </c>
      <c r="X111" t="s">
        <v>1819</v>
      </c>
      <c r="Y111" t="s">
        <v>2117</v>
      </c>
      <c r="Z111" t="s">
        <v>2118</v>
      </c>
      <c r="AA111" t="s">
        <v>2119</v>
      </c>
      <c r="AB111" t="s">
        <v>2120</v>
      </c>
      <c r="AC111" t="s">
        <v>2121</v>
      </c>
      <c r="AD111" t="s">
        <v>2122</v>
      </c>
      <c r="AE111" t="s">
        <v>2123</v>
      </c>
      <c r="AF111" t="s">
        <v>74</v>
      </c>
      <c r="AG111">
        <v>41</v>
      </c>
      <c r="AH111">
        <v>11</v>
      </c>
      <c r="AI111">
        <v>11</v>
      </c>
      <c r="AJ111">
        <v>2</v>
      </c>
      <c r="AK111">
        <v>45</v>
      </c>
      <c r="AL111" t="s">
        <v>509</v>
      </c>
      <c r="AM111" t="s">
        <v>510</v>
      </c>
      <c r="AN111" t="s">
        <v>511</v>
      </c>
      <c r="AO111" t="s">
        <v>1222</v>
      </c>
      <c r="AP111" t="s">
        <v>1223</v>
      </c>
      <c r="AQ111" t="s">
        <v>74</v>
      </c>
      <c r="AR111" t="s">
        <v>1224</v>
      </c>
      <c r="AS111" t="s">
        <v>1225</v>
      </c>
      <c r="AT111" t="s">
        <v>491</v>
      </c>
      <c r="AU111">
        <v>2022</v>
      </c>
      <c r="AV111">
        <v>130</v>
      </c>
      <c r="AW111" t="s">
        <v>74</v>
      </c>
      <c r="AX111" t="s">
        <v>74</v>
      </c>
      <c r="AY111" t="s">
        <v>74</v>
      </c>
      <c r="AZ111" t="s">
        <v>74</v>
      </c>
      <c r="BA111" t="s">
        <v>74</v>
      </c>
      <c r="BB111" t="s">
        <v>74</v>
      </c>
      <c r="BC111" t="s">
        <v>74</v>
      </c>
      <c r="BD111">
        <v>109705</v>
      </c>
      <c r="BE111" t="s">
        <v>2124</v>
      </c>
      <c r="BF111" t="str">
        <f>HYPERLINK("http://dx.doi.org/10.1016/j.asoc.2022.109705","http://dx.doi.org/10.1016/j.asoc.2022.109705")</f>
        <v>http://dx.doi.org/10.1016/j.asoc.2022.109705</v>
      </c>
      <c r="BG111" t="s">
        <v>74</v>
      </c>
      <c r="BH111" t="s">
        <v>1285</v>
      </c>
      <c r="BI111">
        <v>21</v>
      </c>
      <c r="BJ111" t="s">
        <v>1227</v>
      </c>
      <c r="BK111" t="s">
        <v>149</v>
      </c>
      <c r="BL111" t="s">
        <v>1228</v>
      </c>
      <c r="BM111" t="s">
        <v>2125</v>
      </c>
      <c r="BN111" t="s">
        <v>74</v>
      </c>
      <c r="BO111" t="s">
        <v>74</v>
      </c>
      <c r="BP111" t="s">
        <v>74</v>
      </c>
      <c r="BQ111" t="s">
        <v>74</v>
      </c>
      <c r="BR111" t="s">
        <v>104</v>
      </c>
      <c r="BS111" t="s">
        <v>2126</v>
      </c>
      <c r="BT111" t="str">
        <f>HYPERLINK("https%3A%2F%2Fwww.webofscience.com%2Fwos%2Fwoscc%2Ffull-record%2FWOS:000882421200004","View Full Record in Web of Science")</f>
        <v>View Full Record in Web of Science</v>
      </c>
    </row>
    <row r="112" spans="1:72" x14ac:dyDescent="0.25">
      <c r="A112" t="s">
        <v>72</v>
      </c>
      <c r="B112" t="s">
        <v>1504</v>
      </c>
      <c r="C112" t="s">
        <v>74</v>
      </c>
      <c r="D112" t="s">
        <v>74</v>
      </c>
      <c r="E112" t="s">
        <v>74</v>
      </c>
      <c r="F112" t="s">
        <v>1505</v>
      </c>
      <c r="G112" t="s">
        <v>74</v>
      </c>
      <c r="H112" t="s">
        <v>74</v>
      </c>
      <c r="I112" t="s">
        <v>2127</v>
      </c>
      <c r="J112" t="s">
        <v>77</v>
      </c>
      <c r="K112" t="s">
        <v>74</v>
      </c>
      <c r="L112" t="s">
        <v>74</v>
      </c>
      <c r="M112" t="s">
        <v>78</v>
      </c>
      <c r="N112" t="s">
        <v>79</v>
      </c>
      <c r="O112" t="s">
        <v>74</v>
      </c>
      <c r="P112" t="s">
        <v>74</v>
      </c>
      <c r="Q112" t="s">
        <v>74</v>
      </c>
      <c r="R112" t="s">
        <v>74</v>
      </c>
      <c r="S112" t="s">
        <v>74</v>
      </c>
      <c r="T112" t="s">
        <v>2128</v>
      </c>
      <c r="U112" t="s">
        <v>2129</v>
      </c>
      <c r="V112" t="s">
        <v>2130</v>
      </c>
      <c r="W112" t="s">
        <v>2131</v>
      </c>
      <c r="X112" t="s">
        <v>1512</v>
      </c>
      <c r="Y112" t="s">
        <v>2132</v>
      </c>
      <c r="Z112" t="s">
        <v>2133</v>
      </c>
      <c r="AA112" t="s">
        <v>2134</v>
      </c>
      <c r="AB112" t="s">
        <v>2135</v>
      </c>
      <c r="AC112" t="s">
        <v>2136</v>
      </c>
      <c r="AD112" t="s">
        <v>2137</v>
      </c>
      <c r="AE112" t="s">
        <v>2138</v>
      </c>
      <c r="AF112" t="s">
        <v>74</v>
      </c>
      <c r="AG112">
        <v>50</v>
      </c>
      <c r="AH112">
        <v>0</v>
      </c>
      <c r="AI112">
        <v>0</v>
      </c>
      <c r="AJ112">
        <v>2</v>
      </c>
      <c r="AK112">
        <v>11</v>
      </c>
      <c r="AL112" t="s">
        <v>90</v>
      </c>
      <c r="AM112" t="s">
        <v>118</v>
      </c>
      <c r="AN112" t="s">
        <v>119</v>
      </c>
      <c r="AO112" t="s">
        <v>93</v>
      </c>
      <c r="AP112" t="s">
        <v>94</v>
      </c>
      <c r="AQ112" t="s">
        <v>74</v>
      </c>
      <c r="AR112" t="s">
        <v>95</v>
      </c>
      <c r="AS112" t="s">
        <v>96</v>
      </c>
      <c r="AT112" t="s">
        <v>689</v>
      </c>
      <c r="AU112">
        <v>2021</v>
      </c>
      <c r="AV112">
        <v>27</v>
      </c>
      <c r="AW112">
        <v>1</v>
      </c>
      <c r="AX112" t="s">
        <v>74</v>
      </c>
      <c r="AY112" t="s">
        <v>74</v>
      </c>
      <c r="AZ112" t="s">
        <v>74</v>
      </c>
      <c r="BA112" t="s">
        <v>74</v>
      </c>
      <c r="BB112">
        <v>203</v>
      </c>
      <c r="BC112">
        <v>224</v>
      </c>
      <c r="BD112" t="s">
        <v>74</v>
      </c>
      <c r="BE112" t="s">
        <v>2139</v>
      </c>
      <c r="BF112" t="str">
        <f>HYPERLINK("http://dx.doi.org/10.1108/JQME-08-2018-0066","http://dx.doi.org/10.1108/JQME-08-2018-0066")</f>
        <v>http://dx.doi.org/10.1108/JQME-08-2018-0066</v>
      </c>
      <c r="BG112" t="s">
        <v>74</v>
      </c>
      <c r="BH112" t="s">
        <v>597</v>
      </c>
      <c r="BI112">
        <v>22</v>
      </c>
      <c r="BJ112" t="s">
        <v>100</v>
      </c>
      <c r="BK112" t="s">
        <v>101</v>
      </c>
      <c r="BL112" t="s">
        <v>102</v>
      </c>
      <c r="BM112" t="s">
        <v>692</v>
      </c>
      <c r="BN112" t="s">
        <v>74</v>
      </c>
      <c r="BO112" t="s">
        <v>74</v>
      </c>
      <c r="BP112" t="s">
        <v>74</v>
      </c>
      <c r="BQ112" t="s">
        <v>74</v>
      </c>
      <c r="BR112" t="s">
        <v>104</v>
      </c>
      <c r="BS112" t="s">
        <v>2140</v>
      </c>
      <c r="BT112" t="str">
        <f>HYPERLINK("https%3A%2F%2Fwww.webofscience.com%2Fwos%2Fwoscc%2Ffull-record%2FWOS:000528544700001","View Full Record in Web of Science")</f>
        <v>View Full Record in Web of Science</v>
      </c>
    </row>
    <row r="113" spans="1:72" x14ac:dyDescent="0.25">
      <c r="A113" t="s">
        <v>72</v>
      </c>
      <c r="B113" t="s">
        <v>2141</v>
      </c>
      <c r="C113" t="s">
        <v>74</v>
      </c>
      <c r="D113" t="s">
        <v>74</v>
      </c>
      <c r="E113" t="s">
        <v>74</v>
      </c>
      <c r="F113" t="s">
        <v>2142</v>
      </c>
      <c r="G113" t="s">
        <v>74</v>
      </c>
      <c r="H113" t="s">
        <v>74</v>
      </c>
      <c r="I113" t="s">
        <v>2143</v>
      </c>
      <c r="J113" t="s">
        <v>256</v>
      </c>
      <c r="K113" t="s">
        <v>74</v>
      </c>
      <c r="L113" t="s">
        <v>74</v>
      </c>
      <c r="M113" t="s">
        <v>78</v>
      </c>
      <c r="N113" t="s">
        <v>79</v>
      </c>
      <c r="O113" t="s">
        <v>74</v>
      </c>
      <c r="P113" t="s">
        <v>74</v>
      </c>
      <c r="Q113" t="s">
        <v>74</v>
      </c>
      <c r="R113" t="s">
        <v>74</v>
      </c>
      <c r="S113" t="s">
        <v>74</v>
      </c>
      <c r="T113" t="s">
        <v>2144</v>
      </c>
      <c r="U113" t="s">
        <v>2145</v>
      </c>
      <c r="V113" t="s">
        <v>2146</v>
      </c>
      <c r="W113" t="s">
        <v>2147</v>
      </c>
      <c r="X113" t="s">
        <v>2148</v>
      </c>
      <c r="Y113" t="s">
        <v>2149</v>
      </c>
      <c r="Z113" t="s">
        <v>2150</v>
      </c>
      <c r="AA113" t="s">
        <v>2151</v>
      </c>
      <c r="AB113" t="s">
        <v>74</v>
      </c>
      <c r="AC113" t="s">
        <v>2152</v>
      </c>
      <c r="AD113" t="s">
        <v>2152</v>
      </c>
      <c r="AE113" t="s">
        <v>2153</v>
      </c>
      <c r="AF113" t="s">
        <v>74</v>
      </c>
      <c r="AG113">
        <v>25</v>
      </c>
      <c r="AH113">
        <v>1</v>
      </c>
      <c r="AI113">
        <v>1</v>
      </c>
      <c r="AJ113">
        <v>10</v>
      </c>
      <c r="AK113">
        <v>10</v>
      </c>
      <c r="AL113" t="s">
        <v>268</v>
      </c>
      <c r="AM113" t="s">
        <v>269</v>
      </c>
      <c r="AN113" t="s">
        <v>270</v>
      </c>
      <c r="AO113" t="s">
        <v>271</v>
      </c>
      <c r="AP113" t="s">
        <v>272</v>
      </c>
      <c r="AQ113" t="s">
        <v>74</v>
      </c>
      <c r="AR113" t="s">
        <v>273</v>
      </c>
      <c r="AS113" t="s">
        <v>274</v>
      </c>
      <c r="AT113" t="s">
        <v>275</v>
      </c>
      <c r="AU113">
        <v>2024</v>
      </c>
      <c r="AV113">
        <v>15</v>
      </c>
      <c r="AW113">
        <v>1</v>
      </c>
      <c r="AX113" t="s">
        <v>74</v>
      </c>
      <c r="AY113" t="s">
        <v>74</v>
      </c>
      <c r="AZ113" t="s">
        <v>74</v>
      </c>
      <c r="BA113" t="s">
        <v>74</v>
      </c>
      <c r="BB113">
        <v>81</v>
      </c>
      <c r="BC113">
        <v>95</v>
      </c>
      <c r="BD113" t="s">
        <v>74</v>
      </c>
      <c r="BE113" t="s">
        <v>2154</v>
      </c>
      <c r="BF113" t="str">
        <f>HYPERLINK("http://dx.doi.org/10.24867/IJIEM-2024-1-349","http://dx.doi.org/10.24867/IJIEM-2024-1-349")</f>
        <v>http://dx.doi.org/10.24867/IJIEM-2024-1-349</v>
      </c>
      <c r="BG113" t="s">
        <v>74</v>
      </c>
      <c r="BH113" t="s">
        <v>74</v>
      </c>
      <c r="BI113">
        <v>15</v>
      </c>
      <c r="BJ113" t="s">
        <v>100</v>
      </c>
      <c r="BK113" t="s">
        <v>101</v>
      </c>
      <c r="BL113" t="s">
        <v>102</v>
      </c>
      <c r="BM113" t="s">
        <v>2155</v>
      </c>
      <c r="BN113" t="s">
        <v>74</v>
      </c>
      <c r="BO113" t="s">
        <v>208</v>
      </c>
      <c r="BP113" t="s">
        <v>74</v>
      </c>
      <c r="BQ113" t="s">
        <v>74</v>
      </c>
      <c r="BR113" t="s">
        <v>104</v>
      </c>
      <c r="BS113" t="s">
        <v>2156</v>
      </c>
      <c r="BT113" t="str">
        <f>HYPERLINK("https%3A%2F%2Fwww.webofscience.com%2Fwos%2Fwoscc%2Ffull-record%2FWOS:001183775300005","View Full Record in Web of Science")</f>
        <v>View Full Record in Web of Science</v>
      </c>
    </row>
    <row r="114" spans="1:72" x14ac:dyDescent="0.25">
      <c r="A114" t="s">
        <v>72</v>
      </c>
      <c r="B114" t="s">
        <v>2157</v>
      </c>
      <c r="C114" t="s">
        <v>74</v>
      </c>
      <c r="D114" t="s">
        <v>74</v>
      </c>
      <c r="E114" t="s">
        <v>74</v>
      </c>
      <c r="F114" t="s">
        <v>2158</v>
      </c>
      <c r="G114" t="s">
        <v>74</v>
      </c>
      <c r="H114" t="s">
        <v>74</v>
      </c>
      <c r="I114" t="s">
        <v>2159</v>
      </c>
      <c r="J114" t="s">
        <v>2160</v>
      </c>
      <c r="K114" t="s">
        <v>74</v>
      </c>
      <c r="L114" t="s">
        <v>74</v>
      </c>
      <c r="M114" t="s">
        <v>78</v>
      </c>
      <c r="N114" t="s">
        <v>79</v>
      </c>
      <c r="O114" t="s">
        <v>74</v>
      </c>
      <c r="P114" t="s">
        <v>74</v>
      </c>
      <c r="Q114" t="s">
        <v>74</v>
      </c>
      <c r="R114" t="s">
        <v>74</v>
      </c>
      <c r="S114" t="s">
        <v>74</v>
      </c>
      <c r="T114" t="s">
        <v>2161</v>
      </c>
      <c r="U114" t="s">
        <v>2162</v>
      </c>
      <c r="V114" t="s">
        <v>2163</v>
      </c>
      <c r="W114" t="s">
        <v>2164</v>
      </c>
      <c r="X114" t="s">
        <v>2165</v>
      </c>
      <c r="Y114" t="s">
        <v>2166</v>
      </c>
      <c r="Z114" t="s">
        <v>2167</v>
      </c>
      <c r="AA114" t="s">
        <v>2168</v>
      </c>
      <c r="AB114" t="s">
        <v>2169</v>
      </c>
      <c r="AC114" t="s">
        <v>2170</v>
      </c>
      <c r="AD114" t="s">
        <v>482</v>
      </c>
      <c r="AE114" t="s">
        <v>2171</v>
      </c>
      <c r="AF114" t="s">
        <v>74</v>
      </c>
      <c r="AG114">
        <v>30</v>
      </c>
      <c r="AH114">
        <v>37</v>
      </c>
      <c r="AI114">
        <v>38</v>
      </c>
      <c r="AJ114">
        <v>10</v>
      </c>
      <c r="AK114">
        <v>106</v>
      </c>
      <c r="AL114" t="s">
        <v>220</v>
      </c>
      <c r="AM114" t="s">
        <v>221</v>
      </c>
      <c r="AN114" t="s">
        <v>222</v>
      </c>
      <c r="AO114" t="s">
        <v>2172</v>
      </c>
      <c r="AP114" t="s">
        <v>2173</v>
      </c>
      <c r="AQ114" t="s">
        <v>74</v>
      </c>
      <c r="AR114" t="s">
        <v>2174</v>
      </c>
      <c r="AS114" t="s">
        <v>2175</v>
      </c>
      <c r="AT114" t="s">
        <v>145</v>
      </c>
      <c r="AU114">
        <v>2021</v>
      </c>
      <c r="AV114">
        <v>17</v>
      </c>
      <c r="AW114">
        <v>12</v>
      </c>
      <c r="AX114" t="s">
        <v>74</v>
      </c>
      <c r="AY114" t="s">
        <v>74</v>
      </c>
      <c r="AZ114" t="s">
        <v>74</v>
      </c>
      <c r="BA114" t="s">
        <v>74</v>
      </c>
      <c r="BB114">
        <v>8254</v>
      </c>
      <c r="BC114">
        <v>8264</v>
      </c>
      <c r="BD114" t="s">
        <v>74</v>
      </c>
      <c r="BE114" t="s">
        <v>2176</v>
      </c>
      <c r="BF114" t="str">
        <f>HYPERLINK("http://dx.doi.org/10.1109/TII.2021.3066257","http://dx.doi.org/10.1109/TII.2021.3066257")</f>
        <v>http://dx.doi.org/10.1109/TII.2021.3066257</v>
      </c>
      <c r="BG114" t="s">
        <v>74</v>
      </c>
      <c r="BH114" t="s">
        <v>74</v>
      </c>
      <c r="BI114">
        <v>11</v>
      </c>
      <c r="BJ114" t="s">
        <v>2177</v>
      </c>
      <c r="BK114" t="s">
        <v>149</v>
      </c>
      <c r="BL114" t="s">
        <v>1157</v>
      </c>
      <c r="BM114" t="s">
        <v>2178</v>
      </c>
      <c r="BN114" t="s">
        <v>74</v>
      </c>
      <c r="BO114" t="s">
        <v>74</v>
      </c>
      <c r="BP114" t="s">
        <v>74</v>
      </c>
      <c r="BQ114" t="s">
        <v>74</v>
      </c>
      <c r="BR114" t="s">
        <v>104</v>
      </c>
      <c r="BS114" t="s">
        <v>2179</v>
      </c>
      <c r="BT114" t="str">
        <f>HYPERLINK("https%3A%2F%2Fwww.webofscience.com%2Fwos%2Fwoscc%2Ffull-record%2FWOS:000690940600037","View Full Record in Web of Science")</f>
        <v>View Full Record in Web of Science</v>
      </c>
    </row>
    <row r="115" spans="1:72" x14ac:dyDescent="0.25">
      <c r="A115" t="s">
        <v>72</v>
      </c>
      <c r="B115" t="s">
        <v>2180</v>
      </c>
      <c r="C115" t="s">
        <v>74</v>
      </c>
      <c r="D115" t="s">
        <v>74</v>
      </c>
      <c r="E115" t="s">
        <v>74</v>
      </c>
      <c r="F115" t="s">
        <v>2181</v>
      </c>
      <c r="G115" t="s">
        <v>74</v>
      </c>
      <c r="H115" t="s">
        <v>74</v>
      </c>
      <c r="I115" t="s">
        <v>2182</v>
      </c>
      <c r="J115" t="s">
        <v>128</v>
      </c>
      <c r="K115" t="s">
        <v>74</v>
      </c>
      <c r="L115" t="s">
        <v>74</v>
      </c>
      <c r="M115" t="s">
        <v>78</v>
      </c>
      <c r="N115" t="s">
        <v>79</v>
      </c>
      <c r="O115" t="s">
        <v>74</v>
      </c>
      <c r="P115" t="s">
        <v>74</v>
      </c>
      <c r="Q115" t="s">
        <v>74</v>
      </c>
      <c r="R115" t="s">
        <v>74</v>
      </c>
      <c r="S115" t="s">
        <v>74</v>
      </c>
      <c r="T115" t="s">
        <v>2183</v>
      </c>
      <c r="U115" t="s">
        <v>2184</v>
      </c>
      <c r="V115" t="s">
        <v>2185</v>
      </c>
      <c r="W115" t="s">
        <v>2186</v>
      </c>
      <c r="X115" t="s">
        <v>2187</v>
      </c>
      <c r="Y115" t="s">
        <v>2188</v>
      </c>
      <c r="Z115" t="s">
        <v>2189</v>
      </c>
      <c r="AA115" t="s">
        <v>74</v>
      </c>
      <c r="AB115" t="s">
        <v>2190</v>
      </c>
      <c r="AC115" t="s">
        <v>2191</v>
      </c>
      <c r="AD115" t="s">
        <v>2192</v>
      </c>
      <c r="AE115" t="s">
        <v>2193</v>
      </c>
      <c r="AF115" t="s">
        <v>74</v>
      </c>
      <c r="AG115">
        <v>51</v>
      </c>
      <c r="AH115">
        <v>0</v>
      </c>
      <c r="AI115">
        <v>0</v>
      </c>
      <c r="AJ115">
        <v>11</v>
      </c>
      <c r="AK115">
        <v>11</v>
      </c>
      <c r="AL115" t="s">
        <v>138</v>
      </c>
      <c r="AM115" t="s">
        <v>139</v>
      </c>
      <c r="AN115" t="s">
        <v>140</v>
      </c>
      <c r="AO115" t="s">
        <v>141</v>
      </c>
      <c r="AP115" t="s">
        <v>142</v>
      </c>
      <c r="AQ115" t="s">
        <v>74</v>
      </c>
      <c r="AR115" t="s">
        <v>143</v>
      </c>
      <c r="AS115" t="s">
        <v>144</v>
      </c>
      <c r="AT115" t="s">
        <v>1867</v>
      </c>
      <c r="AU115">
        <v>2025</v>
      </c>
      <c r="AV115">
        <v>256</v>
      </c>
      <c r="AW115" t="s">
        <v>74</v>
      </c>
      <c r="AX115" t="s">
        <v>74</v>
      </c>
      <c r="AY115" t="s">
        <v>74</v>
      </c>
      <c r="AZ115" t="s">
        <v>74</v>
      </c>
      <c r="BA115" t="s">
        <v>74</v>
      </c>
      <c r="BB115" t="s">
        <v>74</v>
      </c>
      <c r="BC115" t="s">
        <v>74</v>
      </c>
      <c r="BD115">
        <v>110701</v>
      </c>
      <c r="BE115" t="s">
        <v>2194</v>
      </c>
      <c r="BF115" t="str">
        <f>HYPERLINK("http://dx.doi.org/10.1016/j.ress.2024.110701","http://dx.doi.org/10.1016/j.ress.2024.110701")</f>
        <v>http://dx.doi.org/10.1016/j.ress.2024.110701</v>
      </c>
      <c r="BG115" t="s">
        <v>74</v>
      </c>
      <c r="BH115" t="s">
        <v>1869</v>
      </c>
      <c r="BI115">
        <v>16</v>
      </c>
      <c r="BJ115" t="s">
        <v>148</v>
      </c>
      <c r="BK115" t="s">
        <v>149</v>
      </c>
      <c r="BL115" t="s">
        <v>150</v>
      </c>
      <c r="BM115" t="s">
        <v>2195</v>
      </c>
      <c r="BN115" t="s">
        <v>74</v>
      </c>
      <c r="BO115" t="s">
        <v>74</v>
      </c>
      <c r="BP115" t="s">
        <v>74</v>
      </c>
      <c r="BQ115" t="s">
        <v>74</v>
      </c>
      <c r="BR115" t="s">
        <v>104</v>
      </c>
      <c r="BS115" t="s">
        <v>2196</v>
      </c>
      <c r="BT115" t="str">
        <f>HYPERLINK("https%3A%2F%2Fwww.webofscience.com%2Fwos%2Fwoscc%2Ffull-record%2FWOS:001373717600001","View Full Record in Web of Science")</f>
        <v>View Full Record in Web of Science</v>
      </c>
    </row>
    <row r="116" spans="1:72" x14ac:dyDescent="0.25">
      <c r="A116" t="s">
        <v>72</v>
      </c>
      <c r="B116" t="s">
        <v>2197</v>
      </c>
      <c r="C116" t="s">
        <v>74</v>
      </c>
      <c r="D116" t="s">
        <v>74</v>
      </c>
      <c r="E116" t="s">
        <v>74</v>
      </c>
      <c r="F116" t="s">
        <v>2198</v>
      </c>
      <c r="G116" t="s">
        <v>74</v>
      </c>
      <c r="H116" t="s">
        <v>74</v>
      </c>
      <c r="I116" t="s">
        <v>2199</v>
      </c>
      <c r="J116" t="s">
        <v>128</v>
      </c>
      <c r="K116" t="s">
        <v>74</v>
      </c>
      <c r="L116" t="s">
        <v>74</v>
      </c>
      <c r="M116" t="s">
        <v>78</v>
      </c>
      <c r="N116" t="s">
        <v>79</v>
      </c>
      <c r="O116" t="s">
        <v>74</v>
      </c>
      <c r="P116" t="s">
        <v>74</v>
      </c>
      <c r="Q116" t="s">
        <v>74</v>
      </c>
      <c r="R116" t="s">
        <v>74</v>
      </c>
      <c r="S116" t="s">
        <v>74</v>
      </c>
      <c r="T116" t="s">
        <v>2200</v>
      </c>
      <c r="U116" t="s">
        <v>2201</v>
      </c>
      <c r="V116" t="s">
        <v>2202</v>
      </c>
      <c r="W116" t="s">
        <v>2203</v>
      </c>
      <c r="X116" t="s">
        <v>2204</v>
      </c>
      <c r="Y116" t="s">
        <v>2205</v>
      </c>
      <c r="Z116" t="s">
        <v>2206</v>
      </c>
      <c r="AA116" t="s">
        <v>807</v>
      </c>
      <c r="AB116" t="s">
        <v>2207</v>
      </c>
      <c r="AC116" t="s">
        <v>2208</v>
      </c>
      <c r="AD116" t="s">
        <v>2209</v>
      </c>
      <c r="AE116" t="s">
        <v>2210</v>
      </c>
      <c r="AF116" t="s">
        <v>74</v>
      </c>
      <c r="AG116">
        <v>32</v>
      </c>
      <c r="AH116">
        <v>75</v>
      </c>
      <c r="AI116">
        <v>79</v>
      </c>
      <c r="AJ116">
        <v>8</v>
      </c>
      <c r="AK116">
        <v>84</v>
      </c>
      <c r="AL116" t="s">
        <v>138</v>
      </c>
      <c r="AM116" t="s">
        <v>246</v>
      </c>
      <c r="AN116" t="s">
        <v>247</v>
      </c>
      <c r="AO116" t="s">
        <v>141</v>
      </c>
      <c r="AP116" t="s">
        <v>142</v>
      </c>
      <c r="AQ116" t="s">
        <v>74</v>
      </c>
      <c r="AR116" t="s">
        <v>143</v>
      </c>
      <c r="AS116" t="s">
        <v>144</v>
      </c>
      <c r="AT116" t="s">
        <v>559</v>
      </c>
      <c r="AU116">
        <v>2019</v>
      </c>
      <c r="AV116">
        <v>186</v>
      </c>
      <c r="AW116" t="s">
        <v>74</v>
      </c>
      <c r="AX116" t="s">
        <v>74</v>
      </c>
      <c r="AY116" t="s">
        <v>74</v>
      </c>
      <c r="AZ116" t="s">
        <v>74</v>
      </c>
      <c r="BA116" t="s">
        <v>74</v>
      </c>
      <c r="BB116">
        <v>162</v>
      </c>
      <c r="BC116">
        <v>175</v>
      </c>
      <c r="BD116" t="s">
        <v>74</v>
      </c>
      <c r="BE116" t="s">
        <v>2211</v>
      </c>
      <c r="BF116" t="str">
        <f>HYPERLINK("http://dx.doi.org/10.1016/j.ress.2019.02.021","http://dx.doi.org/10.1016/j.ress.2019.02.021")</f>
        <v>http://dx.doi.org/10.1016/j.ress.2019.02.021</v>
      </c>
      <c r="BG116" t="s">
        <v>74</v>
      </c>
      <c r="BH116" t="s">
        <v>74</v>
      </c>
      <c r="BI116">
        <v>14</v>
      </c>
      <c r="BJ116" t="s">
        <v>148</v>
      </c>
      <c r="BK116" t="s">
        <v>149</v>
      </c>
      <c r="BL116" t="s">
        <v>150</v>
      </c>
      <c r="BM116" t="s">
        <v>2212</v>
      </c>
      <c r="BN116" t="s">
        <v>74</v>
      </c>
      <c r="BO116" t="s">
        <v>74</v>
      </c>
      <c r="BP116" t="s">
        <v>74</v>
      </c>
      <c r="BQ116" t="s">
        <v>74</v>
      </c>
      <c r="BR116" t="s">
        <v>104</v>
      </c>
      <c r="BS116" t="s">
        <v>2213</v>
      </c>
      <c r="BT116" t="str">
        <f>HYPERLINK("https%3A%2F%2Fwww.webofscience.com%2Fwos%2Fwoscc%2Ffull-record%2FWOS:000465062300014","View Full Record in Web of Science")</f>
        <v>View Full Record in Web of Science</v>
      </c>
    </row>
    <row r="117" spans="1:72" x14ac:dyDescent="0.25">
      <c r="A117" t="s">
        <v>72</v>
      </c>
      <c r="B117" t="s">
        <v>2214</v>
      </c>
      <c r="C117" t="s">
        <v>74</v>
      </c>
      <c r="D117" t="s">
        <v>74</v>
      </c>
      <c r="E117" t="s">
        <v>74</v>
      </c>
      <c r="F117" t="s">
        <v>2215</v>
      </c>
      <c r="G117" t="s">
        <v>74</v>
      </c>
      <c r="H117" t="s">
        <v>74</v>
      </c>
      <c r="I117" t="s">
        <v>2216</v>
      </c>
      <c r="J117" t="s">
        <v>697</v>
      </c>
      <c r="K117" t="s">
        <v>74</v>
      </c>
      <c r="L117" t="s">
        <v>74</v>
      </c>
      <c r="M117" t="s">
        <v>78</v>
      </c>
      <c r="N117" t="s">
        <v>79</v>
      </c>
      <c r="O117" t="s">
        <v>74</v>
      </c>
      <c r="P117" t="s">
        <v>74</v>
      </c>
      <c r="Q117" t="s">
        <v>74</v>
      </c>
      <c r="R117" t="s">
        <v>74</v>
      </c>
      <c r="S117" t="s">
        <v>74</v>
      </c>
      <c r="T117" t="s">
        <v>2217</v>
      </c>
      <c r="U117" t="s">
        <v>2218</v>
      </c>
      <c r="V117" t="s">
        <v>2219</v>
      </c>
      <c r="W117" t="s">
        <v>2220</v>
      </c>
      <c r="X117" t="s">
        <v>458</v>
      </c>
      <c r="Y117" t="s">
        <v>2221</v>
      </c>
      <c r="Z117" t="s">
        <v>2222</v>
      </c>
      <c r="AA117" t="s">
        <v>74</v>
      </c>
      <c r="AB117" t="s">
        <v>2223</v>
      </c>
      <c r="AC117" t="s">
        <v>2224</v>
      </c>
      <c r="AD117" t="s">
        <v>2224</v>
      </c>
      <c r="AE117" t="s">
        <v>2224</v>
      </c>
      <c r="AF117" t="s">
        <v>74</v>
      </c>
      <c r="AG117">
        <v>69</v>
      </c>
      <c r="AH117">
        <v>6</v>
      </c>
      <c r="AI117">
        <v>6</v>
      </c>
      <c r="AJ117">
        <v>11</v>
      </c>
      <c r="AK117">
        <v>35</v>
      </c>
      <c r="AL117" t="s">
        <v>707</v>
      </c>
      <c r="AM117" t="s">
        <v>246</v>
      </c>
      <c r="AN117" t="s">
        <v>708</v>
      </c>
      <c r="AO117" t="s">
        <v>709</v>
      </c>
      <c r="AP117" t="s">
        <v>710</v>
      </c>
      <c r="AQ117" t="s">
        <v>74</v>
      </c>
      <c r="AR117" t="s">
        <v>711</v>
      </c>
      <c r="AS117" t="s">
        <v>712</v>
      </c>
      <c r="AT117" t="s">
        <v>2225</v>
      </c>
      <c r="AU117">
        <v>2023</v>
      </c>
      <c r="AV117">
        <v>182</v>
      </c>
      <c r="AW117" t="s">
        <v>74</v>
      </c>
      <c r="AX117" t="s">
        <v>74</v>
      </c>
      <c r="AY117" t="s">
        <v>74</v>
      </c>
      <c r="AZ117" t="s">
        <v>74</v>
      </c>
      <c r="BA117" t="s">
        <v>74</v>
      </c>
      <c r="BB117" t="s">
        <v>74</v>
      </c>
      <c r="BC117" t="s">
        <v>74</v>
      </c>
      <c r="BD117">
        <v>109409</v>
      </c>
      <c r="BE117" t="s">
        <v>2226</v>
      </c>
      <c r="BF117" t="str">
        <f>HYPERLINK("http://dx.doi.org/10.1016/j.cie.2023.109409","http://dx.doi.org/10.1016/j.cie.2023.109409")</f>
        <v>http://dx.doi.org/10.1016/j.cie.2023.109409</v>
      </c>
      <c r="BG117" t="s">
        <v>74</v>
      </c>
      <c r="BH117" t="s">
        <v>1042</v>
      </c>
      <c r="BI117">
        <v>19</v>
      </c>
      <c r="BJ117" t="s">
        <v>715</v>
      </c>
      <c r="BK117" t="s">
        <v>149</v>
      </c>
      <c r="BL117" t="s">
        <v>716</v>
      </c>
      <c r="BM117" t="s">
        <v>2227</v>
      </c>
      <c r="BN117" t="s">
        <v>74</v>
      </c>
      <c r="BO117" t="s">
        <v>1653</v>
      </c>
      <c r="BP117" t="s">
        <v>74</v>
      </c>
      <c r="BQ117" t="s">
        <v>74</v>
      </c>
      <c r="BR117" t="s">
        <v>104</v>
      </c>
      <c r="BS117" t="s">
        <v>2228</v>
      </c>
      <c r="BT117" t="str">
        <f>HYPERLINK("https%3A%2F%2Fwww.webofscience.com%2Fwos%2Fwoscc%2Ffull-record%2FWOS:001034439000001","View Full Record in Web of Science")</f>
        <v>View Full Record in Web of Science</v>
      </c>
    </row>
    <row r="118" spans="1:72" x14ac:dyDescent="0.25">
      <c r="A118" t="s">
        <v>72</v>
      </c>
      <c r="B118" t="s">
        <v>2229</v>
      </c>
      <c r="C118" t="s">
        <v>74</v>
      </c>
      <c r="D118" t="s">
        <v>74</v>
      </c>
      <c r="E118" t="s">
        <v>74</v>
      </c>
      <c r="F118" t="s">
        <v>2230</v>
      </c>
      <c r="G118" t="s">
        <v>74</v>
      </c>
      <c r="H118" t="s">
        <v>74</v>
      </c>
      <c r="I118" t="s">
        <v>2231</v>
      </c>
      <c r="J118" t="s">
        <v>1814</v>
      </c>
      <c r="K118" t="s">
        <v>74</v>
      </c>
      <c r="L118" t="s">
        <v>74</v>
      </c>
      <c r="M118" t="s">
        <v>78</v>
      </c>
      <c r="N118" t="s">
        <v>79</v>
      </c>
      <c r="O118" t="s">
        <v>74</v>
      </c>
      <c r="P118" t="s">
        <v>74</v>
      </c>
      <c r="Q118" t="s">
        <v>74</v>
      </c>
      <c r="R118" t="s">
        <v>74</v>
      </c>
      <c r="S118" t="s">
        <v>74</v>
      </c>
      <c r="T118" t="s">
        <v>2232</v>
      </c>
      <c r="U118" t="s">
        <v>2233</v>
      </c>
      <c r="V118" t="s">
        <v>2234</v>
      </c>
      <c r="W118" t="s">
        <v>2235</v>
      </c>
      <c r="X118" t="s">
        <v>2236</v>
      </c>
      <c r="Y118" t="s">
        <v>2237</v>
      </c>
      <c r="Z118" t="s">
        <v>2238</v>
      </c>
      <c r="AA118" t="s">
        <v>2239</v>
      </c>
      <c r="AB118" t="s">
        <v>2240</v>
      </c>
      <c r="AC118" t="s">
        <v>2241</v>
      </c>
      <c r="AD118" t="s">
        <v>2242</v>
      </c>
      <c r="AE118" t="s">
        <v>2243</v>
      </c>
      <c r="AF118" t="s">
        <v>74</v>
      </c>
      <c r="AG118">
        <v>85</v>
      </c>
      <c r="AH118">
        <v>7</v>
      </c>
      <c r="AI118">
        <v>7</v>
      </c>
      <c r="AJ118">
        <v>9</v>
      </c>
      <c r="AK118">
        <v>45</v>
      </c>
      <c r="AL118" t="s">
        <v>509</v>
      </c>
      <c r="AM118" t="s">
        <v>510</v>
      </c>
      <c r="AN118" t="s">
        <v>511</v>
      </c>
      <c r="AO118" t="s">
        <v>1824</v>
      </c>
      <c r="AP118" t="s">
        <v>1825</v>
      </c>
      <c r="AQ118" t="s">
        <v>74</v>
      </c>
      <c r="AR118" t="s">
        <v>1826</v>
      </c>
      <c r="AS118" t="s">
        <v>1827</v>
      </c>
      <c r="AT118" t="s">
        <v>1867</v>
      </c>
      <c r="AU118">
        <v>2023</v>
      </c>
      <c r="AV118">
        <v>258</v>
      </c>
      <c r="AW118" t="s">
        <v>74</v>
      </c>
      <c r="AX118" t="s">
        <v>74</v>
      </c>
      <c r="AY118" t="s">
        <v>74</v>
      </c>
      <c r="AZ118" t="s">
        <v>74</v>
      </c>
      <c r="BA118" t="s">
        <v>74</v>
      </c>
      <c r="BB118" t="s">
        <v>74</v>
      </c>
      <c r="BC118" t="s">
        <v>74</v>
      </c>
      <c r="BD118">
        <v>108798</v>
      </c>
      <c r="BE118" t="s">
        <v>2244</v>
      </c>
      <c r="BF118" t="str">
        <f>HYPERLINK("http://dx.doi.org/10.1016/j.ijpe.2023.108798","http://dx.doi.org/10.1016/j.ijpe.2023.108798")</f>
        <v>http://dx.doi.org/10.1016/j.ijpe.2023.108798</v>
      </c>
      <c r="BG118" t="s">
        <v>74</v>
      </c>
      <c r="BH118" t="s">
        <v>2022</v>
      </c>
      <c r="BI118">
        <v>11</v>
      </c>
      <c r="BJ118" t="s">
        <v>321</v>
      </c>
      <c r="BK118" t="s">
        <v>149</v>
      </c>
      <c r="BL118" t="s">
        <v>150</v>
      </c>
      <c r="BM118" t="s">
        <v>2245</v>
      </c>
      <c r="BN118" t="s">
        <v>74</v>
      </c>
      <c r="BO118" t="s">
        <v>400</v>
      </c>
      <c r="BP118" t="s">
        <v>74</v>
      </c>
      <c r="BQ118" t="s">
        <v>74</v>
      </c>
      <c r="BR118" t="s">
        <v>104</v>
      </c>
      <c r="BS118" t="s">
        <v>2246</v>
      </c>
      <c r="BT118" t="str">
        <f>HYPERLINK("https%3A%2F%2Fwww.webofscience.com%2Fwos%2Fwoscc%2Ffull-record%2FWOS:000944805700001","View Full Record in Web of Science")</f>
        <v>View Full Record in Web of Science</v>
      </c>
    </row>
    <row r="119" spans="1:72" x14ac:dyDescent="0.25">
      <c r="A119" t="s">
        <v>72</v>
      </c>
      <c r="B119" t="s">
        <v>2247</v>
      </c>
      <c r="C119" t="s">
        <v>74</v>
      </c>
      <c r="D119" t="s">
        <v>74</v>
      </c>
      <c r="E119" t="s">
        <v>74</v>
      </c>
      <c r="F119" t="s">
        <v>2248</v>
      </c>
      <c r="G119" t="s">
        <v>74</v>
      </c>
      <c r="H119" t="s">
        <v>74</v>
      </c>
      <c r="I119" t="s">
        <v>2249</v>
      </c>
      <c r="J119" t="s">
        <v>128</v>
      </c>
      <c r="K119" t="s">
        <v>74</v>
      </c>
      <c r="L119" t="s">
        <v>74</v>
      </c>
      <c r="M119" t="s">
        <v>78</v>
      </c>
      <c r="N119" t="s">
        <v>79</v>
      </c>
      <c r="O119" t="s">
        <v>74</v>
      </c>
      <c r="P119" t="s">
        <v>74</v>
      </c>
      <c r="Q119" t="s">
        <v>74</v>
      </c>
      <c r="R119" t="s">
        <v>74</v>
      </c>
      <c r="S119" t="s">
        <v>74</v>
      </c>
      <c r="T119" t="s">
        <v>2250</v>
      </c>
      <c r="U119" t="s">
        <v>2251</v>
      </c>
      <c r="V119" t="s">
        <v>2252</v>
      </c>
      <c r="W119" t="s">
        <v>2253</v>
      </c>
      <c r="X119" t="s">
        <v>2254</v>
      </c>
      <c r="Y119" t="s">
        <v>2255</v>
      </c>
      <c r="Z119" t="s">
        <v>2256</v>
      </c>
      <c r="AA119" t="s">
        <v>2257</v>
      </c>
      <c r="AB119" t="s">
        <v>2258</v>
      </c>
      <c r="AC119" t="s">
        <v>74</v>
      </c>
      <c r="AD119" t="s">
        <v>74</v>
      </c>
      <c r="AE119" t="s">
        <v>74</v>
      </c>
      <c r="AF119" t="s">
        <v>74</v>
      </c>
      <c r="AG119">
        <v>27</v>
      </c>
      <c r="AH119">
        <v>22</v>
      </c>
      <c r="AI119">
        <v>22</v>
      </c>
      <c r="AJ119">
        <v>4</v>
      </c>
      <c r="AK119">
        <v>53</v>
      </c>
      <c r="AL119" t="s">
        <v>138</v>
      </c>
      <c r="AM119" t="s">
        <v>246</v>
      </c>
      <c r="AN119" t="s">
        <v>247</v>
      </c>
      <c r="AO119" t="s">
        <v>141</v>
      </c>
      <c r="AP119" t="s">
        <v>142</v>
      </c>
      <c r="AQ119" t="s">
        <v>74</v>
      </c>
      <c r="AR119" t="s">
        <v>143</v>
      </c>
      <c r="AS119" t="s">
        <v>144</v>
      </c>
      <c r="AT119" t="s">
        <v>491</v>
      </c>
      <c r="AU119">
        <v>2021</v>
      </c>
      <c r="AV119">
        <v>215</v>
      </c>
      <c r="AW119" t="s">
        <v>74</v>
      </c>
      <c r="AX119" t="s">
        <v>74</v>
      </c>
      <c r="AY119" t="s">
        <v>74</v>
      </c>
      <c r="AZ119" t="s">
        <v>74</v>
      </c>
      <c r="BA119" t="s">
        <v>74</v>
      </c>
      <c r="BB119" t="s">
        <v>74</v>
      </c>
      <c r="BC119" t="s">
        <v>74</v>
      </c>
      <c r="BD119">
        <v>107801</v>
      </c>
      <c r="BE119" t="s">
        <v>2259</v>
      </c>
      <c r="BF119" t="str">
        <f>HYPERLINK("http://dx.doi.org/10.1016/j.ress.2021.107801","http://dx.doi.org/10.1016/j.ress.2021.107801")</f>
        <v>http://dx.doi.org/10.1016/j.ress.2021.107801</v>
      </c>
      <c r="BG119" t="s">
        <v>74</v>
      </c>
      <c r="BH119" t="s">
        <v>1771</v>
      </c>
      <c r="BI119">
        <v>18</v>
      </c>
      <c r="BJ119" t="s">
        <v>148</v>
      </c>
      <c r="BK119" t="s">
        <v>149</v>
      </c>
      <c r="BL119" t="s">
        <v>150</v>
      </c>
      <c r="BM119" t="s">
        <v>2260</v>
      </c>
      <c r="BN119" t="s">
        <v>74</v>
      </c>
      <c r="BO119" t="s">
        <v>74</v>
      </c>
      <c r="BP119" t="s">
        <v>74</v>
      </c>
      <c r="BQ119" t="s">
        <v>74</v>
      </c>
      <c r="BR119" t="s">
        <v>104</v>
      </c>
      <c r="BS119" t="s">
        <v>2261</v>
      </c>
      <c r="BT119" t="str">
        <f>HYPERLINK("https%3A%2F%2Fwww.webofscience.com%2Fwos%2Fwoscc%2Ffull-record%2FWOS:000690283800016","View Full Record in Web of Science")</f>
        <v>View Full Record in Web of Science</v>
      </c>
    </row>
    <row r="120" spans="1:72" x14ac:dyDescent="0.25">
      <c r="A120" t="s">
        <v>72</v>
      </c>
      <c r="B120" t="s">
        <v>2262</v>
      </c>
      <c r="C120" t="s">
        <v>74</v>
      </c>
      <c r="D120" t="s">
        <v>74</v>
      </c>
      <c r="E120" t="s">
        <v>74</v>
      </c>
      <c r="F120" t="s">
        <v>2263</v>
      </c>
      <c r="G120" t="s">
        <v>74</v>
      </c>
      <c r="H120" t="s">
        <v>74</v>
      </c>
      <c r="I120" t="s">
        <v>2264</v>
      </c>
      <c r="J120" t="s">
        <v>128</v>
      </c>
      <c r="K120" t="s">
        <v>74</v>
      </c>
      <c r="L120" t="s">
        <v>74</v>
      </c>
      <c r="M120" t="s">
        <v>78</v>
      </c>
      <c r="N120" t="s">
        <v>79</v>
      </c>
      <c r="O120" t="s">
        <v>74</v>
      </c>
      <c r="P120" t="s">
        <v>74</v>
      </c>
      <c r="Q120" t="s">
        <v>74</v>
      </c>
      <c r="R120" t="s">
        <v>74</v>
      </c>
      <c r="S120" t="s">
        <v>74</v>
      </c>
      <c r="T120" t="s">
        <v>2265</v>
      </c>
      <c r="U120" t="s">
        <v>2266</v>
      </c>
      <c r="V120" t="s">
        <v>2267</v>
      </c>
      <c r="W120" t="s">
        <v>2268</v>
      </c>
      <c r="X120" t="s">
        <v>2269</v>
      </c>
      <c r="Y120" t="s">
        <v>2270</v>
      </c>
      <c r="Z120" t="s">
        <v>2271</v>
      </c>
      <c r="AA120" t="s">
        <v>2272</v>
      </c>
      <c r="AB120" t="s">
        <v>74</v>
      </c>
      <c r="AC120" t="s">
        <v>74</v>
      </c>
      <c r="AD120" t="s">
        <v>74</v>
      </c>
      <c r="AE120" t="s">
        <v>74</v>
      </c>
      <c r="AF120" t="s">
        <v>74</v>
      </c>
      <c r="AG120">
        <v>47</v>
      </c>
      <c r="AH120">
        <v>10</v>
      </c>
      <c r="AI120">
        <v>10</v>
      </c>
      <c r="AJ120">
        <v>12</v>
      </c>
      <c r="AK120">
        <v>45</v>
      </c>
      <c r="AL120" t="s">
        <v>138</v>
      </c>
      <c r="AM120" t="s">
        <v>139</v>
      </c>
      <c r="AN120" t="s">
        <v>140</v>
      </c>
      <c r="AO120" t="s">
        <v>141</v>
      </c>
      <c r="AP120" t="s">
        <v>142</v>
      </c>
      <c r="AQ120" t="s">
        <v>74</v>
      </c>
      <c r="AR120" t="s">
        <v>143</v>
      </c>
      <c r="AS120" t="s">
        <v>144</v>
      </c>
      <c r="AT120" t="s">
        <v>1008</v>
      </c>
      <c r="AU120">
        <v>2023</v>
      </c>
      <c r="AV120">
        <v>229</v>
      </c>
      <c r="AW120" t="s">
        <v>74</v>
      </c>
      <c r="AX120" t="s">
        <v>74</v>
      </c>
      <c r="AY120" t="s">
        <v>74</v>
      </c>
      <c r="AZ120" t="s">
        <v>74</v>
      </c>
      <c r="BA120" t="s">
        <v>74</v>
      </c>
      <c r="BB120" t="s">
        <v>74</v>
      </c>
      <c r="BC120" t="s">
        <v>74</v>
      </c>
      <c r="BD120">
        <v>108879</v>
      </c>
      <c r="BE120" t="s">
        <v>2273</v>
      </c>
      <c r="BF120" t="str">
        <f>HYPERLINK("http://dx.doi.org/10.1016/j.ress.2022.108879","http://dx.doi.org/10.1016/j.ress.2022.108879")</f>
        <v>http://dx.doi.org/10.1016/j.ress.2022.108879</v>
      </c>
      <c r="BG120" t="s">
        <v>74</v>
      </c>
      <c r="BH120" t="s">
        <v>1285</v>
      </c>
      <c r="BI120">
        <v>16</v>
      </c>
      <c r="BJ120" t="s">
        <v>148</v>
      </c>
      <c r="BK120" t="s">
        <v>149</v>
      </c>
      <c r="BL120" t="s">
        <v>150</v>
      </c>
      <c r="BM120" t="s">
        <v>2274</v>
      </c>
      <c r="BN120" t="s">
        <v>74</v>
      </c>
      <c r="BO120" t="s">
        <v>74</v>
      </c>
      <c r="BP120" t="s">
        <v>74</v>
      </c>
      <c r="BQ120" t="s">
        <v>74</v>
      </c>
      <c r="BR120" t="s">
        <v>104</v>
      </c>
      <c r="BS120" t="s">
        <v>2275</v>
      </c>
      <c r="BT120" t="str">
        <f>HYPERLINK("https%3A%2F%2Fwww.webofscience.com%2Fwos%2Fwoscc%2Ffull-record%2FWOS:000875540700003","View Full Record in Web of Science")</f>
        <v>View Full Record in Web of Science</v>
      </c>
    </row>
    <row r="121" spans="1:72" x14ac:dyDescent="0.25">
      <c r="A121" t="s">
        <v>72</v>
      </c>
      <c r="B121" t="s">
        <v>2276</v>
      </c>
      <c r="C121" t="s">
        <v>74</v>
      </c>
      <c r="D121" t="s">
        <v>74</v>
      </c>
      <c r="E121" t="s">
        <v>74</v>
      </c>
      <c r="F121" t="s">
        <v>2277</v>
      </c>
      <c r="G121" t="s">
        <v>74</v>
      </c>
      <c r="H121" t="s">
        <v>74</v>
      </c>
      <c r="I121" t="s">
        <v>2278</v>
      </c>
      <c r="J121" t="s">
        <v>697</v>
      </c>
      <c r="K121" t="s">
        <v>74</v>
      </c>
      <c r="L121" t="s">
        <v>74</v>
      </c>
      <c r="M121" t="s">
        <v>78</v>
      </c>
      <c r="N121" t="s">
        <v>79</v>
      </c>
      <c r="O121" t="s">
        <v>74</v>
      </c>
      <c r="P121" t="s">
        <v>74</v>
      </c>
      <c r="Q121" t="s">
        <v>74</v>
      </c>
      <c r="R121" t="s">
        <v>74</v>
      </c>
      <c r="S121" t="s">
        <v>74</v>
      </c>
      <c r="T121" t="s">
        <v>2279</v>
      </c>
      <c r="U121" t="s">
        <v>2280</v>
      </c>
      <c r="V121" t="s">
        <v>2281</v>
      </c>
      <c r="W121" t="s">
        <v>2282</v>
      </c>
      <c r="X121" t="s">
        <v>2283</v>
      </c>
      <c r="Y121" t="s">
        <v>1448</v>
      </c>
      <c r="Z121" t="s">
        <v>2284</v>
      </c>
      <c r="AA121" t="s">
        <v>2285</v>
      </c>
      <c r="AB121" t="s">
        <v>2286</v>
      </c>
      <c r="AC121" t="s">
        <v>2287</v>
      </c>
      <c r="AD121" t="s">
        <v>2288</v>
      </c>
      <c r="AE121" t="s">
        <v>2289</v>
      </c>
      <c r="AF121" t="s">
        <v>74</v>
      </c>
      <c r="AG121">
        <v>52</v>
      </c>
      <c r="AH121">
        <v>10</v>
      </c>
      <c r="AI121">
        <v>11</v>
      </c>
      <c r="AJ121">
        <v>5</v>
      </c>
      <c r="AK121">
        <v>48</v>
      </c>
      <c r="AL121" t="s">
        <v>707</v>
      </c>
      <c r="AM121" t="s">
        <v>246</v>
      </c>
      <c r="AN121" t="s">
        <v>708</v>
      </c>
      <c r="AO121" t="s">
        <v>709</v>
      </c>
      <c r="AP121" t="s">
        <v>710</v>
      </c>
      <c r="AQ121" t="s">
        <v>74</v>
      </c>
      <c r="AR121" t="s">
        <v>711</v>
      </c>
      <c r="AS121" t="s">
        <v>712</v>
      </c>
      <c r="AT121" t="s">
        <v>559</v>
      </c>
      <c r="AU121">
        <v>2021</v>
      </c>
      <c r="AV121">
        <v>156</v>
      </c>
      <c r="AW121" t="s">
        <v>74</v>
      </c>
      <c r="AX121" t="s">
        <v>74</v>
      </c>
      <c r="AY121" t="s">
        <v>74</v>
      </c>
      <c r="AZ121" t="s">
        <v>74</v>
      </c>
      <c r="BA121" t="s">
        <v>74</v>
      </c>
      <c r="BB121" t="s">
        <v>74</v>
      </c>
      <c r="BC121" t="s">
        <v>74</v>
      </c>
      <c r="BD121">
        <v>107257</v>
      </c>
      <c r="BE121" t="s">
        <v>2290</v>
      </c>
      <c r="BF121" t="str">
        <f>HYPERLINK("http://dx.doi.org/10.1016/j.cie.2021.107257","http://dx.doi.org/10.1016/j.cie.2021.107257")</f>
        <v>http://dx.doi.org/10.1016/j.cie.2021.107257</v>
      </c>
      <c r="BG121" t="s">
        <v>74</v>
      </c>
      <c r="BH121" t="s">
        <v>714</v>
      </c>
      <c r="BI121">
        <v>13</v>
      </c>
      <c r="BJ121" t="s">
        <v>715</v>
      </c>
      <c r="BK121" t="s">
        <v>149</v>
      </c>
      <c r="BL121" t="s">
        <v>716</v>
      </c>
      <c r="BM121" t="s">
        <v>717</v>
      </c>
      <c r="BN121" t="s">
        <v>74</v>
      </c>
      <c r="BO121" t="s">
        <v>74</v>
      </c>
      <c r="BP121" t="s">
        <v>74</v>
      </c>
      <c r="BQ121" t="s">
        <v>74</v>
      </c>
      <c r="BR121" t="s">
        <v>104</v>
      </c>
      <c r="BS121" t="s">
        <v>2291</v>
      </c>
      <c r="BT121" t="str">
        <f>HYPERLINK("https%3A%2F%2Fwww.webofscience.com%2Fwos%2Fwoscc%2Ffull-record%2FWOS:000647845400036","View Full Record in Web of Science")</f>
        <v>View Full Record in Web of Science</v>
      </c>
    </row>
    <row r="122" spans="1:72" x14ac:dyDescent="0.25">
      <c r="A122" t="s">
        <v>72</v>
      </c>
      <c r="B122" t="s">
        <v>2292</v>
      </c>
      <c r="C122" t="s">
        <v>74</v>
      </c>
      <c r="D122" t="s">
        <v>74</v>
      </c>
      <c r="E122" t="s">
        <v>74</v>
      </c>
      <c r="F122" t="s">
        <v>2293</v>
      </c>
      <c r="G122" t="s">
        <v>74</v>
      </c>
      <c r="H122" t="s">
        <v>74</v>
      </c>
      <c r="I122" t="s">
        <v>2294</v>
      </c>
      <c r="J122" t="s">
        <v>128</v>
      </c>
      <c r="K122" t="s">
        <v>74</v>
      </c>
      <c r="L122" t="s">
        <v>74</v>
      </c>
      <c r="M122" t="s">
        <v>78</v>
      </c>
      <c r="N122" t="s">
        <v>79</v>
      </c>
      <c r="O122" t="s">
        <v>74</v>
      </c>
      <c r="P122" t="s">
        <v>74</v>
      </c>
      <c r="Q122" t="s">
        <v>74</v>
      </c>
      <c r="R122" t="s">
        <v>74</v>
      </c>
      <c r="S122" t="s">
        <v>74</v>
      </c>
      <c r="T122" t="s">
        <v>2295</v>
      </c>
      <c r="U122" t="s">
        <v>2296</v>
      </c>
      <c r="V122" t="s">
        <v>2297</v>
      </c>
      <c r="W122" t="s">
        <v>2298</v>
      </c>
      <c r="X122" t="s">
        <v>2299</v>
      </c>
      <c r="Y122" t="s">
        <v>2300</v>
      </c>
      <c r="Z122" t="s">
        <v>2301</v>
      </c>
      <c r="AA122" t="s">
        <v>2302</v>
      </c>
      <c r="AB122" t="s">
        <v>2303</v>
      </c>
      <c r="AC122" t="s">
        <v>74</v>
      </c>
      <c r="AD122" t="s">
        <v>74</v>
      </c>
      <c r="AE122" t="s">
        <v>74</v>
      </c>
      <c r="AF122" t="s">
        <v>74</v>
      </c>
      <c r="AG122">
        <v>58</v>
      </c>
      <c r="AH122">
        <v>9</v>
      </c>
      <c r="AI122">
        <v>9</v>
      </c>
      <c r="AJ122">
        <v>5</v>
      </c>
      <c r="AK122">
        <v>21</v>
      </c>
      <c r="AL122" t="s">
        <v>138</v>
      </c>
      <c r="AM122" t="s">
        <v>139</v>
      </c>
      <c r="AN122" t="s">
        <v>140</v>
      </c>
      <c r="AO122" t="s">
        <v>141</v>
      </c>
      <c r="AP122" t="s">
        <v>142</v>
      </c>
      <c r="AQ122" t="s">
        <v>74</v>
      </c>
      <c r="AR122" t="s">
        <v>143</v>
      </c>
      <c r="AS122" t="s">
        <v>144</v>
      </c>
      <c r="AT122" t="s">
        <v>248</v>
      </c>
      <c r="AU122">
        <v>2023</v>
      </c>
      <c r="AV122">
        <v>235</v>
      </c>
      <c r="AW122" t="s">
        <v>74</v>
      </c>
      <c r="AX122" t="s">
        <v>74</v>
      </c>
      <c r="AY122" t="s">
        <v>74</v>
      </c>
      <c r="AZ122" t="s">
        <v>74</v>
      </c>
      <c r="BA122" t="s">
        <v>74</v>
      </c>
      <c r="BB122" t="s">
        <v>74</v>
      </c>
      <c r="BC122" t="s">
        <v>74</v>
      </c>
      <c r="BD122">
        <v>109216</v>
      </c>
      <c r="BE122" t="s">
        <v>2304</v>
      </c>
      <c r="BF122" t="str">
        <f>HYPERLINK("http://dx.doi.org/10.1016/j.ress.2023.109216","http://dx.doi.org/10.1016/j.ress.2023.109216")</f>
        <v>http://dx.doi.org/10.1016/j.ress.2023.109216</v>
      </c>
      <c r="BG122" t="s">
        <v>74</v>
      </c>
      <c r="BH122" t="s">
        <v>1685</v>
      </c>
      <c r="BI122">
        <v>14</v>
      </c>
      <c r="BJ122" t="s">
        <v>148</v>
      </c>
      <c r="BK122" t="s">
        <v>149</v>
      </c>
      <c r="BL122" t="s">
        <v>150</v>
      </c>
      <c r="BM122" t="s">
        <v>2305</v>
      </c>
      <c r="BN122" t="s">
        <v>74</v>
      </c>
      <c r="BO122" t="s">
        <v>74</v>
      </c>
      <c r="BP122" t="s">
        <v>74</v>
      </c>
      <c r="BQ122" t="s">
        <v>74</v>
      </c>
      <c r="BR122" t="s">
        <v>104</v>
      </c>
      <c r="BS122" t="s">
        <v>2306</v>
      </c>
      <c r="BT122" t="str">
        <f>HYPERLINK("https%3A%2F%2Fwww.webofscience.com%2Fwos%2Fwoscc%2Ffull-record%2FWOS:000967926000001","View Full Record in Web of Science")</f>
        <v>View Full Record in Web of Science</v>
      </c>
    </row>
    <row r="123" spans="1:72" x14ac:dyDescent="0.25">
      <c r="A123" t="s">
        <v>72</v>
      </c>
      <c r="B123" t="s">
        <v>2307</v>
      </c>
      <c r="C123" t="s">
        <v>74</v>
      </c>
      <c r="D123" t="s">
        <v>74</v>
      </c>
      <c r="E123" t="s">
        <v>74</v>
      </c>
      <c r="F123" t="s">
        <v>2308</v>
      </c>
      <c r="G123" t="s">
        <v>74</v>
      </c>
      <c r="H123" t="s">
        <v>74</v>
      </c>
      <c r="I123" t="s">
        <v>2309</v>
      </c>
      <c r="J123" t="s">
        <v>128</v>
      </c>
      <c r="K123" t="s">
        <v>74</v>
      </c>
      <c r="L123" t="s">
        <v>74</v>
      </c>
      <c r="M123" t="s">
        <v>78</v>
      </c>
      <c r="N123" t="s">
        <v>79</v>
      </c>
      <c r="O123" t="s">
        <v>74</v>
      </c>
      <c r="P123" t="s">
        <v>74</v>
      </c>
      <c r="Q123" t="s">
        <v>74</v>
      </c>
      <c r="R123" t="s">
        <v>74</v>
      </c>
      <c r="S123" t="s">
        <v>74</v>
      </c>
      <c r="T123" t="s">
        <v>2310</v>
      </c>
      <c r="U123" t="s">
        <v>2311</v>
      </c>
      <c r="V123" t="s">
        <v>2312</v>
      </c>
      <c r="W123" t="s">
        <v>2313</v>
      </c>
      <c r="X123" t="s">
        <v>2314</v>
      </c>
      <c r="Y123" t="s">
        <v>2315</v>
      </c>
      <c r="Z123" t="s">
        <v>2316</v>
      </c>
      <c r="AA123" t="s">
        <v>2317</v>
      </c>
      <c r="AB123" t="s">
        <v>1299</v>
      </c>
      <c r="AC123" t="s">
        <v>1300</v>
      </c>
      <c r="AD123" t="s">
        <v>1301</v>
      </c>
      <c r="AE123" t="s">
        <v>2318</v>
      </c>
      <c r="AF123" t="s">
        <v>74</v>
      </c>
      <c r="AG123">
        <v>57</v>
      </c>
      <c r="AH123">
        <v>18</v>
      </c>
      <c r="AI123">
        <v>19</v>
      </c>
      <c r="AJ123">
        <v>8</v>
      </c>
      <c r="AK123">
        <v>31</v>
      </c>
      <c r="AL123" t="s">
        <v>138</v>
      </c>
      <c r="AM123" t="s">
        <v>139</v>
      </c>
      <c r="AN123" t="s">
        <v>140</v>
      </c>
      <c r="AO123" t="s">
        <v>141</v>
      </c>
      <c r="AP123" t="s">
        <v>142</v>
      </c>
      <c r="AQ123" t="s">
        <v>74</v>
      </c>
      <c r="AR123" t="s">
        <v>143</v>
      </c>
      <c r="AS123" t="s">
        <v>144</v>
      </c>
      <c r="AT123" t="s">
        <v>559</v>
      </c>
      <c r="AU123">
        <v>2023</v>
      </c>
      <c r="AV123">
        <v>234</v>
      </c>
      <c r="AW123" t="s">
        <v>74</v>
      </c>
      <c r="AX123" t="s">
        <v>74</v>
      </c>
      <c r="AY123" t="s">
        <v>74</v>
      </c>
      <c r="AZ123" t="s">
        <v>74</v>
      </c>
      <c r="BA123" t="s">
        <v>74</v>
      </c>
      <c r="BB123" t="s">
        <v>74</v>
      </c>
      <c r="BC123" t="s">
        <v>74</v>
      </c>
      <c r="BD123">
        <v>109187</v>
      </c>
      <c r="BE123" t="s">
        <v>2319</v>
      </c>
      <c r="BF123" t="str">
        <f>HYPERLINK("http://dx.doi.org/10.1016/j.ress.2023.109187","http://dx.doi.org/10.1016/j.ress.2023.109187")</f>
        <v>http://dx.doi.org/10.1016/j.ress.2023.109187</v>
      </c>
      <c r="BG123" t="s">
        <v>74</v>
      </c>
      <c r="BH123" t="s">
        <v>1685</v>
      </c>
      <c r="BI123">
        <v>18</v>
      </c>
      <c r="BJ123" t="s">
        <v>148</v>
      </c>
      <c r="BK123" t="s">
        <v>149</v>
      </c>
      <c r="BL123" t="s">
        <v>150</v>
      </c>
      <c r="BM123" t="s">
        <v>2320</v>
      </c>
      <c r="BN123" t="s">
        <v>74</v>
      </c>
      <c r="BO123" t="s">
        <v>74</v>
      </c>
      <c r="BP123" t="s">
        <v>74</v>
      </c>
      <c r="BQ123" t="s">
        <v>74</v>
      </c>
      <c r="BR123" t="s">
        <v>104</v>
      </c>
      <c r="BS123" t="s">
        <v>2321</v>
      </c>
      <c r="BT123" t="str">
        <f>HYPERLINK("https%3A%2F%2Fwww.webofscience.com%2Fwos%2Fwoscc%2Ffull-record%2FWOS:000961941500001","View Full Record in Web of Science")</f>
        <v>View Full Record in Web of Science</v>
      </c>
    </row>
    <row r="124" spans="1:72" x14ac:dyDescent="0.25">
      <c r="A124" t="s">
        <v>72</v>
      </c>
      <c r="B124" t="s">
        <v>2322</v>
      </c>
      <c r="C124" t="s">
        <v>74</v>
      </c>
      <c r="D124" t="s">
        <v>74</v>
      </c>
      <c r="E124" t="s">
        <v>74</v>
      </c>
      <c r="F124" t="s">
        <v>2323</v>
      </c>
      <c r="G124" t="s">
        <v>74</v>
      </c>
      <c r="H124" t="s">
        <v>74</v>
      </c>
      <c r="I124" t="s">
        <v>2324</v>
      </c>
      <c r="J124" t="s">
        <v>1814</v>
      </c>
      <c r="K124" t="s">
        <v>74</v>
      </c>
      <c r="L124" t="s">
        <v>74</v>
      </c>
      <c r="M124" t="s">
        <v>78</v>
      </c>
      <c r="N124" t="s">
        <v>79</v>
      </c>
      <c r="O124" t="s">
        <v>74</v>
      </c>
      <c r="P124" t="s">
        <v>74</v>
      </c>
      <c r="Q124" t="s">
        <v>74</v>
      </c>
      <c r="R124" t="s">
        <v>74</v>
      </c>
      <c r="S124" t="s">
        <v>74</v>
      </c>
      <c r="T124" t="s">
        <v>2325</v>
      </c>
      <c r="U124" t="s">
        <v>2326</v>
      </c>
      <c r="V124" t="s">
        <v>2327</v>
      </c>
      <c r="W124" t="s">
        <v>2328</v>
      </c>
      <c r="X124" t="s">
        <v>2329</v>
      </c>
      <c r="Y124" t="s">
        <v>2330</v>
      </c>
      <c r="Z124" t="s">
        <v>2331</v>
      </c>
      <c r="AA124" t="s">
        <v>2332</v>
      </c>
      <c r="AB124" t="s">
        <v>74</v>
      </c>
      <c r="AC124" t="s">
        <v>2333</v>
      </c>
      <c r="AD124" t="s">
        <v>482</v>
      </c>
      <c r="AE124" t="s">
        <v>2334</v>
      </c>
      <c r="AF124" t="s">
        <v>74</v>
      </c>
      <c r="AG124">
        <v>43</v>
      </c>
      <c r="AH124">
        <v>6</v>
      </c>
      <c r="AI124">
        <v>6</v>
      </c>
      <c r="AJ124">
        <v>10</v>
      </c>
      <c r="AK124">
        <v>30</v>
      </c>
      <c r="AL124" t="s">
        <v>509</v>
      </c>
      <c r="AM124" t="s">
        <v>510</v>
      </c>
      <c r="AN124" t="s">
        <v>511</v>
      </c>
      <c r="AO124" t="s">
        <v>1824</v>
      </c>
      <c r="AP124" t="s">
        <v>1825</v>
      </c>
      <c r="AQ124" t="s">
        <v>74</v>
      </c>
      <c r="AR124" t="s">
        <v>1826</v>
      </c>
      <c r="AS124" t="s">
        <v>1827</v>
      </c>
      <c r="AT124" t="s">
        <v>1076</v>
      </c>
      <c r="AU124">
        <v>2023</v>
      </c>
      <c r="AV124">
        <v>264</v>
      </c>
      <c r="AW124" t="s">
        <v>74</v>
      </c>
      <c r="AX124" t="s">
        <v>74</v>
      </c>
      <c r="AY124" t="s">
        <v>74</v>
      </c>
      <c r="AZ124" t="s">
        <v>74</v>
      </c>
      <c r="BA124" t="s">
        <v>74</v>
      </c>
      <c r="BB124" t="s">
        <v>74</v>
      </c>
      <c r="BC124" t="s">
        <v>74</v>
      </c>
      <c r="BD124">
        <v>108982</v>
      </c>
      <c r="BE124" t="s">
        <v>2335</v>
      </c>
      <c r="BF124" t="str">
        <f>HYPERLINK("http://dx.doi.org/10.1016/j.ijpe.2023.108982","http://dx.doi.org/10.1016/j.ijpe.2023.108982")</f>
        <v>http://dx.doi.org/10.1016/j.ijpe.2023.108982</v>
      </c>
      <c r="BG124" t="s">
        <v>74</v>
      </c>
      <c r="BH124" t="s">
        <v>1155</v>
      </c>
      <c r="BI124">
        <v>12</v>
      </c>
      <c r="BJ124" t="s">
        <v>321</v>
      </c>
      <c r="BK124" t="s">
        <v>149</v>
      </c>
      <c r="BL124" t="s">
        <v>150</v>
      </c>
      <c r="BM124" t="s">
        <v>2336</v>
      </c>
      <c r="BN124" t="s">
        <v>74</v>
      </c>
      <c r="BO124" t="s">
        <v>2337</v>
      </c>
      <c r="BP124" t="s">
        <v>74</v>
      </c>
      <c r="BQ124" t="s">
        <v>74</v>
      </c>
      <c r="BR124" t="s">
        <v>104</v>
      </c>
      <c r="BS124" t="s">
        <v>2338</v>
      </c>
      <c r="BT124" t="str">
        <f>HYPERLINK("https%3A%2F%2Fwww.webofscience.com%2Fwos%2Fwoscc%2Ffull-record%2FWOS:001051352100001","View Full Record in Web of Science")</f>
        <v>View Full Record in Web of Science</v>
      </c>
    </row>
    <row r="125" spans="1:72" x14ac:dyDescent="0.25">
      <c r="A125" t="s">
        <v>72</v>
      </c>
      <c r="B125" t="s">
        <v>2339</v>
      </c>
      <c r="C125" t="s">
        <v>74</v>
      </c>
      <c r="D125" t="s">
        <v>74</v>
      </c>
      <c r="E125" t="s">
        <v>74</v>
      </c>
      <c r="F125" t="s">
        <v>2340</v>
      </c>
      <c r="G125" t="s">
        <v>74</v>
      </c>
      <c r="H125" t="s">
        <v>74</v>
      </c>
      <c r="I125" t="s">
        <v>2341</v>
      </c>
      <c r="J125" t="s">
        <v>697</v>
      </c>
      <c r="K125" t="s">
        <v>74</v>
      </c>
      <c r="L125" t="s">
        <v>74</v>
      </c>
      <c r="M125" t="s">
        <v>78</v>
      </c>
      <c r="N125" t="s">
        <v>79</v>
      </c>
      <c r="O125" t="s">
        <v>74</v>
      </c>
      <c r="P125" t="s">
        <v>74</v>
      </c>
      <c r="Q125" t="s">
        <v>74</v>
      </c>
      <c r="R125" t="s">
        <v>74</v>
      </c>
      <c r="S125" t="s">
        <v>74</v>
      </c>
      <c r="T125" t="s">
        <v>2342</v>
      </c>
      <c r="U125" t="s">
        <v>2343</v>
      </c>
      <c r="V125" t="s">
        <v>2344</v>
      </c>
      <c r="W125" t="s">
        <v>2345</v>
      </c>
      <c r="X125" t="s">
        <v>2346</v>
      </c>
      <c r="Y125" t="s">
        <v>2347</v>
      </c>
      <c r="Z125" t="s">
        <v>2348</v>
      </c>
      <c r="AA125" t="s">
        <v>74</v>
      </c>
      <c r="AB125" t="s">
        <v>74</v>
      </c>
      <c r="AC125" t="s">
        <v>74</v>
      </c>
      <c r="AD125" t="s">
        <v>74</v>
      </c>
      <c r="AE125" t="s">
        <v>74</v>
      </c>
      <c r="AF125" t="s">
        <v>74</v>
      </c>
      <c r="AG125">
        <v>36</v>
      </c>
      <c r="AH125">
        <v>15</v>
      </c>
      <c r="AI125">
        <v>16</v>
      </c>
      <c r="AJ125">
        <v>14</v>
      </c>
      <c r="AK125">
        <v>71</v>
      </c>
      <c r="AL125" t="s">
        <v>707</v>
      </c>
      <c r="AM125" t="s">
        <v>246</v>
      </c>
      <c r="AN125" t="s">
        <v>708</v>
      </c>
      <c r="AO125" t="s">
        <v>709</v>
      </c>
      <c r="AP125" t="s">
        <v>710</v>
      </c>
      <c r="AQ125" t="s">
        <v>74</v>
      </c>
      <c r="AR125" t="s">
        <v>711</v>
      </c>
      <c r="AS125" t="s">
        <v>712</v>
      </c>
      <c r="AT125" t="s">
        <v>533</v>
      </c>
      <c r="AU125">
        <v>2022</v>
      </c>
      <c r="AV125">
        <v>164</v>
      </c>
      <c r="AW125" t="s">
        <v>74</v>
      </c>
      <c r="AX125" t="s">
        <v>74</v>
      </c>
      <c r="AY125" t="s">
        <v>74</v>
      </c>
      <c r="AZ125" t="s">
        <v>74</v>
      </c>
      <c r="BA125" t="s">
        <v>74</v>
      </c>
      <c r="BB125" t="s">
        <v>74</v>
      </c>
      <c r="BC125" t="s">
        <v>74</v>
      </c>
      <c r="BD125">
        <v>107898</v>
      </c>
      <c r="BE125" t="s">
        <v>2349</v>
      </c>
      <c r="BF125" t="str">
        <f>HYPERLINK("http://dx.doi.org/10.1016/j.cie.2021.107898","http://dx.doi.org/10.1016/j.cie.2021.107898")</f>
        <v>http://dx.doi.org/10.1016/j.cie.2021.107898</v>
      </c>
      <c r="BG125" t="s">
        <v>74</v>
      </c>
      <c r="BH125" t="s">
        <v>794</v>
      </c>
      <c r="BI125">
        <v>11</v>
      </c>
      <c r="BJ125" t="s">
        <v>715</v>
      </c>
      <c r="BK125" t="s">
        <v>149</v>
      </c>
      <c r="BL125" t="s">
        <v>716</v>
      </c>
      <c r="BM125" t="s">
        <v>2350</v>
      </c>
      <c r="BN125" t="s">
        <v>74</v>
      </c>
      <c r="BO125" t="s">
        <v>74</v>
      </c>
      <c r="BP125" t="s">
        <v>74</v>
      </c>
      <c r="BQ125" t="s">
        <v>74</v>
      </c>
      <c r="BR125" t="s">
        <v>104</v>
      </c>
      <c r="BS125" t="s">
        <v>2351</v>
      </c>
      <c r="BT125" t="str">
        <f>HYPERLINK("https%3A%2F%2Fwww.webofscience.com%2Fwos%2Fwoscc%2Ffull-record%2FWOS:000752860400027","View Full Record in Web of Science")</f>
        <v>View Full Record in Web of Science</v>
      </c>
    </row>
    <row r="126" spans="1:72" x14ac:dyDescent="0.25">
      <c r="A126" t="s">
        <v>72</v>
      </c>
      <c r="B126" t="s">
        <v>2352</v>
      </c>
      <c r="C126" t="s">
        <v>74</v>
      </c>
      <c r="D126" t="s">
        <v>74</v>
      </c>
      <c r="E126" t="s">
        <v>74</v>
      </c>
      <c r="F126" t="s">
        <v>2353</v>
      </c>
      <c r="G126" t="s">
        <v>74</v>
      </c>
      <c r="H126" t="s">
        <v>74</v>
      </c>
      <c r="I126" t="s">
        <v>2354</v>
      </c>
      <c r="J126" t="s">
        <v>2355</v>
      </c>
      <c r="K126" t="s">
        <v>74</v>
      </c>
      <c r="L126" t="s">
        <v>74</v>
      </c>
      <c r="M126" t="s">
        <v>78</v>
      </c>
      <c r="N126" t="s">
        <v>79</v>
      </c>
      <c r="O126" t="s">
        <v>74</v>
      </c>
      <c r="P126" t="s">
        <v>74</v>
      </c>
      <c r="Q126" t="s">
        <v>74</v>
      </c>
      <c r="R126" t="s">
        <v>74</v>
      </c>
      <c r="S126" t="s">
        <v>74</v>
      </c>
      <c r="T126" t="s">
        <v>2356</v>
      </c>
      <c r="U126" t="s">
        <v>2357</v>
      </c>
      <c r="V126" t="s">
        <v>2358</v>
      </c>
      <c r="W126" t="s">
        <v>2359</v>
      </c>
      <c r="X126" t="s">
        <v>2360</v>
      </c>
      <c r="Y126" t="s">
        <v>2361</v>
      </c>
      <c r="Z126" t="s">
        <v>2362</v>
      </c>
      <c r="AA126" t="s">
        <v>2363</v>
      </c>
      <c r="AB126" t="s">
        <v>2364</v>
      </c>
      <c r="AC126" t="s">
        <v>2365</v>
      </c>
      <c r="AD126" t="s">
        <v>2366</v>
      </c>
      <c r="AE126" t="s">
        <v>2367</v>
      </c>
      <c r="AF126" t="s">
        <v>74</v>
      </c>
      <c r="AG126">
        <v>49</v>
      </c>
      <c r="AH126">
        <v>1</v>
      </c>
      <c r="AI126">
        <v>1</v>
      </c>
      <c r="AJ126">
        <v>4</v>
      </c>
      <c r="AK126">
        <v>14</v>
      </c>
      <c r="AL126" t="s">
        <v>2368</v>
      </c>
      <c r="AM126" t="s">
        <v>2369</v>
      </c>
      <c r="AN126" t="s">
        <v>2370</v>
      </c>
      <c r="AO126" t="s">
        <v>2371</v>
      </c>
      <c r="AP126" t="s">
        <v>74</v>
      </c>
      <c r="AQ126" t="s">
        <v>74</v>
      </c>
      <c r="AR126" t="s">
        <v>2372</v>
      </c>
      <c r="AS126" t="s">
        <v>2373</v>
      </c>
      <c r="AT126" t="s">
        <v>1867</v>
      </c>
      <c r="AU126">
        <v>2022</v>
      </c>
      <c r="AV126">
        <v>30</v>
      </c>
      <c r="AW126">
        <v>2</v>
      </c>
      <c r="AX126" t="s">
        <v>74</v>
      </c>
      <c r="AY126" t="s">
        <v>74</v>
      </c>
      <c r="AZ126" t="s">
        <v>74</v>
      </c>
      <c r="BA126" t="s">
        <v>74</v>
      </c>
      <c r="BB126">
        <v>875</v>
      </c>
      <c r="BC126">
        <v>896</v>
      </c>
      <c r="BD126" t="s">
        <v>74</v>
      </c>
      <c r="BE126" t="s">
        <v>2374</v>
      </c>
      <c r="BF126" t="str">
        <f>HYPERLINK("http://dx.doi.org/10.47836/pjst.30.2.02","http://dx.doi.org/10.47836/pjst.30.2.02")</f>
        <v>http://dx.doi.org/10.47836/pjst.30.2.02</v>
      </c>
      <c r="BG126" t="s">
        <v>74</v>
      </c>
      <c r="BH126" t="s">
        <v>74</v>
      </c>
      <c r="BI126">
        <v>22</v>
      </c>
      <c r="BJ126" t="s">
        <v>517</v>
      </c>
      <c r="BK126" t="s">
        <v>101</v>
      </c>
      <c r="BL126" t="s">
        <v>518</v>
      </c>
      <c r="BM126" t="s">
        <v>2375</v>
      </c>
      <c r="BN126" t="s">
        <v>74</v>
      </c>
      <c r="BO126" t="s">
        <v>123</v>
      </c>
      <c r="BP126" t="s">
        <v>74</v>
      </c>
      <c r="BQ126" t="s">
        <v>74</v>
      </c>
      <c r="BR126" t="s">
        <v>104</v>
      </c>
      <c r="BS126" t="s">
        <v>2376</v>
      </c>
      <c r="BT126" t="str">
        <f>HYPERLINK("https%3A%2F%2Fwww.webofscience.com%2Fwos%2Fwoscc%2Ffull-record%2FWOS:000782877200002","View Full Record in Web of Science")</f>
        <v>View Full Record in Web of Science</v>
      </c>
    </row>
    <row r="127" spans="1:72" x14ac:dyDescent="0.25">
      <c r="A127" t="s">
        <v>72</v>
      </c>
      <c r="B127" t="s">
        <v>2377</v>
      </c>
      <c r="C127" t="s">
        <v>74</v>
      </c>
      <c r="D127" t="s">
        <v>74</v>
      </c>
      <c r="E127" t="s">
        <v>74</v>
      </c>
      <c r="F127" t="s">
        <v>2378</v>
      </c>
      <c r="G127" t="s">
        <v>74</v>
      </c>
      <c r="H127" t="s">
        <v>74</v>
      </c>
      <c r="I127" t="s">
        <v>2379</v>
      </c>
      <c r="J127" t="s">
        <v>542</v>
      </c>
      <c r="K127" t="s">
        <v>74</v>
      </c>
      <c r="L127" t="s">
        <v>74</v>
      </c>
      <c r="M127" t="s">
        <v>78</v>
      </c>
      <c r="N127" t="s">
        <v>79</v>
      </c>
      <c r="O127" t="s">
        <v>74</v>
      </c>
      <c r="P127" t="s">
        <v>74</v>
      </c>
      <c r="Q127" t="s">
        <v>74</v>
      </c>
      <c r="R127" t="s">
        <v>74</v>
      </c>
      <c r="S127" t="s">
        <v>74</v>
      </c>
      <c r="T127" t="s">
        <v>2380</v>
      </c>
      <c r="U127" t="s">
        <v>2381</v>
      </c>
      <c r="V127" t="s">
        <v>2382</v>
      </c>
      <c r="W127" t="s">
        <v>2383</v>
      </c>
      <c r="X127" t="s">
        <v>2384</v>
      </c>
      <c r="Y127" t="s">
        <v>2385</v>
      </c>
      <c r="Z127" t="s">
        <v>2386</v>
      </c>
      <c r="AA127" t="s">
        <v>2387</v>
      </c>
      <c r="AB127" t="s">
        <v>2388</v>
      </c>
      <c r="AC127" t="s">
        <v>74</v>
      </c>
      <c r="AD127" t="s">
        <v>74</v>
      </c>
      <c r="AE127" t="s">
        <v>74</v>
      </c>
      <c r="AF127" t="s">
        <v>74</v>
      </c>
      <c r="AG127">
        <v>35</v>
      </c>
      <c r="AH127">
        <v>3</v>
      </c>
      <c r="AI127">
        <v>3</v>
      </c>
      <c r="AJ127">
        <v>9</v>
      </c>
      <c r="AK127">
        <v>19</v>
      </c>
      <c r="AL127" t="s">
        <v>552</v>
      </c>
      <c r="AM127" t="s">
        <v>553</v>
      </c>
      <c r="AN127" t="s">
        <v>554</v>
      </c>
      <c r="AO127" t="s">
        <v>555</v>
      </c>
      <c r="AP127" t="s">
        <v>556</v>
      </c>
      <c r="AQ127" t="s">
        <v>74</v>
      </c>
      <c r="AR127" t="s">
        <v>557</v>
      </c>
      <c r="AS127" t="s">
        <v>558</v>
      </c>
      <c r="AT127" t="s">
        <v>2225</v>
      </c>
      <c r="AU127">
        <v>2024</v>
      </c>
      <c r="AV127">
        <v>238</v>
      </c>
      <c r="AW127">
        <v>4</v>
      </c>
      <c r="AX127" t="s">
        <v>74</v>
      </c>
      <c r="AY127" t="s">
        <v>74</v>
      </c>
      <c r="AZ127" t="s">
        <v>74</v>
      </c>
      <c r="BA127" t="s">
        <v>74</v>
      </c>
      <c r="BB127">
        <v>754</v>
      </c>
      <c r="BC127">
        <v>763</v>
      </c>
      <c r="BD127" t="s">
        <v>74</v>
      </c>
      <c r="BE127" t="s">
        <v>2389</v>
      </c>
      <c r="BF127" t="str">
        <f>HYPERLINK("http://dx.doi.org/10.1177/1748006X231174960","http://dx.doi.org/10.1177/1748006X231174960")</f>
        <v>http://dx.doi.org/10.1177/1748006X231174960</v>
      </c>
      <c r="BG127" t="s">
        <v>74</v>
      </c>
      <c r="BH127" t="s">
        <v>2390</v>
      </c>
      <c r="BI127">
        <v>10</v>
      </c>
      <c r="BJ127" t="s">
        <v>494</v>
      </c>
      <c r="BK127" t="s">
        <v>149</v>
      </c>
      <c r="BL127" t="s">
        <v>150</v>
      </c>
      <c r="BM127" t="s">
        <v>2391</v>
      </c>
      <c r="BN127" t="s">
        <v>74</v>
      </c>
      <c r="BO127" t="s">
        <v>74</v>
      </c>
      <c r="BP127" t="s">
        <v>74</v>
      </c>
      <c r="BQ127" t="s">
        <v>74</v>
      </c>
      <c r="BR127" t="s">
        <v>104</v>
      </c>
      <c r="BS127" t="s">
        <v>2392</v>
      </c>
      <c r="BT127" t="str">
        <f>HYPERLINK("https%3A%2F%2Fwww.webofscience.com%2Fwos%2Fwoscc%2Ffull-record%2FWOS:001001697800001","View Full Record in Web of Science")</f>
        <v>View Full Record in Web of Science</v>
      </c>
    </row>
    <row r="128" spans="1:72" x14ac:dyDescent="0.25">
      <c r="A128" t="s">
        <v>72</v>
      </c>
      <c r="B128" t="s">
        <v>2393</v>
      </c>
      <c r="C128" t="s">
        <v>74</v>
      </c>
      <c r="D128" t="s">
        <v>74</v>
      </c>
      <c r="E128" t="s">
        <v>74</v>
      </c>
      <c r="F128" t="s">
        <v>2394</v>
      </c>
      <c r="G128" t="s">
        <v>74</v>
      </c>
      <c r="H128" t="s">
        <v>74</v>
      </c>
      <c r="I128" t="s">
        <v>2395</v>
      </c>
      <c r="J128" t="s">
        <v>128</v>
      </c>
      <c r="K128" t="s">
        <v>74</v>
      </c>
      <c r="L128" t="s">
        <v>74</v>
      </c>
      <c r="M128" t="s">
        <v>78</v>
      </c>
      <c r="N128" t="s">
        <v>79</v>
      </c>
      <c r="O128" t="s">
        <v>74</v>
      </c>
      <c r="P128" t="s">
        <v>74</v>
      </c>
      <c r="Q128" t="s">
        <v>74</v>
      </c>
      <c r="R128" t="s">
        <v>74</v>
      </c>
      <c r="S128" t="s">
        <v>74</v>
      </c>
      <c r="T128" t="s">
        <v>2396</v>
      </c>
      <c r="U128" t="s">
        <v>74</v>
      </c>
      <c r="V128" t="s">
        <v>2397</v>
      </c>
      <c r="W128" t="s">
        <v>2398</v>
      </c>
      <c r="X128" t="s">
        <v>2399</v>
      </c>
      <c r="Y128" t="s">
        <v>2400</v>
      </c>
      <c r="Z128" t="s">
        <v>2401</v>
      </c>
      <c r="AA128" t="s">
        <v>74</v>
      </c>
      <c r="AB128" t="s">
        <v>74</v>
      </c>
      <c r="AC128" t="s">
        <v>74</v>
      </c>
      <c r="AD128" t="s">
        <v>74</v>
      </c>
      <c r="AE128" t="s">
        <v>74</v>
      </c>
      <c r="AF128" t="s">
        <v>74</v>
      </c>
      <c r="AG128">
        <v>29</v>
      </c>
      <c r="AH128">
        <v>38</v>
      </c>
      <c r="AI128">
        <v>40</v>
      </c>
      <c r="AJ128">
        <v>4</v>
      </c>
      <c r="AK128">
        <v>38</v>
      </c>
      <c r="AL128" t="s">
        <v>138</v>
      </c>
      <c r="AM128" t="s">
        <v>246</v>
      </c>
      <c r="AN128" t="s">
        <v>247</v>
      </c>
      <c r="AO128" t="s">
        <v>141</v>
      </c>
      <c r="AP128" t="s">
        <v>142</v>
      </c>
      <c r="AQ128" t="s">
        <v>74</v>
      </c>
      <c r="AR128" t="s">
        <v>143</v>
      </c>
      <c r="AS128" t="s">
        <v>144</v>
      </c>
      <c r="AT128" t="s">
        <v>205</v>
      </c>
      <c r="AU128">
        <v>2019</v>
      </c>
      <c r="AV128">
        <v>189</v>
      </c>
      <c r="AW128" t="s">
        <v>74</v>
      </c>
      <c r="AX128" t="s">
        <v>74</v>
      </c>
      <c r="AY128" t="s">
        <v>74</v>
      </c>
      <c r="AZ128" t="s">
        <v>74</v>
      </c>
      <c r="BA128" t="s">
        <v>74</v>
      </c>
      <c r="BB128">
        <v>67</v>
      </c>
      <c r="BC128">
        <v>88</v>
      </c>
      <c r="BD128" t="s">
        <v>74</v>
      </c>
      <c r="BE128" t="s">
        <v>2402</v>
      </c>
      <c r="BF128" t="str">
        <f>HYPERLINK("http://dx.doi.org/10.1016/j.ress.2019.04.004","http://dx.doi.org/10.1016/j.ress.2019.04.004")</f>
        <v>http://dx.doi.org/10.1016/j.ress.2019.04.004</v>
      </c>
      <c r="BG128" t="s">
        <v>74</v>
      </c>
      <c r="BH128" t="s">
        <v>74</v>
      </c>
      <c r="BI128">
        <v>22</v>
      </c>
      <c r="BJ128" t="s">
        <v>148</v>
      </c>
      <c r="BK128" t="s">
        <v>149</v>
      </c>
      <c r="BL128" t="s">
        <v>150</v>
      </c>
      <c r="BM128" t="s">
        <v>2403</v>
      </c>
      <c r="BN128" t="s">
        <v>74</v>
      </c>
      <c r="BO128" t="s">
        <v>400</v>
      </c>
      <c r="BP128" t="s">
        <v>74</v>
      </c>
      <c r="BQ128" t="s">
        <v>74</v>
      </c>
      <c r="BR128" t="s">
        <v>104</v>
      </c>
      <c r="BS128" t="s">
        <v>2404</v>
      </c>
      <c r="BT128" t="str">
        <f>HYPERLINK("https%3A%2F%2Fwww.webofscience.com%2Fwos%2Fwoscc%2Ffull-record%2FWOS:000474493000007","View Full Record in Web of Science")</f>
        <v>View Full Record in Web of Science</v>
      </c>
    </row>
    <row r="129" spans="1:72" x14ac:dyDescent="0.25">
      <c r="A129" t="s">
        <v>72</v>
      </c>
      <c r="B129" t="s">
        <v>2405</v>
      </c>
      <c r="C129" t="s">
        <v>74</v>
      </c>
      <c r="D129" t="s">
        <v>74</v>
      </c>
      <c r="E129" t="s">
        <v>74</v>
      </c>
      <c r="F129" t="s">
        <v>2406</v>
      </c>
      <c r="G129" t="s">
        <v>74</v>
      </c>
      <c r="H129" t="s">
        <v>74</v>
      </c>
      <c r="I129" t="s">
        <v>2407</v>
      </c>
      <c r="J129" t="s">
        <v>2408</v>
      </c>
      <c r="K129" t="s">
        <v>74</v>
      </c>
      <c r="L129" t="s">
        <v>74</v>
      </c>
      <c r="M129" t="s">
        <v>78</v>
      </c>
      <c r="N129" t="s">
        <v>79</v>
      </c>
      <c r="O129" t="s">
        <v>74</v>
      </c>
      <c r="P129" t="s">
        <v>74</v>
      </c>
      <c r="Q129" t="s">
        <v>74</v>
      </c>
      <c r="R129" t="s">
        <v>74</v>
      </c>
      <c r="S129" t="s">
        <v>74</v>
      </c>
      <c r="T129" t="s">
        <v>2409</v>
      </c>
      <c r="U129" t="s">
        <v>2410</v>
      </c>
      <c r="V129" t="s">
        <v>2411</v>
      </c>
      <c r="W129" t="s">
        <v>2412</v>
      </c>
      <c r="X129" t="s">
        <v>2413</v>
      </c>
      <c r="Y129" t="s">
        <v>2414</v>
      </c>
      <c r="Z129" t="s">
        <v>2415</v>
      </c>
      <c r="AA129" t="s">
        <v>2416</v>
      </c>
      <c r="AB129" t="s">
        <v>2417</v>
      </c>
      <c r="AC129" t="s">
        <v>2418</v>
      </c>
      <c r="AD129" t="s">
        <v>2419</v>
      </c>
      <c r="AE129" t="s">
        <v>2420</v>
      </c>
      <c r="AF129" t="s">
        <v>74</v>
      </c>
      <c r="AG129">
        <v>66</v>
      </c>
      <c r="AH129">
        <v>39</v>
      </c>
      <c r="AI129">
        <v>39</v>
      </c>
      <c r="AJ129">
        <v>2</v>
      </c>
      <c r="AK129">
        <v>19</v>
      </c>
      <c r="AL129" t="s">
        <v>2421</v>
      </c>
      <c r="AM129" t="s">
        <v>2422</v>
      </c>
      <c r="AN129" t="s">
        <v>2423</v>
      </c>
      <c r="AO129" t="s">
        <v>2424</v>
      </c>
      <c r="AP129" t="s">
        <v>2425</v>
      </c>
      <c r="AQ129" t="s">
        <v>74</v>
      </c>
      <c r="AR129" t="s">
        <v>2426</v>
      </c>
      <c r="AS129" t="s">
        <v>2427</v>
      </c>
      <c r="AT129" t="s">
        <v>559</v>
      </c>
      <c r="AU129">
        <v>2021</v>
      </c>
      <c r="AV129">
        <v>32</v>
      </c>
      <c r="AW129">
        <v>5</v>
      </c>
      <c r="AX129" t="s">
        <v>74</v>
      </c>
      <c r="AY129" t="s">
        <v>74</v>
      </c>
      <c r="AZ129" t="s">
        <v>74</v>
      </c>
      <c r="BA129" t="s">
        <v>74</v>
      </c>
      <c r="BB129">
        <v>1497</v>
      </c>
      <c r="BC129">
        <v>1515</v>
      </c>
      <c r="BD129" t="s">
        <v>74</v>
      </c>
      <c r="BE129" t="s">
        <v>2428</v>
      </c>
      <c r="BF129" t="str">
        <f>HYPERLINK("http://dx.doi.org/10.1007/s10845-020-01734-3","http://dx.doi.org/10.1007/s10845-020-01734-3")</f>
        <v>http://dx.doi.org/10.1007/s10845-020-01734-3</v>
      </c>
      <c r="BG129" t="s">
        <v>74</v>
      </c>
      <c r="BH129" t="s">
        <v>773</v>
      </c>
      <c r="BI129">
        <v>19</v>
      </c>
      <c r="BJ129" t="s">
        <v>2429</v>
      </c>
      <c r="BK129" t="s">
        <v>149</v>
      </c>
      <c r="BL129" t="s">
        <v>716</v>
      </c>
      <c r="BM129" t="s">
        <v>2430</v>
      </c>
      <c r="BN129" t="s">
        <v>74</v>
      </c>
      <c r="BO129" t="s">
        <v>123</v>
      </c>
      <c r="BP129" t="s">
        <v>74</v>
      </c>
      <c r="BQ129" t="s">
        <v>74</v>
      </c>
      <c r="BR129" t="s">
        <v>104</v>
      </c>
      <c r="BS129" t="s">
        <v>2431</v>
      </c>
      <c r="BT129" t="str">
        <f>HYPERLINK("https%3A%2F%2Fwww.webofscience.com%2Fwos%2Fwoscc%2Ffull-record%2FWOS:000612279000001","View Full Record in Web of Science")</f>
        <v>View Full Record in Web of Science</v>
      </c>
    </row>
    <row r="130" spans="1:72" x14ac:dyDescent="0.25">
      <c r="A130" t="s">
        <v>72</v>
      </c>
      <c r="B130" t="s">
        <v>2432</v>
      </c>
      <c r="C130" t="s">
        <v>74</v>
      </c>
      <c r="D130" t="s">
        <v>74</v>
      </c>
      <c r="E130" t="s">
        <v>74</v>
      </c>
      <c r="F130" t="s">
        <v>2433</v>
      </c>
      <c r="G130" t="s">
        <v>74</v>
      </c>
      <c r="H130" t="s">
        <v>74</v>
      </c>
      <c r="I130" t="s">
        <v>2434</v>
      </c>
      <c r="J130" t="s">
        <v>2435</v>
      </c>
      <c r="K130" t="s">
        <v>74</v>
      </c>
      <c r="L130" t="s">
        <v>74</v>
      </c>
      <c r="M130" t="s">
        <v>78</v>
      </c>
      <c r="N130" t="s">
        <v>79</v>
      </c>
      <c r="O130" t="s">
        <v>74</v>
      </c>
      <c r="P130" t="s">
        <v>74</v>
      </c>
      <c r="Q130" t="s">
        <v>74</v>
      </c>
      <c r="R130" t="s">
        <v>74</v>
      </c>
      <c r="S130" t="s">
        <v>74</v>
      </c>
      <c r="T130" t="s">
        <v>2436</v>
      </c>
      <c r="U130" t="s">
        <v>2437</v>
      </c>
      <c r="V130" t="s">
        <v>2438</v>
      </c>
      <c r="W130" t="s">
        <v>2439</v>
      </c>
      <c r="X130" t="s">
        <v>2440</v>
      </c>
      <c r="Y130" t="s">
        <v>2441</v>
      </c>
      <c r="Z130" t="s">
        <v>2442</v>
      </c>
      <c r="AA130" t="s">
        <v>2443</v>
      </c>
      <c r="AB130" t="s">
        <v>2444</v>
      </c>
      <c r="AC130" t="s">
        <v>74</v>
      </c>
      <c r="AD130" t="s">
        <v>74</v>
      </c>
      <c r="AE130" t="s">
        <v>74</v>
      </c>
      <c r="AF130" t="s">
        <v>74</v>
      </c>
      <c r="AG130">
        <v>26</v>
      </c>
      <c r="AH130">
        <v>12</v>
      </c>
      <c r="AI130">
        <v>12</v>
      </c>
      <c r="AJ130">
        <v>4</v>
      </c>
      <c r="AK130">
        <v>20</v>
      </c>
      <c r="AL130" t="s">
        <v>311</v>
      </c>
      <c r="AM130" t="s">
        <v>312</v>
      </c>
      <c r="AN130" t="s">
        <v>313</v>
      </c>
      <c r="AO130" t="s">
        <v>2445</v>
      </c>
      <c r="AP130" t="s">
        <v>2446</v>
      </c>
      <c r="AQ130" t="s">
        <v>74</v>
      </c>
      <c r="AR130" t="s">
        <v>2447</v>
      </c>
      <c r="AS130" t="s">
        <v>2448</v>
      </c>
      <c r="AT130" t="s">
        <v>2449</v>
      </c>
      <c r="AU130">
        <v>2023</v>
      </c>
      <c r="AV130">
        <v>10</v>
      </c>
      <c r="AW130">
        <v>1</v>
      </c>
      <c r="AX130" t="s">
        <v>74</v>
      </c>
      <c r="AY130" t="s">
        <v>74</v>
      </c>
      <c r="AZ130" t="s">
        <v>74</v>
      </c>
      <c r="BA130" t="s">
        <v>74</v>
      </c>
      <c r="BB130" t="s">
        <v>74</v>
      </c>
      <c r="BC130" t="s">
        <v>74</v>
      </c>
      <c r="BD130" t="s">
        <v>74</v>
      </c>
      <c r="BE130" t="s">
        <v>2450</v>
      </c>
      <c r="BF130" t="str">
        <f>HYPERLINK("http://dx.doi.org/10.1080/23302674.2023.2169054","http://dx.doi.org/10.1080/23302674.2023.2169054")</f>
        <v>http://dx.doi.org/10.1080/23302674.2023.2169054</v>
      </c>
      <c r="BG130" t="s">
        <v>74</v>
      </c>
      <c r="BH130" t="s">
        <v>2022</v>
      </c>
      <c r="BI130">
        <v>19</v>
      </c>
      <c r="BJ130" t="s">
        <v>148</v>
      </c>
      <c r="BK130" t="s">
        <v>149</v>
      </c>
      <c r="BL130" t="s">
        <v>150</v>
      </c>
      <c r="BM130" t="s">
        <v>2451</v>
      </c>
      <c r="BN130" t="s">
        <v>74</v>
      </c>
      <c r="BO130" t="s">
        <v>74</v>
      </c>
      <c r="BP130" t="s">
        <v>74</v>
      </c>
      <c r="BQ130" t="s">
        <v>74</v>
      </c>
      <c r="BR130" t="s">
        <v>104</v>
      </c>
      <c r="BS130" t="s">
        <v>2452</v>
      </c>
      <c r="BT130" t="str">
        <f>HYPERLINK("https%3A%2F%2Fwww.webofscience.com%2Fwos%2Fwoscc%2Ffull-record%2FWOS:000924881400001","View Full Record in Web of Science")</f>
        <v>View Full Record in Web of Science</v>
      </c>
    </row>
    <row r="131" spans="1:72" x14ac:dyDescent="0.25">
      <c r="A131" t="s">
        <v>72</v>
      </c>
      <c r="B131" t="s">
        <v>2453</v>
      </c>
      <c r="C131" t="s">
        <v>74</v>
      </c>
      <c r="D131" t="s">
        <v>74</v>
      </c>
      <c r="E131" t="s">
        <v>74</v>
      </c>
      <c r="F131" t="s">
        <v>2454</v>
      </c>
      <c r="G131" t="s">
        <v>74</v>
      </c>
      <c r="H131" t="s">
        <v>74</v>
      </c>
      <c r="I131" t="s">
        <v>2455</v>
      </c>
      <c r="J131" t="s">
        <v>1140</v>
      </c>
      <c r="K131" t="s">
        <v>74</v>
      </c>
      <c r="L131" t="s">
        <v>74</v>
      </c>
      <c r="M131" t="s">
        <v>78</v>
      </c>
      <c r="N131" t="s">
        <v>79</v>
      </c>
      <c r="O131" t="s">
        <v>74</v>
      </c>
      <c r="P131" t="s">
        <v>74</v>
      </c>
      <c r="Q131" t="s">
        <v>74</v>
      </c>
      <c r="R131" t="s">
        <v>74</v>
      </c>
      <c r="S131" t="s">
        <v>74</v>
      </c>
      <c r="T131" t="s">
        <v>2456</v>
      </c>
      <c r="U131" t="s">
        <v>2457</v>
      </c>
      <c r="V131" t="s">
        <v>2458</v>
      </c>
      <c r="W131" t="s">
        <v>2459</v>
      </c>
      <c r="X131" t="s">
        <v>2460</v>
      </c>
      <c r="Y131" t="s">
        <v>2461</v>
      </c>
      <c r="Z131" t="s">
        <v>2462</v>
      </c>
      <c r="AA131" t="s">
        <v>74</v>
      </c>
      <c r="AB131" t="s">
        <v>2463</v>
      </c>
      <c r="AC131" t="s">
        <v>2464</v>
      </c>
      <c r="AD131" t="s">
        <v>2465</v>
      </c>
      <c r="AE131" t="s">
        <v>2466</v>
      </c>
      <c r="AF131" t="s">
        <v>74</v>
      </c>
      <c r="AG131">
        <v>59</v>
      </c>
      <c r="AH131">
        <v>22</v>
      </c>
      <c r="AI131">
        <v>24</v>
      </c>
      <c r="AJ131">
        <v>6</v>
      </c>
      <c r="AK131">
        <v>24</v>
      </c>
      <c r="AL131" t="s">
        <v>707</v>
      </c>
      <c r="AM131" t="s">
        <v>246</v>
      </c>
      <c r="AN131" t="s">
        <v>708</v>
      </c>
      <c r="AO131" t="s">
        <v>1150</v>
      </c>
      <c r="AP131" t="s">
        <v>1151</v>
      </c>
      <c r="AQ131" t="s">
        <v>74</v>
      </c>
      <c r="AR131" t="s">
        <v>1152</v>
      </c>
      <c r="AS131" t="s">
        <v>1153</v>
      </c>
      <c r="AT131" t="s">
        <v>275</v>
      </c>
      <c r="AU131">
        <v>2022</v>
      </c>
      <c r="AV131">
        <v>109</v>
      </c>
      <c r="AW131" t="s">
        <v>74</v>
      </c>
      <c r="AX131" t="s">
        <v>74</v>
      </c>
      <c r="AY131" t="s">
        <v>74</v>
      </c>
      <c r="AZ131" t="s">
        <v>74</v>
      </c>
      <c r="BA131" t="s">
        <v>74</v>
      </c>
      <c r="BB131" t="s">
        <v>74</v>
      </c>
      <c r="BC131" t="s">
        <v>74</v>
      </c>
      <c r="BD131">
        <v>104655</v>
      </c>
      <c r="BE131" t="s">
        <v>2467</v>
      </c>
      <c r="BF131" t="str">
        <f>HYPERLINK("http://dx.doi.org/10.1016/j.engappai.2021.104655","http://dx.doi.org/10.1016/j.engappai.2021.104655")</f>
        <v>http://dx.doi.org/10.1016/j.engappai.2021.104655</v>
      </c>
      <c r="BG131" t="s">
        <v>74</v>
      </c>
      <c r="BH131" t="s">
        <v>2468</v>
      </c>
      <c r="BI131">
        <v>13</v>
      </c>
      <c r="BJ131" t="s">
        <v>1156</v>
      </c>
      <c r="BK131" t="s">
        <v>149</v>
      </c>
      <c r="BL131" t="s">
        <v>1157</v>
      </c>
      <c r="BM131" t="s">
        <v>2469</v>
      </c>
      <c r="BN131" t="s">
        <v>74</v>
      </c>
      <c r="BO131" t="s">
        <v>1578</v>
      </c>
      <c r="BP131" t="s">
        <v>74</v>
      </c>
      <c r="BQ131" t="s">
        <v>74</v>
      </c>
      <c r="BR131" t="s">
        <v>104</v>
      </c>
      <c r="BS131" t="s">
        <v>2470</v>
      </c>
      <c r="BT131" t="str">
        <f>HYPERLINK("https%3A%2F%2Fwww.webofscience.com%2Fwos%2Fwoscc%2Ffull-record%2FWOS:000762976300029","View Full Record in Web of Science")</f>
        <v>View Full Record in Web of Science</v>
      </c>
    </row>
    <row r="132" spans="1:72" x14ac:dyDescent="0.25">
      <c r="A132" t="s">
        <v>72</v>
      </c>
      <c r="B132" t="s">
        <v>2471</v>
      </c>
      <c r="C132" t="s">
        <v>74</v>
      </c>
      <c r="D132" t="s">
        <v>74</v>
      </c>
      <c r="E132" t="s">
        <v>74</v>
      </c>
      <c r="F132" t="s">
        <v>2472</v>
      </c>
      <c r="G132" t="s">
        <v>74</v>
      </c>
      <c r="H132" t="s">
        <v>74</v>
      </c>
      <c r="I132" t="s">
        <v>2473</v>
      </c>
      <c r="J132" t="s">
        <v>1894</v>
      </c>
      <c r="K132" t="s">
        <v>74</v>
      </c>
      <c r="L132" t="s">
        <v>74</v>
      </c>
      <c r="M132" t="s">
        <v>78</v>
      </c>
      <c r="N132" t="s">
        <v>79</v>
      </c>
      <c r="O132" t="s">
        <v>74</v>
      </c>
      <c r="P132" t="s">
        <v>74</v>
      </c>
      <c r="Q132" t="s">
        <v>74</v>
      </c>
      <c r="R132" t="s">
        <v>74</v>
      </c>
      <c r="S132" t="s">
        <v>74</v>
      </c>
      <c r="T132" t="s">
        <v>2474</v>
      </c>
      <c r="U132" t="s">
        <v>2475</v>
      </c>
      <c r="V132" t="s">
        <v>2476</v>
      </c>
      <c r="W132" t="s">
        <v>2477</v>
      </c>
      <c r="X132" t="s">
        <v>2478</v>
      </c>
      <c r="Y132" t="s">
        <v>2479</v>
      </c>
      <c r="Z132" t="s">
        <v>2480</v>
      </c>
      <c r="AA132" t="s">
        <v>74</v>
      </c>
      <c r="AB132" t="s">
        <v>2481</v>
      </c>
      <c r="AC132" t="s">
        <v>2482</v>
      </c>
      <c r="AD132" t="s">
        <v>2483</v>
      </c>
      <c r="AE132" t="s">
        <v>2484</v>
      </c>
      <c r="AF132" t="s">
        <v>74</v>
      </c>
      <c r="AG132">
        <v>28</v>
      </c>
      <c r="AH132">
        <v>46</v>
      </c>
      <c r="AI132">
        <v>51</v>
      </c>
      <c r="AJ132">
        <v>4</v>
      </c>
      <c r="AK132">
        <v>103</v>
      </c>
      <c r="AL132" t="s">
        <v>138</v>
      </c>
      <c r="AM132" t="s">
        <v>246</v>
      </c>
      <c r="AN132" t="s">
        <v>247</v>
      </c>
      <c r="AO132" t="s">
        <v>1903</v>
      </c>
      <c r="AP132" t="s">
        <v>1904</v>
      </c>
      <c r="AQ132" t="s">
        <v>74</v>
      </c>
      <c r="AR132" t="s">
        <v>1905</v>
      </c>
      <c r="AS132" t="s">
        <v>1906</v>
      </c>
      <c r="AT132" t="s">
        <v>1076</v>
      </c>
      <c r="AU132">
        <v>2019</v>
      </c>
      <c r="AV132">
        <v>53</v>
      </c>
      <c r="AW132" t="s">
        <v>74</v>
      </c>
      <c r="AX132" t="s">
        <v>74</v>
      </c>
      <c r="AY132" t="s">
        <v>74</v>
      </c>
      <c r="AZ132" t="s">
        <v>74</v>
      </c>
      <c r="BA132" t="s">
        <v>74</v>
      </c>
      <c r="BB132">
        <v>49</v>
      </c>
      <c r="BC132">
        <v>61</v>
      </c>
      <c r="BD132" t="s">
        <v>74</v>
      </c>
      <c r="BE132" t="s">
        <v>2485</v>
      </c>
      <c r="BF132" t="str">
        <f>HYPERLINK("http://dx.doi.org/10.1016/j.jmsy.2019.09.005","http://dx.doi.org/10.1016/j.jmsy.2019.09.005")</f>
        <v>http://dx.doi.org/10.1016/j.jmsy.2019.09.005</v>
      </c>
      <c r="BG132" t="s">
        <v>74</v>
      </c>
      <c r="BH132" t="s">
        <v>74</v>
      </c>
      <c r="BI132">
        <v>13</v>
      </c>
      <c r="BJ132" t="s">
        <v>321</v>
      </c>
      <c r="BK132" t="s">
        <v>149</v>
      </c>
      <c r="BL132" t="s">
        <v>150</v>
      </c>
      <c r="BM132" t="s">
        <v>2486</v>
      </c>
      <c r="BN132" t="s">
        <v>74</v>
      </c>
      <c r="BO132" t="s">
        <v>74</v>
      </c>
      <c r="BP132" t="s">
        <v>74</v>
      </c>
      <c r="BQ132" t="s">
        <v>74</v>
      </c>
      <c r="BR132" t="s">
        <v>104</v>
      </c>
      <c r="BS132" t="s">
        <v>2487</v>
      </c>
      <c r="BT132" t="str">
        <f>HYPERLINK("https%3A%2F%2Fwww.webofscience.com%2Fwos%2Fwoscc%2Ffull-record%2FWOS:000500221000005","View Full Record in Web of Science")</f>
        <v>View Full Record in Web of Science</v>
      </c>
    </row>
    <row r="133" spans="1:72" x14ac:dyDescent="0.25">
      <c r="A133" t="s">
        <v>72</v>
      </c>
      <c r="B133" t="s">
        <v>2488</v>
      </c>
      <c r="C133" t="s">
        <v>74</v>
      </c>
      <c r="D133" t="s">
        <v>74</v>
      </c>
      <c r="E133" t="s">
        <v>74</v>
      </c>
      <c r="F133" t="s">
        <v>2489</v>
      </c>
      <c r="G133" t="s">
        <v>74</v>
      </c>
      <c r="H133" t="s">
        <v>74</v>
      </c>
      <c r="I133" t="s">
        <v>2490</v>
      </c>
      <c r="J133" t="s">
        <v>128</v>
      </c>
      <c r="K133" t="s">
        <v>74</v>
      </c>
      <c r="L133" t="s">
        <v>74</v>
      </c>
      <c r="M133" t="s">
        <v>78</v>
      </c>
      <c r="N133" t="s">
        <v>79</v>
      </c>
      <c r="O133" t="s">
        <v>74</v>
      </c>
      <c r="P133" t="s">
        <v>74</v>
      </c>
      <c r="Q133" t="s">
        <v>74</v>
      </c>
      <c r="R133" t="s">
        <v>74</v>
      </c>
      <c r="S133" t="s">
        <v>74</v>
      </c>
      <c r="T133" t="s">
        <v>2491</v>
      </c>
      <c r="U133" t="s">
        <v>2492</v>
      </c>
      <c r="V133" t="s">
        <v>2493</v>
      </c>
      <c r="W133" t="s">
        <v>2494</v>
      </c>
      <c r="X133" t="s">
        <v>2495</v>
      </c>
      <c r="Y133" t="s">
        <v>2496</v>
      </c>
      <c r="Z133" t="s">
        <v>2497</v>
      </c>
      <c r="AA133" t="s">
        <v>2084</v>
      </c>
      <c r="AB133" t="s">
        <v>74</v>
      </c>
      <c r="AC133" t="s">
        <v>2498</v>
      </c>
      <c r="AD133" t="s">
        <v>2499</v>
      </c>
      <c r="AE133" t="s">
        <v>2500</v>
      </c>
      <c r="AF133" t="s">
        <v>74</v>
      </c>
      <c r="AG133">
        <v>49</v>
      </c>
      <c r="AH133">
        <v>0</v>
      </c>
      <c r="AI133">
        <v>0</v>
      </c>
      <c r="AJ133">
        <v>16</v>
      </c>
      <c r="AK133">
        <v>16</v>
      </c>
      <c r="AL133" t="s">
        <v>138</v>
      </c>
      <c r="AM133" t="s">
        <v>139</v>
      </c>
      <c r="AN133" t="s">
        <v>140</v>
      </c>
      <c r="AO133" t="s">
        <v>141</v>
      </c>
      <c r="AP133" t="s">
        <v>142</v>
      </c>
      <c r="AQ133" t="s">
        <v>74</v>
      </c>
      <c r="AR133" t="s">
        <v>143</v>
      </c>
      <c r="AS133" t="s">
        <v>144</v>
      </c>
      <c r="AT133" t="s">
        <v>1867</v>
      </c>
      <c r="AU133">
        <v>2025</v>
      </c>
      <c r="AV133">
        <v>256</v>
      </c>
      <c r="AW133" t="s">
        <v>74</v>
      </c>
      <c r="AX133" t="s">
        <v>74</v>
      </c>
      <c r="AY133" t="s">
        <v>74</v>
      </c>
      <c r="AZ133" t="s">
        <v>74</v>
      </c>
      <c r="BA133" t="s">
        <v>74</v>
      </c>
      <c r="BB133" t="s">
        <v>74</v>
      </c>
      <c r="BC133" t="s">
        <v>74</v>
      </c>
      <c r="BD133">
        <v>110676</v>
      </c>
      <c r="BE133" t="s">
        <v>2501</v>
      </c>
      <c r="BF133" t="str">
        <f>HYPERLINK("http://dx.doi.org/10.1016/j.ress.2024.110676","http://dx.doi.org/10.1016/j.ress.2024.110676")</f>
        <v>http://dx.doi.org/10.1016/j.ress.2024.110676</v>
      </c>
      <c r="BG133" t="s">
        <v>74</v>
      </c>
      <c r="BH133" t="s">
        <v>1869</v>
      </c>
      <c r="BI133">
        <v>21</v>
      </c>
      <c r="BJ133" t="s">
        <v>148</v>
      </c>
      <c r="BK133" t="s">
        <v>149</v>
      </c>
      <c r="BL133" t="s">
        <v>150</v>
      </c>
      <c r="BM133" t="s">
        <v>2502</v>
      </c>
      <c r="BN133" t="s">
        <v>74</v>
      </c>
      <c r="BO133" t="s">
        <v>74</v>
      </c>
      <c r="BP133" t="s">
        <v>74</v>
      </c>
      <c r="BQ133" t="s">
        <v>74</v>
      </c>
      <c r="BR133" t="s">
        <v>104</v>
      </c>
      <c r="BS133" t="s">
        <v>2503</v>
      </c>
      <c r="BT133" t="str">
        <f>HYPERLINK("https%3A%2F%2Fwww.webofscience.com%2Fwos%2Fwoscc%2Ffull-record%2FWOS:001375516700001","View Full Record in Web of Science")</f>
        <v>View Full Record in Web of Science</v>
      </c>
    </row>
    <row r="134" spans="1:72" x14ac:dyDescent="0.25">
      <c r="A134" t="s">
        <v>72</v>
      </c>
      <c r="B134" t="s">
        <v>2504</v>
      </c>
      <c r="C134" t="s">
        <v>74</v>
      </c>
      <c r="D134" t="s">
        <v>74</v>
      </c>
      <c r="E134" t="s">
        <v>74</v>
      </c>
      <c r="F134" t="s">
        <v>2505</v>
      </c>
      <c r="G134" t="s">
        <v>74</v>
      </c>
      <c r="H134" t="s">
        <v>74</v>
      </c>
      <c r="I134" t="s">
        <v>2506</v>
      </c>
      <c r="J134" t="s">
        <v>1894</v>
      </c>
      <c r="K134" t="s">
        <v>74</v>
      </c>
      <c r="L134" t="s">
        <v>74</v>
      </c>
      <c r="M134" t="s">
        <v>78</v>
      </c>
      <c r="N134" t="s">
        <v>79</v>
      </c>
      <c r="O134" t="s">
        <v>74</v>
      </c>
      <c r="P134" t="s">
        <v>74</v>
      </c>
      <c r="Q134" t="s">
        <v>74</v>
      </c>
      <c r="R134" t="s">
        <v>74</v>
      </c>
      <c r="S134" t="s">
        <v>74</v>
      </c>
      <c r="T134" t="s">
        <v>2507</v>
      </c>
      <c r="U134" t="s">
        <v>2508</v>
      </c>
      <c r="V134" t="s">
        <v>2509</v>
      </c>
      <c r="W134" t="s">
        <v>2510</v>
      </c>
      <c r="X134" t="s">
        <v>2511</v>
      </c>
      <c r="Y134" t="s">
        <v>2512</v>
      </c>
      <c r="Z134" t="s">
        <v>2513</v>
      </c>
      <c r="AA134" t="s">
        <v>74</v>
      </c>
      <c r="AB134" t="s">
        <v>2514</v>
      </c>
      <c r="AC134" t="s">
        <v>2515</v>
      </c>
      <c r="AD134" t="s">
        <v>2516</v>
      </c>
      <c r="AE134" t="s">
        <v>2517</v>
      </c>
      <c r="AF134" t="s">
        <v>74</v>
      </c>
      <c r="AG134">
        <v>37</v>
      </c>
      <c r="AH134">
        <v>9</v>
      </c>
      <c r="AI134">
        <v>10</v>
      </c>
      <c r="AJ134">
        <v>10</v>
      </c>
      <c r="AK134">
        <v>46</v>
      </c>
      <c r="AL134" t="s">
        <v>138</v>
      </c>
      <c r="AM134" t="s">
        <v>139</v>
      </c>
      <c r="AN134" t="s">
        <v>140</v>
      </c>
      <c r="AO134" t="s">
        <v>1903</v>
      </c>
      <c r="AP134" t="s">
        <v>1904</v>
      </c>
      <c r="AQ134" t="s">
        <v>74</v>
      </c>
      <c r="AR134" t="s">
        <v>1905</v>
      </c>
      <c r="AS134" t="s">
        <v>1906</v>
      </c>
      <c r="AT134" t="s">
        <v>145</v>
      </c>
      <c r="AU134">
        <v>2023</v>
      </c>
      <c r="AV134">
        <v>71</v>
      </c>
      <c r="AW134" t="s">
        <v>74</v>
      </c>
      <c r="AX134" t="s">
        <v>74</v>
      </c>
      <c r="AY134" t="s">
        <v>74</v>
      </c>
      <c r="AZ134" t="s">
        <v>74</v>
      </c>
      <c r="BA134" t="s">
        <v>74</v>
      </c>
      <c r="BB134">
        <v>406</v>
      </c>
      <c r="BC134">
        <v>420</v>
      </c>
      <c r="BD134" t="s">
        <v>74</v>
      </c>
      <c r="BE134" t="s">
        <v>2518</v>
      </c>
      <c r="BF134" t="str">
        <f>HYPERLINK("http://dx.doi.org/10.1016/j.jmsy.2023.10.001","http://dx.doi.org/10.1016/j.jmsy.2023.10.001")</f>
        <v>http://dx.doi.org/10.1016/j.jmsy.2023.10.001</v>
      </c>
      <c r="BG134" t="s">
        <v>74</v>
      </c>
      <c r="BH134" t="s">
        <v>846</v>
      </c>
      <c r="BI134">
        <v>15</v>
      </c>
      <c r="BJ134" t="s">
        <v>321</v>
      </c>
      <c r="BK134" t="s">
        <v>149</v>
      </c>
      <c r="BL134" t="s">
        <v>150</v>
      </c>
      <c r="BM134" t="s">
        <v>2519</v>
      </c>
      <c r="BN134" t="s">
        <v>74</v>
      </c>
      <c r="BO134" t="s">
        <v>74</v>
      </c>
      <c r="BP134" t="s">
        <v>74</v>
      </c>
      <c r="BQ134" t="s">
        <v>74</v>
      </c>
      <c r="BR134" t="s">
        <v>104</v>
      </c>
      <c r="BS134" t="s">
        <v>2520</v>
      </c>
      <c r="BT134" t="str">
        <f>HYPERLINK("https%3A%2F%2Fwww.webofscience.com%2Fwos%2Fwoscc%2Ffull-record%2FWOS:001098300900001","View Full Record in Web of Science")</f>
        <v>View Full Record in Web of Science</v>
      </c>
    </row>
    <row r="135" spans="1:72" x14ac:dyDescent="0.25">
      <c r="A135" t="s">
        <v>72</v>
      </c>
      <c r="B135" t="s">
        <v>2521</v>
      </c>
      <c r="C135" t="s">
        <v>74</v>
      </c>
      <c r="D135" t="s">
        <v>74</v>
      </c>
      <c r="E135" t="s">
        <v>74</v>
      </c>
      <c r="F135" t="s">
        <v>2522</v>
      </c>
      <c r="G135" t="s">
        <v>74</v>
      </c>
      <c r="H135" t="s">
        <v>74</v>
      </c>
      <c r="I135" t="s">
        <v>2523</v>
      </c>
      <c r="J135" t="s">
        <v>128</v>
      </c>
      <c r="K135" t="s">
        <v>74</v>
      </c>
      <c r="L135" t="s">
        <v>74</v>
      </c>
      <c r="M135" t="s">
        <v>78</v>
      </c>
      <c r="N135" t="s">
        <v>79</v>
      </c>
      <c r="O135" t="s">
        <v>74</v>
      </c>
      <c r="P135" t="s">
        <v>74</v>
      </c>
      <c r="Q135" t="s">
        <v>74</v>
      </c>
      <c r="R135" t="s">
        <v>74</v>
      </c>
      <c r="S135" t="s">
        <v>74</v>
      </c>
      <c r="T135" t="s">
        <v>2524</v>
      </c>
      <c r="U135" t="s">
        <v>2525</v>
      </c>
      <c r="V135" t="s">
        <v>2526</v>
      </c>
      <c r="W135" t="s">
        <v>2527</v>
      </c>
      <c r="X135" t="s">
        <v>2528</v>
      </c>
      <c r="Y135" t="s">
        <v>2529</v>
      </c>
      <c r="Z135" t="s">
        <v>2530</v>
      </c>
      <c r="AA135" t="s">
        <v>2531</v>
      </c>
      <c r="AB135" t="s">
        <v>2532</v>
      </c>
      <c r="AC135" t="s">
        <v>2533</v>
      </c>
      <c r="AD135" t="s">
        <v>482</v>
      </c>
      <c r="AE135" t="s">
        <v>2534</v>
      </c>
      <c r="AF135" t="s">
        <v>74</v>
      </c>
      <c r="AG135">
        <v>51</v>
      </c>
      <c r="AH135">
        <v>50</v>
      </c>
      <c r="AI135">
        <v>51</v>
      </c>
      <c r="AJ135">
        <v>18</v>
      </c>
      <c r="AK135">
        <v>92</v>
      </c>
      <c r="AL135" t="s">
        <v>138</v>
      </c>
      <c r="AM135" t="s">
        <v>246</v>
      </c>
      <c r="AN135" t="s">
        <v>247</v>
      </c>
      <c r="AO135" t="s">
        <v>141</v>
      </c>
      <c r="AP135" t="s">
        <v>142</v>
      </c>
      <c r="AQ135" t="s">
        <v>74</v>
      </c>
      <c r="AR135" t="s">
        <v>143</v>
      </c>
      <c r="AS135" t="s">
        <v>144</v>
      </c>
      <c r="AT135" t="s">
        <v>275</v>
      </c>
      <c r="AU135">
        <v>2022</v>
      </c>
      <c r="AV135">
        <v>219</v>
      </c>
      <c r="AW135" t="s">
        <v>74</v>
      </c>
      <c r="AX135" t="s">
        <v>74</v>
      </c>
      <c r="AY135" t="s">
        <v>74</v>
      </c>
      <c r="AZ135" t="s">
        <v>74</v>
      </c>
      <c r="BA135" t="s">
        <v>74</v>
      </c>
      <c r="BB135" t="s">
        <v>74</v>
      </c>
      <c r="BC135" t="s">
        <v>74</v>
      </c>
      <c r="BD135">
        <v>108174</v>
      </c>
      <c r="BE135" t="s">
        <v>2535</v>
      </c>
      <c r="BF135" t="str">
        <f>HYPERLINK("http://dx.doi.org/10.1016/j.ress.2021.108174","http://dx.doi.org/10.1016/j.ress.2021.108174")</f>
        <v>http://dx.doi.org/10.1016/j.ress.2021.108174</v>
      </c>
      <c r="BG135" t="s">
        <v>74</v>
      </c>
      <c r="BH135" t="s">
        <v>74</v>
      </c>
      <c r="BI135">
        <v>12</v>
      </c>
      <c r="BJ135" t="s">
        <v>148</v>
      </c>
      <c r="BK135" t="s">
        <v>149</v>
      </c>
      <c r="BL135" t="s">
        <v>150</v>
      </c>
      <c r="BM135" t="s">
        <v>2536</v>
      </c>
      <c r="BN135" t="s">
        <v>74</v>
      </c>
      <c r="BO135" t="s">
        <v>123</v>
      </c>
      <c r="BP135" t="s">
        <v>74</v>
      </c>
      <c r="BQ135" t="s">
        <v>74</v>
      </c>
      <c r="BR135" t="s">
        <v>104</v>
      </c>
      <c r="BS135" t="s">
        <v>2537</v>
      </c>
      <c r="BT135" t="str">
        <f>HYPERLINK("https%3A%2F%2Fwww.webofscience.com%2Fwos%2Fwoscc%2Ffull-record%2FWOS:000760341500002","View Full Record in Web of Science")</f>
        <v>View Full Record in Web of Science</v>
      </c>
    </row>
    <row r="136" spans="1:72" x14ac:dyDescent="0.25">
      <c r="A136" t="s">
        <v>72</v>
      </c>
      <c r="B136" t="s">
        <v>2538</v>
      </c>
      <c r="C136" t="s">
        <v>74</v>
      </c>
      <c r="D136" t="s">
        <v>74</v>
      </c>
      <c r="E136" t="s">
        <v>74</v>
      </c>
      <c r="F136" t="s">
        <v>2539</v>
      </c>
      <c r="G136" t="s">
        <v>74</v>
      </c>
      <c r="H136" t="s">
        <v>74</v>
      </c>
      <c r="I136" t="s">
        <v>2540</v>
      </c>
      <c r="J136" t="s">
        <v>299</v>
      </c>
      <c r="K136" t="s">
        <v>74</v>
      </c>
      <c r="L136" t="s">
        <v>74</v>
      </c>
      <c r="M136" t="s">
        <v>78</v>
      </c>
      <c r="N136" t="s">
        <v>79</v>
      </c>
      <c r="O136" t="s">
        <v>74</v>
      </c>
      <c r="P136" t="s">
        <v>74</v>
      </c>
      <c r="Q136" t="s">
        <v>74</v>
      </c>
      <c r="R136" t="s">
        <v>74</v>
      </c>
      <c r="S136" t="s">
        <v>74</v>
      </c>
      <c r="T136" t="s">
        <v>2541</v>
      </c>
      <c r="U136" t="s">
        <v>2542</v>
      </c>
      <c r="V136" t="s">
        <v>2543</v>
      </c>
      <c r="W136" t="s">
        <v>2544</v>
      </c>
      <c r="X136" t="s">
        <v>2545</v>
      </c>
      <c r="Y136" t="s">
        <v>2546</v>
      </c>
      <c r="Z136" t="s">
        <v>2547</v>
      </c>
      <c r="AA136" t="s">
        <v>2548</v>
      </c>
      <c r="AB136" t="s">
        <v>2549</v>
      </c>
      <c r="AC136" t="s">
        <v>2550</v>
      </c>
      <c r="AD136" t="s">
        <v>2551</v>
      </c>
      <c r="AE136" t="s">
        <v>2552</v>
      </c>
      <c r="AF136" t="s">
        <v>74</v>
      </c>
      <c r="AG136">
        <v>48</v>
      </c>
      <c r="AH136">
        <v>51</v>
      </c>
      <c r="AI136">
        <v>54</v>
      </c>
      <c r="AJ136">
        <v>5</v>
      </c>
      <c r="AK136">
        <v>112</v>
      </c>
      <c r="AL136" t="s">
        <v>311</v>
      </c>
      <c r="AM136" t="s">
        <v>312</v>
      </c>
      <c r="AN136" t="s">
        <v>313</v>
      </c>
      <c r="AO136" t="s">
        <v>314</v>
      </c>
      <c r="AP136" t="s">
        <v>315</v>
      </c>
      <c r="AQ136" t="s">
        <v>74</v>
      </c>
      <c r="AR136" t="s">
        <v>316</v>
      </c>
      <c r="AS136" t="s">
        <v>317</v>
      </c>
      <c r="AT136" t="s">
        <v>2553</v>
      </c>
      <c r="AU136">
        <v>2019</v>
      </c>
      <c r="AV136">
        <v>57</v>
      </c>
      <c r="AW136">
        <v>18</v>
      </c>
      <c r="AX136" t="s">
        <v>74</v>
      </c>
      <c r="AY136" t="s">
        <v>74</v>
      </c>
      <c r="AZ136" t="s">
        <v>74</v>
      </c>
      <c r="BA136" t="s">
        <v>74</v>
      </c>
      <c r="BB136">
        <v>5705</v>
      </c>
      <c r="BC136">
        <v>5724</v>
      </c>
      <c r="BD136" t="s">
        <v>74</v>
      </c>
      <c r="BE136" t="s">
        <v>2554</v>
      </c>
      <c r="BF136" t="str">
        <f>HYPERLINK("http://dx.doi.org/10.1080/00207543.2018.1542181","http://dx.doi.org/10.1080/00207543.2018.1542181")</f>
        <v>http://dx.doi.org/10.1080/00207543.2018.1542181</v>
      </c>
      <c r="BG136" t="s">
        <v>74</v>
      </c>
      <c r="BH136" t="s">
        <v>74</v>
      </c>
      <c r="BI136">
        <v>20</v>
      </c>
      <c r="BJ136" t="s">
        <v>321</v>
      </c>
      <c r="BK136" t="s">
        <v>149</v>
      </c>
      <c r="BL136" t="s">
        <v>150</v>
      </c>
      <c r="BM136" t="s">
        <v>2555</v>
      </c>
      <c r="BN136" t="s">
        <v>74</v>
      </c>
      <c r="BO136" t="s">
        <v>74</v>
      </c>
      <c r="BP136" t="s">
        <v>74</v>
      </c>
      <c r="BQ136" t="s">
        <v>74</v>
      </c>
      <c r="BR136" t="s">
        <v>104</v>
      </c>
      <c r="BS136" t="s">
        <v>2556</v>
      </c>
      <c r="BT136" t="str">
        <f>HYPERLINK("https%3A%2F%2Fwww.webofscience.com%2Fwos%2Fwoscc%2Ffull-record%2FWOS:000484429400005","View Full Record in Web of Science")</f>
        <v>View Full Record in Web of Science</v>
      </c>
    </row>
    <row r="137" spans="1:72" x14ac:dyDescent="0.25">
      <c r="A137" t="s">
        <v>72</v>
      </c>
      <c r="B137" t="s">
        <v>2557</v>
      </c>
      <c r="C137" t="s">
        <v>74</v>
      </c>
      <c r="D137" t="s">
        <v>74</v>
      </c>
      <c r="E137" t="s">
        <v>74</v>
      </c>
      <c r="F137" t="s">
        <v>2558</v>
      </c>
      <c r="G137" t="s">
        <v>74</v>
      </c>
      <c r="H137" t="s">
        <v>74</v>
      </c>
      <c r="I137" t="s">
        <v>2559</v>
      </c>
      <c r="J137" t="s">
        <v>1402</v>
      </c>
      <c r="K137" t="s">
        <v>74</v>
      </c>
      <c r="L137" t="s">
        <v>74</v>
      </c>
      <c r="M137" t="s">
        <v>78</v>
      </c>
      <c r="N137" t="s">
        <v>79</v>
      </c>
      <c r="O137" t="s">
        <v>74</v>
      </c>
      <c r="P137" t="s">
        <v>74</v>
      </c>
      <c r="Q137" t="s">
        <v>74</v>
      </c>
      <c r="R137" t="s">
        <v>74</v>
      </c>
      <c r="S137" t="s">
        <v>74</v>
      </c>
      <c r="T137" t="s">
        <v>2560</v>
      </c>
      <c r="U137" t="s">
        <v>2561</v>
      </c>
      <c r="V137" t="s">
        <v>2562</v>
      </c>
      <c r="W137" t="s">
        <v>2563</v>
      </c>
      <c r="X137" t="s">
        <v>2564</v>
      </c>
      <c r="Y137" t="s">
        <v>2565</v>
      </c>
      <c r="Z137" t="s">
        <v>2566</v>
      </c>
      <c r="AA137" t="s">
        <v>2567</v>
      </c>
      <c r="AB137" t="s">
        <v>74</v>
      </c>
      <c r="AC137" t="s">
        <v>2568</v>
      </c>
      <c r="AD137" t="s">
        <v>2569</v>
      </c>
      <c r="AE137" t="s">
        <v>2570</v>
      </c>
      <c r="AF137" t="s">
        <v>74</v>
      </c>
      <c r="AG137">
        <v>31</v>
      </c>
      <c r="AH137">
        <v>9</v>
      </c>
      <c r="AI137">
        <v>10</v>
      </c>
      <c r="AJ137">
        <v>5</v>
      </c>
      <c r="AK137">
        <v>63</v>
      </c>
      <c r="AL137" t="s">
        <v>1415</v>
      </c>
      <c r="AM137" t="s">
        <v>1416</v>
      </c>
      <c r="AN137" t="s">
        <v>1417</v>
      </c>
      <c r="AO137" t="s">
        <v>1418</v>
      </c>
      <c r="AP137" t="s">
        <v>1419</v>
      </c>
      <c r="AQ137" t="s">
        <v>74</v>
      </c>
      <c r="AR137" t="s">
        <v>1420</v>
      </c>
      <c r="AS137" t="s">
        <v>1421</v>
      </c>
      <c r="AT137" t="s">
        <v>2571</v>
      </c>
      <c r="AU137">
        <v>2022</v>
      </c>
      <c r="AV137">
        <v>54</v>
      </c>
      <c r="AW137">
        <v>9</v>
      </c>
      <c r="AX137" t="s">
        <v>74</v>
      </c>
      <c r="AY137" t="s">
        <v>74</v>
      </c>
      <c r="AZ137" t="s">
        <v>74</v>
      </c>
      <c r="BA137" t="s">
        <v>74</v>
      </c>
      <c r="BB137">
        <v>894</v>
      </c>
      <c r="BC137">
        <v>907</v>
      </c>
      <c r="BD137" t="s">
        <v>74</v>
      </c>
      <c r="BE137" t="s">
        <v>2572</v>
      </c>
      <c r="BF137" t="str">
        <f>HYPERLINK("http://dx.doi.org/10.1080/24725854.2021.1957181","http://dx.doi.org/10.1080/24725854.2021.1957181")</f>
        <v>http://dx.doi.org/10.1080/24725854.2021.1957181</v>
      </c>
      <c r="BG137" t="s">
        <v>74</v>
      </c>
      <c r="BH137" t="s">
        <v>2573</v>
      </c>
      <c r="BI137">
        <v>14</v>
      </c>
      <c r="BJ137" t="s">
        <v>148</v>
      </c>
      <c r="BK137" t="s">
        <v>149</v>
      </c>
      <c r="BL137" t="s">
        <v>150</v>
      </c>
      <c r="BM137" t="s">
        <v>2574</v>
      </c>
      <c r="BN137" t="s">
        <v>74</v>
      </c>
      <c r="BO137" t="s">
        <v>74</v>
      </c>
      <c r="BP137" t="s">
        <v>74</v>
      </c>
      <c r="BQ137" t="s">
        <v>74</v>
      </c>
      <c r="BR137" t="s">
        <v>104</v>
      </c>
      <c r="BS137" t="s">
        <v>2575</v>
      </c>
      <c r="BT137" t="str">
        <f>HYPERLINK("https%3A%2F%2Fwww.webofscience.com%2Fwos%2Fwoscc%2Ffull-record%2FWOS:000693548400001","View Full Record in Web of Science")</f>
        <v>View Full Record in Web of Science</v>
      </c>
    </row>
    <row r="138" spans="1:72" x14ac:dyDescent="0.25">
      <c r="A138" t="s">
        <v>72</v>
      </c>
      <c r="B138" t="s">
        <v>2576</v>
      </c>
      <c r="C138" t="s">
        <v>74</v>
      </c>
      <c r="D138" t="s">
        <v>74</v>
      </c>
      <c r="E138" t="s">
        <v>74</v>
      </c>
      <c r="F138" t="s">
        <v>2577</v>
      </c>
      <c r="G138" t="s">
        <v>74</v>
      </c>
      <c r="H138" t="s">
        <v>74</v>
      </c>
      <c r="I138" t="s">
        <v>2578</v>
      </c>
      <c r="J138" t="s">
        <v>128</v>
      </c>
      <c r="K138" t="s">
        <v>74</v>
      </c>
      <c r="L138" t="s">
        <v>74</v>
      </c>
      <c r="M138" t="s">
        <v>78</v>
      </c>
      <c r="N138" t="s">
        <v>79</v>
      </c>
      <c r="O138" t="s">
        <v>74</v>
      </c>
      <c r="P138" t="s">
        <v>74</v>
      </c>
      <c r="Q138" t="s">
        <v>74</v>
      </c>
      <c r="R138" t="s">
        <v>74</v>
      </c>
      <c r="S138" t="s">
        <v>74</v>
      </c>
      <c r="T138" t="s">
        <v>2579</v>
      </c>
      <c r="U138" t="s">
        <v>2580</v>
      </c>
      <c r="V138" t="s">
        <v>2581</v>
      </c>
      <c r="W138" t="s">
        <v>2582</v>
      </c>
      <c r="X138" t="s">
        <v>2564</v>
      </c>
      <c r="Y138" t="s">
        <v>2583</v>
      </c>
      <c r="Z138" t="s">
        <v>2584</v>
      </c>
      <c r="AA138" t="s">
        <v>74</v>
      </c>
      <c r="AB138" t="s">
        <v>74</v>
      </c>
      <c r="AC138" t="s">
        <v>2585</v>
      </c>
      <c r="AD138" t="s">
        <v>2586</v>
      </c>
      <c r="AE138" t="s">
        <v>2587</v>
      </c>
      <c r="AF138" t="s">
        <v>74</v>
      </c>
      <c r="AG138">
        <v>42</v>
      </c>
      <c r="AH138">
        <v>45</v>
      </c>
      <c r="AI138">
        <v>48</v>
      </c>
      <c r="AJ138">
        <v>5</v>
      </c>
      <c r="AK138">
        <v>53</v>
      </c>
      <c r="AL138" t="s">
        <v>138</v>
      </c>
      <c r="AM138" t="s">
        <v>246</v>
      </c>
      <c r="AN138" t="s">
        <v>247</v>
      </c>
      <c r="AO138" t="s">
        <v>141</v>
      </c>
      <c r="AP138" t="s">
        <v>142</v>
      </c>
      <c r="AQ138" t="s">
        <v>74</v>
      </c>
      <c r="AR138" t="s">
        <v>143</v>
      </c>
      <c r="AS138" t="s">
        <v>144</v>
      </c>
      <c r="AT138" t="s">
        <v>1008</v>
      </c>
      <c r="AU138">
        <v>2021</v>
      </c>
      <c r="AV138">
        <v>205</v>
      </c>
      <c r="AW138" t="s">
        <v>74</v>
      </c>
      <c r="AX138" t="s">
        <v>74</v>
      </c>
      <c r="AY138" t="s">
        <v>74</v>
      </c>
      <c r="AZ138" t="s">
        <v>74</v>
      </c>
      <c r="BA138" t="s">
        <v>74</v>
      </c>
      <c r="BB138" t="s">
        <v>74</v>
      </c>
      <c r="BC138" t="s">
        <v>74</v>
      </c>
      <c r="BD138">
        <v>107233</v>
      </c>
      <c r="BE138" t="s">
        <v>2588</v>
      </c>
      <c r="BF138" t="str">
        <f>HYPERLINK("http://dx.doi.org/10.1016/j.ress.2020.107233","http://dx.doi.org/10.1016/j.ress.2020.107233")</f>
        <v>http://dx.doi.org/10.1016/j.ress.2020.107233</v>
      </c>
      <c r="BG138" t="s">
        <v>74</v>
      </c>
      <c r="BH138" t="s">
        <v>74</v>
      </c>
      <c r="BI138">
        <v>10</v>
      </c>
      <c r="BJ138" t="s">
        <v>148</v>
      </c>
      <c r="BK138" t="s">
        <v>149</v>
      </c>
      <c r="BL138" t="s">
        <v>150</v>
      </c>
      <c r="BM138" t="s">
        <v>2589</v>
      </c>
      <c r="BN138" t="s">
        <v>74</v>
      </c>
      <c r="BO138" t="s">
        <v>74</v>
      </c>
      <c r="BP138" t="s">
        <v>74</v>
      </c>
      <c r="BQ138" t="s">
        <v>74</v>
      </c>
      <c r="BR138" t="s">
        <v>104</v>
      </c>
      <c r="BS138" t="s">
        <v>2590</v>
      </c>
      <c r="BT138" t="str">
        <f>HYPERLINK("https%3A%2F%2Fwww.webofscience.com%2Fwos%2Fwoscc%2Ffull-record%2FWOS:000589091300018","View Full Record in Web of Science")</f>
        <v>View Full Record in Web of Science</v>
      </c>
    </row>
    <row r="139" spans="1:72" x14ac:dyDescent="0.25">
      <c r="A139" t="s">
        <v>72</v>
      </c>
      <c r="B139" t="s">
        <v>2591</v>
      </c>
      <c r="C139" t="s">
        <v>74</v>
      </c>
      <c r="D139" t="s">
        <v>74</v>
      </c>
      <c r="E139" t="s">
        <v>74</v>
      </c>
      <c r="F139" t="s">
        <v>2592</v>
      </c>
      <c r="G139" t="s">
        <v>74</v>
      </c>
      <c r="H139" t="s">
        <v>74</v>
      </c>
      <c r="I139" t="s">
        <v>2593</v>
      </c>
      <c r="J139" t="s">
        <v>2160</v>
      </c>
      <c r="K139" t="s">
        <v>74</v>
      </c>
      <c r="L139" t="s">
        <v>74</v>
      </c>
      <c r="M139" t="s">
        <v>78</v>
      </c>
      <c r="N139" t="s">
        <v>79</v>
      </c>
      <c r="O139" t="s">
        <v>74</v>
      </c>
      <c r="P139" t="s">
        <v>74</v>
      </c>
      <c r="Q139" t="s">
        <v>74</v>
      </c>
      <c r="R139" t="s">
        <v>74</v>
      </c>
      <c r="S139" t="s">
        <v>74</v>
      </c>
      <c r="T139" t="s">
        <v>2594</v>
      </c>
      <c r="U139" t="s">
        <v>2595</v>
      </c>
      <c r="V139" t="s">
        <v>2596</v>
      </c>
      <c r="W139" t="s">
        <v>2597</v>
      </c>
      <c r="X139" t="s">
        <v>2598</v>
      </c>
      <c r="Y139" t="s">
        <v>2599</v>
      </c>
      <c r="Z139" t="s">
        <v>2600</v>
      </c>
      <c r="AA139" t="s">
        <v>2601</v>
      </c>
      <c r="AB139" t="s">
        <v>1999</v>
      </c>
      <c r="AC139" t="s">
        <v>74</v>
      </c>
      <c r="AD139" t="s">
        <v>74</v>
      </c>
      <c r="AE139" t="s">
        <v>74</v>
      </c>
      <c r="AF139" t="s">
        <v>74</v>
      </c>
      <c r="AG139">
        <v>40</v>
      </c>
      <c r="AH139">
        <v>6</v>
      </c>
      <c r="AI139">
        <v>6</v>
      </c>
      <c r="AJ139">
        <v>6</v>
      </c>
      <c r="AK139">
        <v>19</v>
      </c>
      <c r="AL139" t="s">
        <v>220</v>
      </c>
      <c r="AM139" t="s">
        <v>221</v>
      </c>
      <c r="AN139" t="s">
        <v>222</v>
      </c>
      <c r="AO139" t="s">
        <v>2172</v>
      </c>
      <c r="AP139" t="s">
        <v>2173</v>
      </c>
      <c r="AQ139" t="s">
        <v>74</v>
      </c>
      <c r="AR139" t="s">
        <v>2174</v>
      </c>
      <c r="AS139" t="s">
        <v>2175</v>
      </c>
      <c r="AT139" t="s">
        <v>275</v>
      </c>
      <c r="AU139">
        <v>2023</v>
      </c>
      <c r="AV139">
        <v>19</v>
      </c>
      <c r="AW139">
        <v>3</v>
      </c>
      <c r="AX139" t="s">
        <v>74</v>
      </c>
      <c r="AY139" t="s">
        <v>74</v>
      </c>
      <c r="AZ139" t="s">
        <v>74</v>
      </c>
      <c r="BA139" t="s">
        <v>74</v>
      </c>
      <c r="BB139">
        <v>2508</v>
      </c>
      <c r="BC139">
        <v>2519</v>
      </c>
      <c r="BD139" t="s">
        <v>74</v>
      </c>
      <c r="BE139" t="s">
        <v>2602</v>
      </c>
      <c r="BF139" t="str">
        <f>HYPERLINK("http://dx.doi.org/10.1109/TII.2022.3182789","http://dx.doi.org/10.1109/TII.2022.3182789")</f>
        <v>http://dx.doi.org/10.1109/TII.2022.3182789</v>
      </c>
      <c r="BG139" t="s">
        <v>74</v>
      </c>
      <c r="BH139" t="s">
        <v>74</v>
      </c>
      <c r="BI139">
        <v>12</v>
      </c>
      <c r="BJ139" t="s">
        <v>2177</v>
      </c>
      <c r="BK139" t="s">
        <v>149</v>
      </c>
      <c r="BL139" t="s">
        <v>1157</v>
      </c>
      <c r="BM139" t="s">
        <v>2603</v>
      </c>
      <c r="BN139" t="s">
        <v>74</v>
      </c>
      <c r="BO139" t="s">
        <v>74</v>
      </c>
      <c r="BP139" t="s">
        <v>74</v>
      </c>
      <c r="BQ139" t="s">
        <v>74</v>
      </c>
      <c r="BR139" t="s">
        <v>104</v>
      </c>
      <c r="BS139" t="s">
        <v>2604</v>
      </c>
      <c r="BT139" t="str">
        <f>HYPERLINK("https%3A%2F%2Fwww.webofscience.com%2Fwos%2Fwoscc%2Ffull-record%2FWOS:000965474000001","View Full Record in Web of Science")</f>
        <v>View Full Record in Web of Science</v>
      </c>
    </row>
    <row r="140" spans="1:72" x14ac:dyDescent="0.25">
      <c r="A140" t="s">
        <v>72</v>
      </c>
      <c r="B140" t="s">
        <v>2605</v>
      </c>
      <c r="C140" t="s">
        <v>74</v>
      </c>
      <c r="D140" t="s">
        <v>74</v>
      </c>
      <c r="E140" t="s">
        <v>74</v>
      </c>
      <c r="F140" t="s">
        <v>2606</v>
      </c>
      <c r="G140" t="s">
        <v>74</v>
      </c>
      <c r="H140" t="s">
        <v>74</v>
      </c>
      <c r="I140" t="s">
        <v>2607</v>
      </c>
      <c r="J140" t="s">
        <v>128</v>
      </c>
      <c r="K140" t="s">
        <v>74</v>
      </c>
      <c r="L140" t="s">
        <v>74</v>
      </c>
      <c r="M140" t="s">
        <v>78</v>
      </c>
      <c r="N140" t="s">
        <v>79</v>
      </c>
      <c r="O140" t="s">
        <v>74</v>
      </c>
      <c r="P140" t="s">
        <v>74</v>
      </c>
      <c r="Q140" t="s">
        <v>74</v>
      </c>
      <c r="R140" t="s">
        <v>74</v>
      </c>
      <c r="S140" t="s">
        <v>74</v>
      </c>
      <c r="T140" t="s">
        <v>2608</v>
      </c>
      <c r="U140" t="s">
        <v>2609</v>
      </c>
      <c r="V140" t="s">
        <v>2610</v>
      </c>
      <c r="W140" t="s">
        <v>2611</v>
      </c>
      <c r="X140" t="s">
        <v>2612</v>
      </c>
      <c r="Y140" t="s">
        <v>2613</v>
      </c>
      <c r="Z140" t="s">
        <v>2614</v>
      </c>
      <c r="AA140" t="s">
        <v>74</v>
      </c>
      <c r="AB140" t="s">
        <v>2615</v>
      </c>
      <c r="AC140" t="s">
        <v>2616</v>
      </c>
      <c r="AD140" t="s">
        <v>482</v>
      </c>
      <c r="AE140" t="s">
        <v>2617</v>
      </c>
      <c r="AF140" t="s">
        <v>74</v>
      </c>
      <c r="AG140">
        <v>43</v>
      </c>
      <c r="AH140">
        <v>18</v>
      </c>
      <c r="AI140">
        <v>18</v>
      </c>
      <c r="AJ140">
        <v>12</v>
      </c>
      <c r="AK140">
        <v>55</v>
      </c>
      <c r="AL140" t="s">
        <v>138</v>
      </c>
      <c r="AM140" t="s">
        <v>139</v>
      </c>
      <c r="AN140" t="s">
        <v>140</v>
      </c>
      <c r="AO140" t="s">
        <v>141</v>
      </c>
      <c r="AP140" t="s">
        <v>142</v>
      </c>
      <c r="AQ140" t="s">
        <v>74</v>
      </c>
      <c r="AR140" t="s">
        <v>143</v>
      </c>
      <c r="AS140" t="s">
        <v>144</v>
      </c>
      <c r="AT140" t="s">
        <v>145</v>
      </c>
      <c r="AU140">
        <v>2023</v>
      </c>
      <c r="AV140">
        <v>240</v>
      </c>
      <c r="AW140" t="s">
        <v>74</v>
      </c>
      <c r="AX140" t="s">
        <v>74</v>
      </c>
      <c r="AY140" t="s">
        <v>74</v>
      </c>
      <c r="AZ140" t="s">
        <v>74</v>
      </c>
      <c r="BA140" t="s">
        <v>74</v>
      </c>
      <c r="BB140" t="s">
        <v>74</v>
      </c>
      <c r="BC140" t="s">
        <v>74</v>
      </c>
      <c r="BD140">
        <v>109581</v>
      </c>
      <c r="BE140" t="s">
        <v>2618</v>
      </c>
      <c r="BF140" t="str">
        <f>HYPERLINK("http://dx.doi.org/10.1016/j.ress.2023.109581","http://dx.doi.org/10.1016/j.ress.2023.109581")</f>
        <v>http://dx.doi.org/10.1016/j.ress.2023.109581</v>
      </c>
      <c r="BG140" t="s">
        <v>74</v>
      </c>
      <c r="BH140" t="s">
        <v>147</v>
      </c>
      <c r="BI140">
        <v>13</v>
      </c>
      <c r="BJ140" t="s">
        <v>148</v>
      </c>
      <c r="BK140" t="s">
        <v>149</v>
      </c>
      <c r="BL140" t="s">
        <v>150</v>
      </c>
      <c r="BM140" t="s">
        <v>2619</v>
      </c>
      <c r="BN140" t="s">
        <v>74</v>
      </c>
      <c r="BO140" t="s">
        <v>74</v>
      </c>
      <c r="BP140" t="s">
        <v>74</v>
      </c>
      <c r="BQ140" t="s">
        <v>74</v>
      </c>
      <c r="BR140" t="s">
        <v>104</v>
      </c>
      <c r="BS140" t="s">
        <v>2620</v>
      </c>
      <c r="BT140" t="str">
        <f>HYPERLINK("https%3A%2F%2Fwww.webofscience.com%2Fwos%2Fwoscc%2Ffull-record%2FWOS:001072750200001","View Full Record in Web of Science")</f>
        <v>View Full Record in Web of Science</v>
      </c>
    </row>
    <row r="141" spans="1:72" x14ac:dyDescent="0.25">
      <c r="A141" t="s">
        <v>72</v>
      </c>
      <c r="B141" t="s">
        <v>2621</v>
      </c>
      <c r="C141" t="s">
        <v>74</v>
      </c>
      <c r="D141" t="s">
        <v>74</v>
      </c>
      <c r="E141" t="s">
        <v>74</v>
      </c>
      <c r="F141" t="s">
        <v>2622</v>
      </c>
      <c r="G141" t="s">
        <v>74</v>
      </c>
      <c r="H141" t="s">
        <v>74</v>
      </c>
      <c r="I141" t="s">
        <v>2623</v>
      </c>
      <c r="J141" t="s">
        <v>697</v>
      </c>
      <c r="K141" t="s">
        <v>74</v>
      </c>
      <c r="L141" t="s">
        <v>74</v>
      </c>
      <c r="M141" t="s">
        <v>78</v>
      </c>
      <c r="N141" t="s">
        <v>79</v>
      </c>
      <c r="O141" t="s">
        <v>74</v>
      </c>
      <c r="P141" t="s">
        <v>74</v>
      </c>
      <c r="Q141" t="s">
        <v>74</v>
      </c>
      <c r="R141" t="s">
        <v>74</v>
      </c>
      <c r="S141" t="s">
        <v>74</v>
      </c>
      <c r="T141" t="s">
        <v>2624</v>
      </c>
      <c r="U141" t="s">
        <v>2625</v>
      </c>
      <c r="V141" t="s">
        <v>2626</v>
      </c>
      <c r="W141" t="s">
        <v>2627</v>
      </c>
      <c r="X141" t="s">
        <v>2628</v>
      </c>
      <c r="Y141" t="s">
        <v>2629</v>
      </c>
      <c r="Z141" t="s">
        <v>2630</v>
      </c>
      <c r="AA141" t="s">
        <v>2631</v>
      </c>
      <c r="AB141" t="s">
        <v>2632</v>
      </c>
      <c r="AC141" t="s">
        <v>74</v>
      </c>
      <c r="AD141" t="s">
        <v>74</v>
      </c>
      <c r="AE141" t="s">
        <v>74</v>
      </c>
      <c r="AF141" t="s">
        <v>74</v>
      </c>
      <c r="AG141">
        <v>41</v>
      </c>
      <c r="AH141">
        <v>3</v>
      </c>
      <c r="AI141">
        <v>4</v>
      </c>
      <c r="AJ141">
        <v>1</v>
      </c>
      <c r="AK141">
        <v>10</v>
      </c>
      <c r="AL141" t="s">
        <v>707</v>
      </c>
      <c r="AM141" t="s">
        <v>246</v>
      </c>
      <c r="AN141" t="s">
        <v>708</v>
      </c>
      <c r="AO141" t="s">
        <v>709</v>
      </c>
      <c r="AP141" t="s">
        <v>710</v>
      </c>
      <c r="AQ141" t="s">
        <v>74</v>
      </c>
      <c r="AR141" t="s">
        <v>711</v>
      </c>
      <c r="AS141" t="s">
        <v>712</v>
      </c>
      <c r="AT141" t="s">
        <v>491</v>
      </c>
      <c r="AU141">
        <v>2022</v>
      </c>
      <c r="AV141">
        <v>173</v>
      </c>
      <c r="AW141" t="s">
        <v>74</v>
      </c>
      <c r="AX141" t="s">
        <v>74</v>
      </c>
      <c r="AY141" t="s">
        <v>74</v>
      </c>
      <c r="AZ141" t="s">
        <v>74</v>
      </c>
      <c r="BA141" t="s">
        <v>74</v>
      </c>
      <c r="BB141" t="s">
        <v>74</v>
      </c>
      <c r="BC141" t="s">
        <v>74</v>
      </c>
      <c r="BD141">
        <v>108619</v>
      </c>
      <c r="BE141" t="s">
        <v>2633</v>
      </c>
      <c r="BF141" t="str">
        <f>HYPERLINK("http://dx.doi.org/10.1016/j.cie.2022.108619","http://dx.doi.org/10.1016/j.cie.2022.108619")</f>
        <v>http://dx.doi.org/10.1016/j.cie.2022.108619</v>
      </c>
      <c r="BG141" t="s">
        <v>74</v>
      </c>
      <c r="BH141" t="s">
        <v>865</v>
      </c>
      <c r="BI141">
        <v>18</v>
      </c>
      <c r="BJ141" t="s">
        <v>715</v>
      </c>
      <c r="BK141" t="s">
        <v>149</v>
      </c>
      <c r="BL141" t="s">
        <v>716</v>
      </c>
      <c r="BM141" t="s">
        <v>2634</v>
      </c>
      <c r="BN141" t="s">
        <v>74</v>
      </c>
      <c r="BO141" t="s">
        <v>74</v>
      </c>
      <c r="BP141" t="s">
        <v>74</v>
      </c>
      <c r="BQ141" t="s">
        <v>74</v>
      </c>
      <c r="BR141" t="s">
        <v>104</v>
      </c>
      <c r="BS141" t="s">
        <v>2635</v>
      </c>
      <c r="BT141" t="str">
        <f>HYPERLINK("https%3A%2F%2Fwww.webofscience.com%2Fwos%2Fwoscc%2Ffull-record%2FWOS:000861219700001","View Full Record in Web of Science")</f>
        <v>View Full Record in Web of Science</v>
      </c>
    </row>
    <row r="142" spans="1:72" x14ac:dyDescent="0.25">
      <c r="A142" t="s">
        <v>72</v>
      </c>
      <c r="B142" t="s">
        <v>2636</v>
      </c>
      <c r="C142" t="s">
        <v>74</v>
      </c>
      <c r="D142" t="s">
        <v>74</v>
      </c>
      <c r="E142" t="s">
        <v>74</v>
      </c>
      <c r="F142" t="s">
        <v>2637</v>
      </c>
      <c r="G142" t="s">
        <v>74</v>
      </c>
      <c r="H142" t="s">
        <v>74</v>
      </c>
      <c r="I142" t="s">
        <v>2638</v>
      </c>
      <c r="J142" t="s">
        <v>128</v>
      </c>
      <c r="K142" t="s">
        <v>74</v>
      </c>
      <c r="L142" t="s">
        <v>74</v>
      </c>
      <c r="M142" t="s">
        <v>78</v>
      </c>
      <c r="N142" t="s">
        <v>79</v>
      </c>
      <c r="O142" t="s">
        <v>74</v>
      </c>
      <c r="P142" t="s">
        <v>74</v>
      </c>
      <c r="Q142" t="s">
        <v>74</v>
      </c>
      <c r="R142" t="s">
        <v>74</v>
      </c>
      <c r="S142" t="s">
        <v>74</v>
      </c>
      <c r="T142" t="s">
        <v>2639</v>
      </c>
      <c r="U142" t="s">
        <v>2640</v>
      </c>
      <c r="V142" t="s">
        <v>2641</v>
      </c>
      <c r="W142" t="s">
        <v>2642</v>
      </c>
      <c r="X142" t="s">
        <v>2643</v>
      </c>
      <c r="Y142" t="s">
        <v>2644</v>
      </c>
      <c r="Z142" t="s">
        <v>2645</v>
      </c>
      <c r="AA142" t="s">
        <v>2646</v>
      </c>
      <c r="AB142" t="s">
        <v>2647</v>
      </c>
      <c r="AC142" t="s">
        <v>2648</v>
      </c>
      <c r="AD142" t="s">
        <v>2649</v>
      </c>
      <c r="AE142" t="s">
        <v>2650</v>
      </c>
      <c r="AF142" t="s">
        <v>74</v>
      </c>
      <c r="AG142">
        <v>42</v>
      </c>
      <c r="AH142">
        <v>13</v>
      </c>
      <c r="AI142">
        <v>14</v>
      </c>
      <c r="AJ142">
        <v>4</v>
      </c>
      <c r="AK142">
        <v>57</v>
      </c>
      <c r="AL142" t="s">
        <v>138</v>
      </c>
      <c r="AM142" t="s">
        <v>246</v>
      </c>
      <c r="AN142" t="s">
        <v>247</v>
      </c>
      <c r="AO142" t="s">
        <v>141</v>
      </c>
      <c r="AP142" t="s">
        <v>142</v>
      </c>
      <c r="AQ142" t="s">
        <v>74</v>
      </c>
      <c r="AR142" t="s">
        <v>143</v>
      </c>
      <c r="AS142" t="s">
        <v>144</v>
      </c>
      <c r="AT142" t="s">
        <v>1867</v>
      </c>
      <c r="AU142">
        <v>2022</v>
      </c>
      <c r="AV142">
        <v>220</v>
      </c>
      <c r="AW142" t="s">
        <v>74</v>
      </c>
      <c r="AX142" t="s">
        <v>74</v>
      </c>
      <c r="AY142" t="s">
        <v>74</v>
      </c>
      <c r="AZ142" t="s">
        <v>74</v>
      </c>
      <c r="BA142" t="s">
        <v>74</v>
      </c>
      <c r="BB142" t="s">
        <v>74</v>
      </c>
      <c r="BC142" t="s">
        <v>74</v>
      </c>
      <c r="BD142">
        <v>108251</v>
      </c>
      <c r="BE142" t="s">
        <v>2651</v>
      </c>
      <c r="BF142" t="str">
        <f>HYPERLINK("http://dx.doi.org/10.1016/j.ress.2021.108251","http://dx.doi.org/10.1016/j.ress.2021.108251")</f>
        <v>http://dx.doi.org/10.1016/j.ress.2021.108251</v>
      </c>
      <c r="BG142" t="s">
        <v>74</v>
      </c>
      <c r="BH142" t="s">
        <v>74</v>
      </c>
      <c r="BI142">
        <v>12</v>
      </c>
      <c r="BJ142" t="s">
        <v>148</v>
      </c>
      <c r="BK142" t="s">
        <v>149</v>
      </c>
      <c r="BL142" t="s">
        <v>150</v>
      </c>
      <c r="BM142" t="s">
        <v>2652</v>
      </c>
      <c r="BN142" t="s">
        <v>74</v>
      </c>
      <c r="BO142" t="s">
        <v>2653</v>
      </c>
      <c r="BP142" t="s">
        <v>74</v>
      </c>
      <c r="BQ142" t="s">
        <v>74</v>
      </c>
      <c r="BR142" t="s">
        <v>104</v>
      </c>
      <c r="BS142" t="s">
        <v>2654</v>
      </c>
      <c r="BT142" t="str">
        <f>HYPERLINK("https%3A%2F%2Fwww.webofscience.com%2Fwos%2Fwoscc%2Ffull-record%2FWOS:000760343700003","View Full Record in Web of Science")</f>
        <v>View Full Record in Web of Science</v>
      </c>
    </row>
    <row r="143" spans="1:72" x14ac:dyDescent="0.25">
      <c r="A143" t="s">
        <v>72</v>
      </c>
      <c r="B143" t="s">
        <v>2655</v>
      </c>
      <c r="C143" t="s">
        <v>74</v>
      </c>
      <c r="D143" t="s">
        <v>74</v>
      </c>
      <c r="E143" t="s">
        <v>74</v>
      </c>
      <c r="F143" t="s">
        <v>2656</v>
      </c>
      <c r="G143" t="s">
        <v>74</v>
      </c>
      <c r="H143" t="s">
        <v>74</v>
      </c>
      <c r="I143" t="s">
        <v>2657</v>
      </c>
      <c r="J143" t="s">
        <v>542</v>
      </c>
      <c r="K143" t="s">
        <v>74</v>
      </c>
      <c r="L143" t="s">
        <v>74</v>
      </c>
      <c r="M143" t="s">
        <v>78</v>
      </c>
      <c r="N143" t="s">
        <v>79</v>
      </c>
      <c r="O143" t="s">
        <v>74</v>
      </c>
      <c r="P143" t="s">
        <v>74</v>
      </c>
      <c r="Q143" t="s">
        <v>74</v>
      </c>
      <c r="R143" t="s">
        <v>74</v>
      </c>
      <c r="S143" t="s">
        <v>74</v>
      </c>
      <c r="T143" t="s">
        <v>2658</v>
      </c>
      <c r="U143" t="s">
        <v>2659</v>
      </c>
      <c r="V143" t="s">
        <v>2660</v>
      </c>
      <c r="W143" t="s">
        <v>2661</v>
      </c>
      <c r="X143" t="s">
        <v>2662</v>
      </c>
      <c r="Y143" t="s">
        <v>2663</v>
      </c>
      <c r="Z143" t="s">
        <v>2664</v>
      </c>
      <c r="AA143" t="s">
        <v>74</v>
      </c>
      <c r="AB143" t="s">
        <v>634</v>
      </c>
      <c r="AC143" t="s">
        <v>74</v>
      </c>
      <c r="AD143" t="s">
        <v>74</v>
      </c>
      <c r="AE143" t="s">
        <v>74</v>
      </c>
      <c r="AF143" t="s">
        <v>74</v>
      </c>
      <c r="AG143">
        <v>38</v>
      </c>
      <c r="AH143">
        <v>12</v>
      </c>
      <c r="AI143">
        <v>13</v>
      </c>
      <c r="AJ143">
        <v>3</v>
      </c>
      <c r="AK143">
        <v>22</v>
      </c>
      <c r="AL143" t="s">
        <v>552</v>
      </c>
      <c r="AM143" t="s">
        <v>553</v>
      </c>
      <c r="AN143" t="s">
        <v>554</v>
      </c>
      <c r="AO143" t="s">
        <v>555</v>
      </c>
      <c r="AP143" t="s">
        <v>556</v>
      </c>
      <c r="AQ143" t="s">
        <v>74</v>
      </c>
      <c r="AR143" t="s">
        <v>557</v>
      </c>
      <c r="AS143" t="s">
        <v>558</v>
      </c>
      <c r="AT143" t="s">
        <v>533</v>
      </c>
      <c r="AU143">
        <v>2020</v>
      </c>
      <c r="AV143">
        <v>234</v>
      </c>
      <c r="AW143">
        <v>1</v>
      </c>
      <c r="AX143" t="s">
        <v>74</v>
      </c>
      <c r="AY143" t="s">
        <v>74</v>
      </c>
      <c r="AZ143" t="s">
        <v>74</v>
      </c>
      <c r="BA143" t="s">
        <v>74</v>
      </c>
      <c r="BB143">
        <v>52</v>
      </c>
      <c r="BC143">
        <v>62</v>
      </c>
      <c r="BD143" t="s">
        <v>74</v>
      </c>
      <c r="BE143" t="s">
        <v>2665</v>
      </c>
      <c r="BF143" t="str">
        <f>HYPERLINK("http://dx.doi.org/10.1177/1748006X19869750","http://dx.doi.org/10.1177/1748006X19869750")</f>
        <v>http://dx.doi.org/10.1177/1748006X19869750</v>
      </c>
      <c r="BG143" t="s">
        <v>74</v>
      </c>
      <c r="BH143" t="s">
        <v>74</v>
      </c>
      <c r="BI143">
        <v>11</v>
      </c>
      <c r="BJ143" t="s">
        <v>494</v>
      </c>
      <c r="BK143" t="s">
        <v>149</v>
      </c>
      <c r="BL143" t="s">
        <v>150</v>
      </c>
      <c r="BM143" t="s">
        <v>2666</v>
      </c>
      <c r="BN143" t="s">
        <v>74</v>
      </c>
      <c r="BO143" t="s">
        <v>74</v>
      </c>
      <c r="BP143" t="s">
        <v>74</v>
      </c>
      <c r="BQ143" t="s">
        <v>74</v>
      </c>
      <c r="BR143" t="s">
        <v>104</v>
      </c>
      <c r="BS143" t="s">
        <v>2667</v>
      </c>
      <c r="BT143" t="str">
        <f>HYPERLINK("https%3A%2F%2Fwww.webofscience.com%2Fwos%2Fwoscc%2Ffull-record%2FWOS:000510049700005","View Full Record in Web of Science")</f>
        <v>View Full Record in Web of Science</v>
      </c>
    </row>
    <row r="144" spans="1:72" x14ac:dyDescent="0.25">
      <c r="A144" t="s">
        <v>72</v>
      </c>
      <c r="B144" t="s">
        <v>2668</v>
      </c>
      <c r="C144" t="s">
        <v>74</v>
      </c>
      <c r="D144" t="s">
        <v>74</v>
      </c>
      <c r="E144" t="s">
        <v>74</v>
      </c>
      <c r="F144" t="s">
        <v>2669</v>
      </c>
      <c r="G144" t="s">
        <v>74</v>
      </c>
      <c r="H144" t="s">
        <v>74</v>
      </c>
      <c r="I144" t="s">
        <v>2670</v>
      </c>
      <c r="J144" t="s">
        <v>1814</v>
      </c>
      <c r="K144" t="s">
        <v>74</v>
      </c>
      <c r="L144" t="s">
        <v>74</v>
      </c>
      <c r="M144" t="s">
        <v>78</v>
      </c>
      <c r="N144" t="s">
        <v>79</v>
      </c>
      <c r="O144" t="s">
        <v>74</v>
      </c>
      <c r="P144" t="s">
        <v>74</v>
      </c>
      <c r="Q144" t="s">
        <v>74</v>
      </c>
      <c r="R144" t="s">
        <v>74</v>
      </c>
      <c r="S144" t="s">
        <v>74</v>
      </c>
      <c r="T144" t="s">
        <v>2671</v>
      </c>
      <c r="U144" t="s">
        <v>2672</v>
      </c>
      <c r="V144" t="s">
        <v>2673</v>
      </c>
      <c r="W144" t="s">
        <v>2674</v>
      </c>
      <c r="X144" t="s">
        <v>1512</v>
      </c>
      <c r="Y144" t="s">
        <v>2675</v>
      </c>
      <c r="Z144" t="s">
        <v>2676</v>
      </c>
      <c r="AA144" t="s">
        <v>2677</v>
      </c>
      <c r="AB144" t="s">
        <v>2678</v>
      </c>
      <c r="AC144" t="s">
        <v>2679</v>
      </c>
      <c r="AD144" t="s">
        <v>2680</v>
      </c>
      <c r="AE144" t="s">
        <v>2681</v>
      </c>
      <c r="AF144" t="s">
        <v>74</v>
      </c>
      <c r="AG144">
        <v>59</v>
      </c>
      <c r="AH144">
        <v>5</v>
      </c>
      <c r="AI144">
        <v>5</v>
      </c>
      <c r="AJ144">
        <v>5</v>
      </c>
      <c r="AK144">
        <v>32</v>
      </c>
      <c r="AL144" t="s">
        <v>509</v>
      </c>
      <c r="AM144" t="s">
        <v>510</v>
      </c>
      <c r="AN144" t="s">
        <v>511</v>
      </c>
      <c r="AO144" t="s">
        <v>1824</v>
      </c>
      <c r="AP144" t="s">
        <v>1825</v>
      </c>
      <c r="AQ144" t="s">
        <v>74</v>
      </c>
      <c r="AR144" t="s">
        <v>1826</v>
      </c>
      <c r="AS144" t="s">
        <v>1827</v>
      </c>
      <c r="AT144" t="s">
        <v>533</v>
      </c>
      <c r="AU144">
        <v>2023</v>
      </c>
      <c r="AV144">
        <v>256</v>
      </c>
      <c r="AW144" t="s">
        <v>74</v>
      </c>
      <c r="AX144" t="s">
        <v>74</v>
      </c>
      <c r="AY144" t="s">
        <v>74</v>
      </c>
      <c r="AZ144" t="s">
        <v>74</v>
      </c>
      <c r="BA144" t="s">
        <v>74</v>
      </c>
      <c r="BB144" t="s">
        <v>74</v>
      </c>
      <c r="BC144" t="s">
        <v>74</v>
      </c>
      <c r="BD144">
        <v>108746</v>
      </c>
      <c r="BE144" t="s">
        <v>2682</v>
      </c>
      <c r="BF144" t="str">
        <f>HYPERLINK("http://dx.doi.org/10.1016/j.ijpe.2022.108746","http://dx.doi.org/10.1016/j.ijpe.2022.108746")</f>
        <v>http://dx.doi.org/10.1016/j.ijpe.2022.108746</v>
      </c>
      <c r="BG144" t="s">
        <v>74</v>
      </c>
      <c r="BH144" t="s">
        <v>396</v>
      </c>
      <c r="BI144">
        <v>14</v>
      </c>
      <c r="BJ144" t="s">
        <v>321</v>
      </c>
      <c r="BK144" t="s">
        <v>149</v>
      </c>
      <c r="BL144" t="s">
        <v>150</v>
      </c>
      <c r="BM144" t="s">
        <v>2683</v>
      </c>
      <c r="BN144" t="s">
        <v>74</v>
      </c>
      <c r="BO144" t="s">
        <v>1653</v>
      </c>
      <c r="BP144" t="s">
        <v>74</v>
      </c>
      <c r="BQ144" t="s">
        <v>74</v>
      </c>
      <c r="BR144" t="s">
        <v>104</v>
      </c>
      <c r="BS144" t="s">
        <v>2684</v>
      </c>
      <c r="BT144" t="str">
        <f>HYPERLINK("https%3A%2F%2Fwww.webofscience.com%2Fwos%2Fwoscc%2Ffull-record%2FWOS:000906714200001","View Full Record in Web of Science")</f>
        <v>View Full Record in Web of Science</v>
      </c>
    </row>
    <row r="145" spans="1:72" x14ac:dyDescent="0.25">
      <c r="A145" t="s">
        <v>72</v>
      </c>
      <c r="B145" t="s">
        <v>2685</v>
      </c>
      <c r="C145" t="s">
        <v>74</v>
      </c>
      <c r="D145" t="s">
        <v>74</v>
      </c>
      <c r="E145" t="s">
        <v>74</v>
      </c>
      <c r="F145" t="s">
        <v>2686</v>
      </c>
      <c r="G145" t="s">
        <v>74</v>
      </c>
      <c r="H145" t="s">
        <v>74</v>
      </c>
      <c r="I145" t="s">
        <v>2687</v>
      </c>
      <c r="J145" t="s">
        <v>77</v>
      </c>
      <c r="K145" t="s">
        <v>74</v>
      </c>
      <c r="L145" t="s">
        <v>74</v>
      </c>
      <c r="M145" t="s">
        <v>78</v>
      </c>
      <c r="N145" t="s">
        <v>79</v>
      </c>
      <c r="O145" t="s">
        <v>74</v>
      </c>
      <c r="P145" t="s">
        <v>74</v>
      </c>
      <c r="Q145" t="s">
        <v>74</v>
      </c>
      <c r="R145" t="s">
        <v>74</v>
      </c>
      <c r="S145" t="s">
        <v>74</v>
      </c>
      <c r="T145" t="s">
        <v>2688</v>
      </c>
      <c r="U145" t="s">
        <v>2689</v>
      </c>
      <c r="V145" t="s">
        <v>2690</v>
      </c>
      <c r="W145" t="s">
        <v>2691</v>
      </c>
      <c r="X145" t="s">
        <v>2692</v>
      </c>
      <c r="Y145" t="s">
        <v>2693</v>
      </c>
      <c r="Z145" t="s">
        <v>2694</v>
      </c>
      <c r="AA145" t="s">
        <v>74</v>
      </c>
      <c r="AB145" t="s">
        <v>2695</v>
      </c>
      <c r="AC145" t="s">
        <v>74</v>
      </c>
      <c r="AD145" t="s">
        <v>74</v>
      </c>
      <c r="AE145" t="s">
        <v>74</v>
      </c>
      <c r="AF145" t="s">
        <v>74</v>
      </c>
      <c r="AG145">
        <v>32</v>
      </c>
      <c r="AH145">
        <v>3</v>
      </c>
      <c r="AI145">
        <v>3</v>
      </c>
      <c r="AJ145">
        <v>0</v>
      </c>
      <c r="AK145">
        <v>4</v>
      </c>
      <c r="AL145" t="s">
        <v>90</v>
      </c>
      <c r="AM145" t="s">
        <v>91</v>
      </c>
      <c r="AN145" t="s">
        <v>92</v>
      </c>
      <c r="AO145" t="s">
        <v>93</v>
      </c>
      <c r="AP145" t="s">
        <v>94</v>
      </c>
      <c r="AQ145" t="s">
        <v>74</v>
      </c>
      <c r="AR145" t="s">
        <v>95</v>
      </c>
      <c r="AS145" t="s">
        <v>96</v>
      </c>
      <c r="AT145" t="s">
        <v>181</v>
      </c>
      <c r="AU145">
        <v>2024</v>
      </c>
      <c r="AV145">
        <v>30</v>
      </c>
      <c r="AW145">
        <v>1</v>
      </c>
      <c r="AX145" t="s">
        <v>74</v>
      </c>
      <c r="AY145" t="s">
        <v>74</v>
      </c>
      <c r="AZ145" t="s">
        <v>74</v>
      </c>
      <c r="BA145" t="s">
        <v>74</v>
      </c>
      <c r="BB145">
        <v>81</v>
      </c>
      <c r="BC145">
        <v>100</v>
      </c>
      <c r="BD145" t="s">
        <v>74</v>
      </c>
      <c r="BE145" t="s">
        <v>2696</v>
      </c>
      <c r="BF145" t="str">
        <f>HYPERLINK("http://dx.doi.org/10.1108/JQME-01-2023-0001","http://dx.doi.org/10.1108/JQME-01-2023-0001")</f>
        <v>http://dx.doi.org/10.1108/JQME-01-2023-0001</v>
      </c>
      <c r="BG145" t="s">
        <v>74</v>
      </c>
      <c r="BH145" t="s">
        <v>846</v>
      </c>
      <c r="BI145">
        <v>20</v>
      </c>
      <c r="BJ145" t="s">
        <v>100</v>
      </c>
      <c r="BK145" t="s">
        <v>101</v>
      </c>
      <c r="BL145" t="s">
        <v>102</v>
      </c>
      <c r="BM145" t="s">
        <v>183</v>
      </c>
      <c r="BN145" t="s">
        <v>74</v>
      </c>
      <c r="BO145" t="s">
        <v>74</v>
      </c>
      <c r="BP145" t="s">
        <v>74</v>
      </c>
      <c r="BQ145" t="s">
        <v>74</v>
      </c>
      <c r="BR145" t="s">
        <v>104</v>
      </c>
      <c r="BS145" t="s">
        <v>2697</v>
      </c>
      <c r="BT145" t="str">
        <f>HYPERLINK("https%3A%2F%2Fwww.webofscience.com%2Fwos%2Fwoscc%2Ffull-record%2FWOS:001080248400001","View Full Record in Web of Science")</f>
        <v>View Full Record in Web of Science</v>
      </c>
    </row>
    <row r="146" spans="1:72" x14ac:dyDescent="0.25">
      <c r="A146" t="s">
        <v>72</v>
      </c>
      <c r="B146" t="s">
        <v>2698</v>
      </c>
      <c r="C146" t="s">
        <v>74</v>
      </c>
      <c r="D146" t="s">
        <v>74</v>
      </c>
      <c r="E146" t="s">
        <v>74</v>
      </c>
      <c r="F146" t="s">
        <v>2699</v>
      </c>
      <c r="G146" t="s">
        <v>74</v>
      </c>
      <c r="H146" t="s">
        <v>74</v>
      </c>
      <c r="I146" t="s">
        <v>2700</v>
      </c>
      <c r="J146" t="s">
        <v>1894</v>
      </c>
      <c r="K146" t="s">
        <v>74</v>
      </c>
      <c r="L146" t="s">
        <v>74</v>
      </c>
      <c r="M146" t="s">
        <v>78</v>
      </c>
      <c r="N146" t="s">
        <v>79</v>
      </c>
      <c r="O146" t="s">
        <v>74</v>
      </c>
      <c r="P146" t="s">
        <v>74</v>
      </c>
      <c r="Q146" t="s">
        <v>74</v>
      </c>
      <c r="R146" t="s">
        <v>74</v>
      </c>
      <c r="S146" t="s">
        <v>74</v>
      </c>
      <c r="T146" t="s">
        <v>2701</v>
      </c>
      <c r="U146" t="s">
        <v>2702</v>
      </c>
      <c r="V146" t="s">
        <v>2703</v>
      </c>
      <c r="W146" t="s">
        <v>2704</v>
      </c>
      <c r="X146" t="s">
        <v>2705</v>
      </c>
      <c r="Y146" t="s">
        <v>2706</v>
      </c>
      <c r="Z146" t="s">
        <v>2707</v>
      </c>
      <c r="AA146" t="s">
        <v>2708</v>
      </c>
      <c r="AB146" t="s">
        <v>2709</v>
      </c>
      <c r="AC146" t="s">
        <v>2710</v>
      </c>
      <c r="AD146" t="s">
        <v>2711</v>
      </c>
      <c r="AE146" t="s">
        <v>2712</v>
      </c>
      <c r="AF146" t="s">
        <v>74</v>
      </c>
      <c r="AG146">
        <v>30</v>
      </c>
      <c r="AH146">
        <v>29</v>
      </c>
      <c r="AI146">
        <v>30</v>
      </c>
      <c r="AJ146">
        <v>2</v>
      </c>
      <c r="AK146">
        <v>34</v>
      </c>
      <c r="AL146" t="s">
        <v>138</v>
      </c>
      <c r="AM146" t="s">
        <v>246</v>
      </c>
      <c r="AN146" t="s">
        <v>247</v>
      </c>
      <c r="AO146" t="s">
        <v>1903</v>
      </c>
      <c r="AP146" t="s">
        <v>1904</v>
      </c>
      <c r="AQ146" t="s">
        <v>74</v>
      </c>
      <c r="AR146" t="s">
        <v>1905</v>
      </c>
      <c r="AS146" t="s">
        <v>1906</v>
      </c>
      <c r="AT146" t="s">
        <v>1076</v>
      </c>
      <c r="AU146">
        <v>2019</v>
      </c>
      <c r="AV146">
        <v>53</v>
      </c>
      <c r="AW146" t="s">
        <v>74</v>
      </c>
      <c r="AX146" t="s">
        <v>74</v>
      </c>
      <c r="AY146" t="s">
        <v>74</v>
      </c>
      <c r="AZ146" t="s">
        <v>74</v>
      </c>
      <c r="BA146" t="s">
        <v>74</v>
      </c>
      <c r="BB146">
        <v>282</v>
      </c>
      <c r="BC146">
        <v>290</v>
      </c>
      <c r="BD146" t="s">
        <v>74</v>
      </c>
      <c r="BE146" t="s">
        <v>2713</v>
      </c>
      <c r="BF146" t="str">
        <f>HYPERLINK("http://dx.doi.org/10.1016/j.jmsy.2019.11.002","http://dx.doi.org/10.1016/j.jmsy.2019.11.002")</f>
        <v>http://dx.doi.org/10.1016/j.jmsy.2019.11.002</v>
      </c>
      <c r="BG146" t="s">
        <v>74</v>
      </c>
      <c r="BH146" t="s">
        <v>74</v>
      </c>
      <c r="BI146">
        <v>9</v>
      </c>
      <c r="BJ146" t="s">
        <v>321</v>
      </c>
      <c r="BK146" t="s">
        <v>149</v>
      </c>
      <c r="BL146" t="s">
        <v>150</v>
      </c>
      <c r="BM146" t="s">
        <v>2486</v>
      </c>
      <c r="BN146" t="s">
        <v>74</v>
      </c>
      <c r="BO146" t="s">
        <v>1578</v>
      </c>
      <c r="BP146" t="s">
        <v>74</v>
      </c>
      <c r="BQ146" t="s">
        <v>74</v>
      </c>
      <c r="BR146" t="s">
        <v>104</v>
      </c>
      <c r="BS146" t="s">
        <v>2714</v>
      </c>
      <c r="BT146" t="str">
        <f>HYPERLINK("https%3A%2F%2Fwww.webofscience.com%2Fwos%2Fwoscc%2Ffull-record%2FWOS:000500221000021","View Full Record in Web of Science")</f>
        <v>View Full Record in Web of Science</v>
      </c>
    </row>
    <row r="147" spans="1:72" x14ac:dyDescent="0.25">
      <c r="A147" t="s">
        <v>72</v>
      </c>
      <c r="B147" t="s">
        <v>2715</v>
      </c>
      <c r="C147" t="s">
        <v>74</v>
      </c>
      <c r="D147" t="s">
        <v>74</v>
      </c>
      <c r="E147" t="s">
        <v>74</v>
      </c>
      <c r="F147" t="s">
        <v>2716</v>
      </c>
      <c r="G147" t="s">
        <v>74</v>
      </c>
      <c r="H147" t="s">
        <v>74</v>
      </c>
      <c r="I147" t="s">
        <v>2717</v>
      </c>
      <c r="J147" t="s">
        <v>1894</v>
      </c>
      <c r="K147" t="s">
        <v>74</v>
      </c>
      <c r="L147" t="s">
        <v>74</v>
      </c>
      <c r="M147" t="s">
        <v>78</v>
      </c>
      <c r="N147" t="s">
        <v>79</v>
      </c>
      <c r="O147" t="s">
        <v>74</v>
      </c>
      <c r="P147" t="s">
        <v>74</v>
      </c>
      <c r="Q147" t="s">
        <v>74</v>
      </c>
      <c r="R147" t="s">
        <v>74</v>
      </c>
      <c r="S147" t="s">
        <v>74</v>
      </c>
      <c r="T147" t="s">
        <v>2718</v>
      </c>
      <c r="U147" t="s">
        <v>2719</v>
      </c>
      <c r="V147" t="s">
        <v>2720</v>
      </c>
      <c r="W147" t="s">
        <v>2721</v>
      </c>
      <c r="X147" t="s">
        <v>2722</v>
      </c>
      <c r="Y147" t="s">
        <v>2723</v>
      </c>
      <c r="Z147" t="s">
        <v>2724</v>
      </c>
      <c r="AA147" t="s">
        <v>2725</v>
      </c>
      <c r="AB147" t="s">
        <v>2726</v>
      </c>
      <c r="AC147" t="s">
        <v>74</v>
      </c>
      <c r="AD147" t="s">
        <v>74</v>
      </c>
      <c r="AE147" t="s">
        <v>74</v>
      </c>
      <c r="AF147" t="s">
        <v>74</v>
      </c>
      <c r="AG147">
        <v>50</v>
      </c>
      <c r="AH147">
        <v>18</v>
      </c>
      <c r="AI147">
        <v>19</v>
      </c>
      <c r="AJ147">
        <v>14</v>
      </c>
      <c r="AK147">
        <v>53</v>
      </c>
      <c r="AL147" t="s">
        <v>138</v>
      </c>
      <c r="AM147" t="s">
        <v>139</v>
      </c>
      <c r="AN147" t="s">
        <v>140</v>
      </c>
      <c r="AO147" t="s">
        <v>1903</v>
      </c>
      <c r="AP147" t="s">
        <v>1904</v>
      </c>
      <c r="AQ147" t="s">
        <v>74</v>
      </c>
      <c r="AR147" t="s">
        <v>1905</v>
      </c>
      <c r="AS147" t="s">
        <v>1906</v>
      </c>
      <c r="AT147" t="s">
        <v>2225</v>
      </c>
      <c r="AU147">
        <v>2023</v>
      </c>
      <c r="AV147">
        <v>69</v>
      </c>
      <c r="AW147" t="s">
        <v>74</v>
      </c>
      <c r="AX147" t="s">
        <v>74</v>
      </c>
      <c r="AY147" t="s">
        <v>74</v>
      </c>
      <c r="AZ147" t="s">
        <v>74</v>
      </c>
      <c r="BA147" t="s">
        <v>74</v>
      </c>
      <c r="BB147">
        <v>292</v>
      </c>
      <c r="BC147">
        <v>310</v>
      </c>
      <c r="BD147" t="s">
        <v>74</v>
      </c>
      <c r="BE147" t="s">
        <v>2727</v>
      </c>
      <c r="BF147" t="str">
        <f>HYPERLINK("http://dx.doi.org/10.1016/j.jmsy.2023.06.012","http://dx.doi.org/10.1016/j.jmsy.2023.06.012")</f>
        <v>http://dx.doi.org/10.1016/j.jmsy.2023.06.012</v>
      </c>
      <c r="BG147" t="s">
        <v>74</v>
      </c>
      <c r="BH147" t="s">
        <v>1155</v>
      </c>
      <c r="BI147">
        <v>19</v>
      </c>
      <c r="BJ147" t="s">
        <v>321</v>
      </c>
      <c r="BK147" t="s">
        <v>149</v>
      </c>
      <c r="BL147" t="s">
        <v>150</v>
      </c>
      <c r="BM147" t="s">
        <v>2728</v>
      </c>
      <c r="BN147" t="s">
        <v>74</v>
      </c>
      <c r="BO147" t="s">
        <v>1578</v>
      </c>
      <c r="BP147" t="s">
        <v>74</v>
      </c>
      <c r="BQ147" t="s">
        <v>74</v>
      </c>
      <c r="BR147" t="s">
        <v>104</v>
      </c>
      <c r="BS147" t="s">
        <v>2729</v>
      </c>
      <c r="BT147" t="str">
        <f>HYPERLINK("https%3A%2F%2Fwww.webofscience.com%2Fwos%2Fwoscc%2Ffull-record%2FWOS:001036910300001","View Full Record in Web of Science")</f>
        <v>View Full Record in Web of Science</v>
      </c>
    </row>
    <row r="148" spans="1:72" x14ac:dyDescent="0.25">
      <c r="A148" t="s">
        <v>72</v>
      </c>
      <c r="B148" t="s">
        <v>2730</v>
      </c>
      <c r="C148" t="s">
        <v>74</v>
      </c>
      <c r="D148" t="s">
        <v>74</v>
      </c>
      <c r="E148" t="s">
        <v>74</v>
      </c>
      <c r="F148" t="s">
        <v>2731</v>
      </c>
      <c r="G148" t="s">
        <v>74</v>
      </c>
      <c r="H148" t="s">
        <v>74</v>
      </c>
      <c r="I148" t="s">
        <v>2732</v>
      </c>
      <c r="J148" t="s">
        <v>128</v>
      </c>
      <c r="K148" t="s">
        <v>74</v>
      </c>
      <c r="L148" t="s">
        <v>74</v>
      </c>
      <c r="M148" t="s">
        <v>78</v>
      </c>
      <c r="N148" t="s">
        <v>79</v>
      </c>
      <c r="O148" t="s">
        <v>74</v>
      </c>
      <c r="P148" t="s">
        <v>74</v>
      </c>
      <c r="Q148" t="s">
        <v>74</v>
      </c>
      <c r="R148" t="s">
        <v>74</v>
      </c>
      <c r="S148" t="s">
        <v>74</v>
      </c>
      <c r="T148" t="s">
        <v>2733</v>
      </c>
      <c r="U148" t="s">
        <v>2734</v>
      </c>
      <c r="V148" t="s">
        <v>2735</v>
      </c>
      <c r="W148" t="s">
        <v>2736</v>
      </c>
      <c r="X148" t="s">
        <v>2737</v>
      </c>
      <c r="Y148" t="s">
        <v>2738</v>
      </c>
      <c r="Z148" t="s">
        <v>2739</v>
      </c>
      <c r="AA148" t="s">
        <v>2740</v>
      </c>
      <c r="AB148" t="s">
        <v>2741</v>
      </c>
      <c r="AC148" t="s">
        <v>2742</v>
      </c>
      <c r="AD148" t="s">
        <v>2743</v>
      </c>
      <c r="AE148" t="s">
        <v>2744</v>
      </c>
      <c r="AF148" t="s">
        <v>74</v>
      </c>
      <c r="AG148">
        <v>37</v>
      </c>
      <c r="AH148">
        <v>15</v>
      </c>
      <c r="AI148">
        <v>15</v>
      </c>
      <c r="AJ148">
        <v>5</v>
      </c>
      <c r="AK148">
        <v>33</v>
      </c>
      <c r="AL148" t="s">
        <v>138</v>
      </c>
      <c r="AM148" t="s">
        <v>246</v>
      </c>
      <c r="AN148" t="s">
        <v>247</v>
      </c>
      <c r="AO148" t="s">
        <v>141</v>
      </c>
      <c r="AP148" t="s">
        <v>142</v>
      </c>
      <c r="AQ148" t="s">
        <v>74</v>
      </c>
      <c r="AR148" t="s">
        <v>143</v>
      </c>
      <c r="AS148" t="s">
        <v>144</v>
      </c>
      <c r="AT148" t="s">
        <v>1076</v>
      </c>
      <c r="AU148">
        <v>2021</v>
      </c>
      <c r="AV148">
        <v>214</v>
      </c>
      <c r="AW148" t="s">
        <v>74</v>
      </c>
      <c r="AX148" t="s">
        <v>74</v>
      </c>
      <c r="AY148" t="s">
        <v>74</v>
      </c>
      <c r="AZ148" t="s">
        <v>74</v>
      </c>
      <c r="BA148" t="s">
        <v>74</v>
      </c>
      <c r="BB148" t="s">
        <v>74</v>
      </c>
      <c r="BC148" t="s">
        <v>74</v>
      </c>
      <c r="BD148">
        <v>107729</v>
      </c>
      <c r="BE148" t="s">
        <v>2745</v>
      </c>
      <c r="BF148" t="str">
        <f>HYPERLINK("http://dx.doi.org/10.1016/j.ress.2021.107729","http://dx.doi.org/10.1016/j.ress.2021.107729")</f>
        <v>http://dx.doi.org/10.1016/j.ress.2021.107729</v>
      </c>
      <c r="BG148" t="s">
        <v>74</v>
      </c>
      <c r="BH148" t="s">
        <v>1614</v>
      </c>
      <c r="BI148">
        <v>14</v>
      </c>
      <c r="BJ148" t="s">
        <v>148</v>
      </c>
      <c r="BK148" t="s">
        <v>149</v>
      </c>
      <c r="BL148" t="s">
        <v>150</v>
      </c>
      <c r="BM148" t="s">
        <v>1615</v>
      </c>
      <c r="BN148" t="s">
        <v>74</v>
      </c>
      <c r="BO148" t="s">
        <v>400</v>
      </c>
      <c r="BP148" t="s">
        <v>74</v>
      </c>
      <c r="BQ148" t="s">
        <v>74</v>
      </c>
      <c r="BR148" t="s">
        <v>104</v>
      </c>
      <c r="BS148" t="s">
        <v>2746</v>
      </c>
      <c r="BT148" t="str">
        <f>HYPERLINK("https%3A%2F%2Fwww.webofscience.com%2Fwos%2Fwoscc%2Ffull-record%2FWOS:000663912500022","View Full Record in Web of Science")</f>
        <v>View Full Record in Web of Science</v>
      </c>
    </row>
    <row r="149" spans="1:72" x14ac:dyDescent="0.25">
      <c r="A149" t="s">
        <v>72</v>
      </c>
      <c r="B149" t="s">
        <v>2747</v>
      </c>
      <c r="C149" t="s">
        <v>74</v>
      </c>
      <c r="D149" t="s">
        <v>74</v>
      </c>
      <c r="E149" t="s">
        <v>74</v>
      </c>
      <c r="F149" t="s">
        <v>2748</v>
      </c>
      <c r="G149" t="s">
        <v>74</v>
      </c>
      <c r="H149" t="s">
        <v>74</v>
      </c>
      <c r="I149" t="s">
        <v>2749</v>
      </c>
      <c r="J149" t="s">
        <v>128</v>
      </c>
      <c r="K149" t="s">
        <v>74</v>
      </c>
      <c r="L149" t="s">
        <v>74</v>
      </c>
      <c r="M149" t="s">
        <v>78</v>
      </c>
      <c r="N149" t="s">
        <v>79</v>
      </c>
      <c r="O149" t="s">
        <v>74</v>
      </c>
      <c r="P149" t="s">
        <v>74</v>
      </c>
      <c r="Q149" t="s">
        <v>74</v>
      </c>
      <c r="R149" t="s">
        <v>74</v>
      </c>
      <c r="S149" t="s">
        <v>74</v>
      </c>
      <c r="T149" t="s">
        <v>2750</v>
      </c>
      <c r="U149" t="s">
        <v>74</v>
      </c>
      <c r="V149" t="s">
        <v>2751</v>
      </c>
      <c r="W149" t="s">
        <v>2752</v>
      </c>
      <c r="X149" t="s">
        <v>2753</v>
      </c>
      <c r="Y149" t="s">
        <v>2754</v>
      </c>
      <c r="Z149" t="s">
        <v>2755</v>
      </c>
      <c r="AA149" t="s">
        <v>2756</v>
      </c>
      <c r="AB149" t="s">
        <v>2757</v>
      </c>
      <c r="AC149" t="s">
        <v>2758</v>
      </c>
      <c r="AD149" t="s">
        <v>2759</v>
      </c>
      <c r="AE149" t="s">
        <v>2760</v>
      </c>
      <c r="AF149" t="s">
        <v>74</v>
      </c>
      <c r="AG149">
        <v>37</v>
      </c>
      <c r="AH149">
        <v>40</v>
      </c>
      <c r="AI149">
        <v>43</v>
      </c>
      <c r="AJ149">
        <v>9</v>
      </c>
      <c r="AK149">
        <v>66</v>
      </c>
      <c r="AL149" t="s">
        <v>138</v>
      </c>
      <c r="AM149" t="s">
        <v>246</v>
      </c>
      <c r="AN149" t="s">
        <v>247</v>
      </c>
      <c r="AO149" t="s">
        <v>141</v>
      </c>
      <c r="AP149" t="s">
        <v>142</v>
      </c>
      <c r="AQ149" t="s">
        <v>74</v>
      </c>
      <c r="AR149" t="s">
        <v>143</v>
      </c>
      <c r="AS149" t="s">
        <v>144</v>
      </c>
      <c r="AT149" t="s">
        <v>559</v>
      </c>
      <c r="AU149">
        <v>2021</v>
      </c>
      <c r="AV149">
        <v>210</v>
      </c>
      <c r="AW149" t="s">
        <v>74</v>
      </c>
      <c r="AX149" t="s">
        <v>74</v>
      </c>
      <c r="AY149" t="s">
        <v>74</v>
      </c>
      <c r="AZ149" t="s">
        <v>74</v>
      </c>
      <c r="BA149" t="s">
        <v>74</v>
      </c>
      <c r="BB149" t="s">
        <v>74</v>
      </c>
      <c r="BC149" t="s">
        <v>74</v>
      </c>
      <c r="BD149">
        <v>107550</v>
      </c>
      <c r="BE149" t="s">
        <v>2761</v>
      </c>
      <c r="BF149" t="str">
        <f>HYPERLINK("http://dx.doi.org/10.1016/j.ress.2021.107550","http://dx.doi.org/10.1016/j.ress.2021.107550")</f>
        <v>http://dx.doi.org/10.1016/j.ress.2021.107550</v>
      </c>
      <c r="BG149" t="s">
        <v>74</v>
      </c>
      <c r="BH149" t="s">
        <v>639</v>
      </c>
      <c r="BI149">
        <v>14</v>
      </c>
      <c r="BJ149" t="s">
        <v>148</v>
      </c>
      <c r="BK149" t="s">
        <v>149</v>
      </c>
      <c r="BL149" t="s">
        <v>150</v>
      </c>
      <c r="BM149" t="s">
        <v>640</v>
      </c>
      <c r="BN149" t="s">
        <v>74</v>
      </c>
      <c r="BO149" t="s">
        <v>758</v>
      </c>
      <c r="BP149" t="s">
        <v>74</v>
      </c>
      <c r="BQ149" t="s">
        <v>74</v>
      </c>
      <c r="BR149" t="s">
        <v>104</v>
      </c>
      <c r="BS149" t="s">
        <v>2762</v>
      </c>
      <c r="BT149" t="str">
        <f>HYPERLINK("https%3A%2F%2Fwww.webofscience.com%2Fwos%2Fwoscc%2Ffull-record%2FWOS:000663909400046","View Full Record in Web of Science")</f>
        <v>View Full Record in Web of Science</v>
      </c>
    </row>
    <row r="150" spans="1:72" x14ac:dyDescent="0.25">
      <c r="A150" t="s">
        <v>72</v>
      </c>
      <c r="B150" t="s">
        <v>2763</v>
      </c>
      <c r="C150" t="s">
        <v>74</v>
      </c>
      <c r="D150" t="s">
        <v>74</v>
      </c>
      <c r="E150" t="s">
        <v>74</v>
      </c>
      <c r="F150" t="s">
        <v>2764</v>
      </c>
      <c r="G150" t="s">
        <v>74</v>
      </c>
      <c r="H150" t="s">
        <v>74</v>
      </c>
      <c r="I150" t="s">
        <v>2765</v>
      </c>
      <c r="J150" t="s">
        <v>128</v>
      </c>
      <c r="K150" t="s">
        <v>74</v>
      </c>
      <c r="L150" t="s">
        <v>74</v>
      </c>
      <c r="M150" t="s">
        <v>78</v>
      </c>
      <c r="N150" t="s">
        <v>79</v>
      </c>
      <c r="O150" t="s">
        <v>74</v>
      </c>
      <c r="P150" t="s">
        <v>74</v>
      </c>
      <c r="Q150" t="s">
        <v>74</v>
      </c>
      <c r="R150" t="s">
        <v>74</v>
      </c>
      <c r="S150" t="s">
        <v>74</v>
      </c>
      <c r="T150" t="s">
        <v>2766</v>
      </c>
      <c r="U150" t="s">
        <v>74</v>
      </c>
      <c r="V150" t="s">
        <v>2767</v>
      </c>
      <c r="W150" t="s">
        <v>2768</v>
      </c>
      <c r="X150" t="s">
        <v>2769</v>
      </c>
      <c r="Y150" t="s">
        <v>2770</v>
      </c>
      <c r="Z150" t="s">
        <v>1070</v>
      </c>
      <c r="AA150" t="s">
        <v>2771</v>
      </c>
      <c r="AB150" t="s">
        <v>2772</v>
      </c>
      <c r="AC150" t="s">
        <v>2773</v>
      </c>
      <c r="AD150" t="s">
        <v>2774</v>
      </c>
      <c r="AE150" t="s">
        <v>2775</v>
      </c>
      <c r="AF150" t="s">
        <v>74</v>
      </c>
      <c r="AG150">
        <v>43</v>
      </c>
      <c r="AH150">
        <v>1</v>
      </c>
      <c r="AI150">
        <v>1</v>
      </c>
      <c r="AJ150">
        <v>26</v>
      </c>
      <c r="AK150">
        <v>26</v>
      </c>
      <c r="AL150" t="s">
        <v>138</v>
      </c>
      <c r="AM150" t="s">
        <v>139</v>
      </c>
      <c r="AN150" t="s">
        <v>140</v>
      </c>
      <c r="AO150" t="s">
        <v>141</v>
      </c>
      <c r="AP150" t="s">
        <v>142</v>
      </c>
      <c r="AQ150" t="s">
        <v>74</v>
      </c>
      <c r="AR150" t="s">
        <v>143</v>
      </c>
      <c r="AS150" t="s">
        <v>144</v>
      </c>
      <c r="AT150" t="s">
        <v>1867</v>
      </c>
      <c r="AU150">
        <v>2025</v>
      </c>
      <c r="AV150">
        <v>256</v>
      </c>
      <c r="AW150" t="s">
        <v>74</v>
      </c>
      <c r="AX150" t="s">
        <v>74</v>
      </c>
      <c r="AY150" t="s">
        <v>74</v>
      </c>
      <c r="AZ150" t="s">
        <v>74</v>
      </c>
      <c r="BA150" t="s">
        <v>74</v>
      </c>
      <c r="BB150" t="s">
        <v>74</v>
      </c>
      <c r="BC150" t="s">
        <v>74</v>
      </c>
      <c r="BD150">
        <v>110671</v>
      </c>
      <c r="BE150" t="s">
        <v>2776</v>
      </c>
      <c r="BF150" t="str">
        <f>HYPERLINK("http://dx.doi.org/10.1016/j.ress.2024.110671","http://dx.doi.org/10.1016/j.ress.2024.110671")</f>
        <v>http://dx.doi.org/10.1016/j.ress.2024.110671</v>
      </c>
      <c r="BG150" t="s">
        <v>74</v>
      </c>
      <c r="BH150" t="s">
        <v>1869</v>
      </c>
      <c r="BI150">
        <v>17</v>
      </c>
      <c r="BJ150" t="s">
        <v>148</v>
      </c>
      <c r="BK150" t="s">
        <v>149</v>
      </c>
      <c r="BL150" t="s">
        <v>150</v>
      </c>
      <c r="BM150" t="s">
        <v>2777</v>
      </c>
      <c r="BN150" t="s">
        <v>74</v>
      </c>
      <c r="BO150" t="s">
        <v>74</v>
      </c>
      <c r="BP150" t="s">
        <v>74</v>
      </c>
      <c r="BQ150" t="s">
        <v>74</v>
      </c>
      <c r="BR150" t="s">
        <v>104</v>
      </c>
      <c r="BS150" t="s">
        <v>2778</v>
      </c>
      <c r="BT150" t="str">
        <f>HYPERLINK("https%3A%2F%2Fwww.webofscience.com%2Fwos%2Fwoscc%2Ffull-record%2FWOS:001373787100001","View Full Record in Web of Science")</f>
        <v>View Full Record in Web of Science</v>
      </c>
    </row>
    <row r="151" spans="1:72" x14ac:dyDescent="0.25">
      <c r="A151" t="s">
        <v>72</v>
      </c>
      <c r="B151" t="s">
        <v>2779</v>
      </c>
      <c r="C151" t="s">
        <v>74</v>
      </c>
      <c r="D151" t="s">
        <v>74</v>
      </c>
      <c r="E151" t="s">
        <v>74</v>
      </c>
      <c r="F151" t="s">
        <v>2780</v>
      </c>
      <c r="G151" t="s">
        <v>74</v>
      </c>
      <c r="H151" t="s">
        <v>74</v>
      </c>
      <c r="I151" t="s">
        <v>2781</v>
      </c>
      <c r="J151" t="s">
        <v>2782</v>
      </c>
      <c r="K151" t="s">
        <v>74</v>
      </c>
      <c r="L151" t="s">
        <v>74</v>
      </c>
      <c r="M151" t="s">
        <v>78</v>
      </c>
      <c r="N151" t="s">
        <v>79</v>
      </c>
      <c r="O151" t="s">
        <v>74</v>
      </c>
      <c r="P151" t="s">
        <v>74</v>
      </c>
      <c r="Q151" t="s">
        <v>74</v>
      </c>
      <c r="R151" t="s">
        <v>74</v>
      </c>
      <c r="S151" t="s">
        <v>74</v>
      </c>
      <c r="T151" t="s">
        <v>2783</v>
      </c>
      <c r="U151" t="s">
        <v>2784</v>
      </c>
      <c r="V151" t="s">
        <v>2785</v>
      </c>
      <c r="W151" t="s">
        <v>2786</v>
      </c>
      <c r="X151" t="s">
        <v>2787</v>
      </c>
      <c r="Y151" t="s">
        <v>2788</v>
      </c>
      <c r="Z151" t="s">
        <v>2789</v>
      </c>
      <c r="AA151" t="s">
        <v>2790</v>
      </c>
      <c r="AB151" t="s">
        <v>2791</v>
      </c>
      <c r="AC151" t="s">
        <v>74</v>
      </c>
      <c r="AD151" t="s">
        <v>74</v>
      </c>
      <c r="AE151" t="s">
        <v>74</v>
      </c>
      <c r="AF151" t="s">
        <v>74</v>
      </c>
      <c r="AG151">
        <v>26</v>
      </c>
      <c r="AH151">
        <v>13</v>
      </c>
      <c r="AI151">
        <v>13</v>
      </c>
      <c r="AJ151">
        <v>3</v>
      </c>
      <c r="AK151">
        <v>45</v>
      </c>
      <c r="AL151" t="s">
        <v>311</v>
      </c>
      <c r="AM151" t="s">
        <v>312</v>
      </c>
      <c r="AN151" t="s">
        <v>313</v>
      </c>
      <c r="AO151" t="s">
        <v>2792</v>
      </c>
      <c r="AP151" t="s">
        <v>2793</v>
      </c>
      <c r="AQ151" t="s">
        <v>74</v>
      </c>
      <c r="AR151" t="s">
        <v>2794</v>
      </c>
      <c r="AS151" t="s">
        <v>2795</v>
      </c>
      <c r="AT151" t="s">
        <v>2796</v>
      </c>
      <c r="AU151">
        <v>2019</v>
      </c>
      <c r="AV151">
        <v>33</v>
      </c>
      <c r="AW151">
        <v>3</v>
      </c>
      <c r="AX151" t="s">
        <v>74</v>
      </c>
      <c r="AY151" t="s">
        <v>74</v>
      </c>
      <c r="AZ151" t="s">
        <v>74</v>
      </c>
      <c r="BA151" t="s">
        <v>74</v>
      </c>
      <c r="BB151">
        <v>169</v>
      </c>
      <c r="BC151">
        <v>182</v>
      </c>
      <c r="BD151" t="s">
        <v>74</v>
      </c>
      <c r="BE151" t="s">
        <v>2797</v>
      </c>
      <c r="BF151" t="str">
        <f>HYPERLINK("http://dx.doi.org/10.1080/17480930.2017.1373883","http://dx.doi.org/10.1080/17480930.2017.1373883")</f>
        <v>http://dx.doi.org/10.1080/17480930.2017.1373883</v>
      </c>
      <c r="BG151" t="s">
        <v>74</v>
      </c>
      <c r="BH151" t="s">
        <v>74</v>
      </c>
      <c r="BI151">
        <v>14</v>
      </c>
      <c r="BJ151" t="s">
        <v>2798</v>
      </c>
      <c r="BK151" t="s">
        <v>149</v>
      </c>
      <c r="BL151" t="s">
        <v>2799</v>
      </c>
      <c r="BM151" t="s">
        <v>2800</v>
      </c>
      <c r="BN151" t="s">
        <v>74</v>
      </c>
      <c r="BO151" t="s">
        <v>74</v>
      </c>
      <c r="BP151" t="s">
        <v>74</v>
      </c>
      <c r="BQ151" t="s">
        <v>74</v>
      </c>
      <c r="BR151" t="s">
        <v>104</v>
      </c>
      <c r="BS151" t="s">
        <v>2801</v>
      </c>
      <c r="BT151" t="str">
        <f>HYPERLINK("https%3A%2F%2Fwww.webofscience.com%2Fwos%2Fwoscc%2Ffull-record%2FWOS:000458325600002","View Full Record in Web of Science")</f>
        <v>View Full Record in Web of Science</v>
      </c>
    </row>
    <row r="152" spans="1:72" x14ac:dyDescent="0.25">
      <c r="A152" t="s">
        <v>72</v>
      </c>
      <c r="B152" t="s">
        <v>2802</v>
      </c>
      <c r="C152" t="s">
        <v>74</v>
      </c>
      <c r="D152" t="s">
        <v>74</v>
      </c>
      <c r="E152" t="s">
        <v>74</v>
      </c>
      <c r="F152" t="s">
        <v>2803</v>
      </c>
      <c r="G152" t="s">
        <v>74</v>
      </c>
      <c r="H152" t="s">
        <v>74</v>
      </c>
      <c r="I152" t="s">
        <v>2804</v>
      </c>
      <c r="J152" t="s">
        <v>1402</v>
      </c>
      <c r="K152" t="s">
        <v>74</v>
      </c>
      <c r="L152" t="s">
        <v>74</v>
      </c>
      <c r="M152" t="s">
        <v>78</v>
      </c>
      <c r="N152" t="s">
        <v>79</v>
      </c>
      <c r="O152" t="s">
        <v>74</v>
      </c>
      <c r="P152" t="s">
        <v>74</v>
      </c>
      <c r="Q152" t="s">
        <v>74</v>
      </c>
      <c r="R152" t="s">
        <v>74</v>
      </c>
      <c r="S152" t="s">
        <v>74</v>
      </c>
      <c r="T152" t="s">
        <v>2805</v>
      </c>
      <c r="U152" t="s">
        <v>2806</v>
      </c>
      <c r="V152" t="s">
        <v>2807</v>
      </c>
      <c r="W152" t="s">
        <v>2808</v>
      </c>
      <c r="X152" t="s">
        <v>2809</v>
      </c>
      <c r="Y152" t="s">
        <v>2810</v>
      </c>
      <c r="Z152" t="s">
        <v>2811</v>
      </c>
      <c r="AA152" t="s">
        <v>2812</v>
      </c>
      <c r="AB152" t="s">
        <v>74</v>
      </c>
      <c r="AC152" t="s">
        <v>2813</v>
      </c>
      <c r="AD152" t="s">
        <v>2814</v>
      </c>
      <c r="AE152" t="s">
        <v>2815</v>
      </c>
      <c r="AF152" t="s">
        <v>74</v>
      </c>
      <c r="AG152">
        <v>38</v>
      </c>
      <c r="AH152">
        <v>21</v>
      </c>
      <c r="AI152">
        <v>21</v>
      </c>
      <c r="AJ152">
        <v>7</v>
      </c>
      <c r="AK152">
        <v>55</v>
      </c>
      <c r="AL152" t="s">
        <v>1415</v>
      </c>
      <c r="AM152" t="s">
        <v>1416</v>
      </c>
      <c r="AN152" t="s">
        <v>1417</v>
      </c>
      <c r="AO152" t="s">
        <v>1418</v>
      </c>
      <c r="AP152" t="s">
        <v>1419</v>
      </c>
      <c r="AQ152" t="s">
        <v>74</v>
      </c>
      <c r="AR152" t="s">
        <v>1420</v>
      </c>
      <c r="AS152" t="s">
        <v>1421</v>
      </c>
      <c r="AT152" t="s">
        <v>2816</v>
      </c>
      <c r="AU152">
        <v>2023</v>
      </c>
      <c r="AV152">
        <v>55</v>
      </c>
      <c r="AW152">
        <v>7</v>
      </c>
      <c r="AX152" t="s">
        <v>74</v>
      </c>
      <c r="AY152" t="s">
        <v>74</v>
      </c>
      <c r="AZ152" t="s">
        <v>74</v>
      </c>
      <c r="BA152" t="s">
        <v>74</v>
      </c>
      <c r="BB152">
        <v>687</v>
      </c>
      <c r="BC152">
        <v>697</v>
      </c>
      <c r="BD152" t="s">
        <v>74</v>
      </c>
      <c r="BE152" t="s">
        <v>2817</v>
      </c>
      <c r="BF152" t="str">
        <f>HYPERLINK("http://dx.doi.org/10.1080/24725854.2022.2078523","http://dx.doi.org/10.1080/24725854.2022.2078523")</f>
        <v>http://dx.doi.org/10.1080/24725854.2022.2078523</v>
      </c>
      <c r="BG152" t="s">
        <v>74</v>
      </c>
      <c r="BH152" t="s">
        <v>168</v>
      </c>
      <c r="BI152">
        <v>11</v>
      </c>
      <c r="BJ152" t="s">
        <v>148</v>
      </c>
      <c r="BK152" t="s">
        <v>149</v>
      </c>
      <c r="BL152" t="s">
        <v>150</v>
      </c>
      <c r="BM152" t="s">
        <v>2818</v>
      </c>
      <c r="BN152" t="s">
        <v>74</v>
      </c>
      <c r="BO152" t="s">
        <v>74</v>
      </c>
      <c r="BP152" t="s">
        <v>74</v>
      </c>
      <c r="BQ152" t="s">
        <v>74</v>
      </c>
      <c r="BR152" t="s">
        <v>104</v>
      </c>
      <c r="BS152" t="s">
        <v>2819</v>
      </c>
      <c r="BT152" t="str">
        <f>HYPERLINK("https%3A%2F%2Fwww.webofscience.com%2Fwos%2Fwoscc%2Ffull-record%2FWOS:000821768900001","View Full Record in Web of Science")</f>
        <v>View Full Record in Web of Science</v>
      </c>
    </row>
    <row r="153" spans="1:72" x14ac:dyDescent="0.25">
      <c r="A153" t="s">
        <v>72</v>
      </c>
      <c r="B153" t="s">
        <v>2820</v>
      </c>
      <c r="C153" t="s">
        <v>74</v>
      </c>
      <c r="D153" t="s">
        <v>74</v>
      </c>
      <c r="E153" t="s">
        <v>74</v>
      </c>
      <c r="F153" t="s">
        <v>2821</v>
      </c>
      <c r="G153" t="s">
        <v>74</v>
      </c>
      <c r="H153" t="s">
        <v>74</v>
      </c>
      <c r="I153" t="s">
        <v>2822</v>
      </c>
      <c r="J153" t="s">
        <v>77</v>
      </c>
      <c r="K153" t="s">
        <v>74</v>
      </c>
      <c r="L153" t="s">
        <v>74</v>
      </c>
      <c r="M153" t="s">
        <v>78</v>
      </c>
      <c r="N153" t="s">
        <v>79</v>
      </c>
      <c r="O153" t="s">
        <v>74</v>
      </c>
      <c r="P153" t="s">
        <v>74</v>
      </c>
      <c r="Q153" t="s">
        <v>74</v>
      </c>
      <c r="R153" t="s">
        <v>74</v>
      </c>
      <c r="S153" t="s">
        <v>74</v>
      </c>
      <c r="T153" t="s">
        <v>2823</v>
      </c>
      <c r="U153" t="s">
        <v>2824</v>
      </c>
      <c r="V153" t="s">
        <v>2825</v>
      </c>
      <c r="W153" t="s">
        <v>2826</v>
      </c>
      <c r="X153" t="s">
        <v>572</v>
      </c>
      <c r="Y153" t="s">
        <v>2827</v>
      </c>
      <c r="Z153" t="s">
        <v>2828</v>
      </c>
      <c r="AA153" t="s">
        <v>74</v>
      </c>
      <c r="AB153" t="s">
        <v>2829</v>
      </c>
      <c r="AC153" t="s">
        <v>74</v>
      </c>
      <c r="AD153" t="s">
        <v>74</v>
      </c>
      <c r="AE153" t="s">
        <v>74</v>
      </c>
      <c r="AF153" t="s">
        <v>74</v>
      </c>
      <c r="AG153">
        <v>36</v>
      </c>
      <c r="AH153">
        <v>9</v>
      </c>
      <c r="AI153">
        <v>10</v>
      </c>
      <c r="AJ153">
        <v>1</v>
      </c>
      <c r="AK153">
        <v>16</v>
      </c>
      <c r="AL153" t="s">
        <v>90</v>
      </c>
      <c r="AM153" t="s">
        <v>118</v>
      </c>
      <c r="AN153" t="s">
        <v>119</v>
      </c>
      <c r="AO153" t="s">
        <v>93</v>
      </c>
      <c r="AP153" t="s">
        <v>94</v>
      </c>
      <c r="AQ153" t="s">
        <v>74</v>
      </c>
      <c r="AR153" t="s">
        <v>95</v>
      </c>
      <c r="AS153" t="s">
        <v>96</v>
      </c>
      <c r="AT153" t="s">
        <v>2054</v>
      </c>
      <c r="AU153">
        <v>2022</v>
      </c>
      <c r="AV153">
        <v>28</v>
      </c>
      <c r="AW153">
        <v>3</v>
      </c>
      <c r="AX153" t="s">
        <v>74</v>
      </c>
      <c r="AY153" t="s">
        <v>74</v>
      </c>
      <c r="AZ153" t="s">
        <v>74</v>
      </c>
      <c r="BA153" t="s">
        <v>74</v>
      </c>
      <c r="BB153">
        <v>653</v>
      </c>
      <c r="BC153">
        <v>667</v>
      </c>
      <c r="BD153" t="s">
        <v>74</v>
      </c>
      <c r="BE153" t="s">
        <v>2830</v>
      </c>
      <c r="BF153" t="str">
        <f>HYPERLINK("http://dx.doi.org/10.1108/JQME-03-2020-0015","http://dx.doi.org/10.1108/JQME-03-2020-0015")</f>
        <v>http://dx.doi.org/10.1108/JQME-03-2020-0015</v>
      </c>
      <c r="BG153" t="s">
        <v>74</v>
      </c>
      <c r="BH153" t="s">
        <v>1059</v>
      </c>
      <c r="BI153">
        <v>15</v>
      </c>
      <c r="BJ153" t="s">
        <v>100</v>
      </c>
      <c r="BK153" t="s">
        <v>101</v>
      </c>
      <c r="BL153" t="s">
        <v>102</v>
      </c>
      <c r="BM153" t="s">
        <v>2056</v>
      </c>
      <c r="BN153" t="s">
        <v>74</v>
      </c>
      <c r="BO153" t="s">
        <v>74</v>
      </c>
      <c r="BP153" t="s">
        <v>74</v>
      </c>
      <c r="BQ153" t="s">
        <v>74</v>
      </c>
      <c r="BR153" t="s">
        <v>104</v>
      </c>
      <c r="BS153" t="s">
        <v>2831</v>
      </c>
      <c r="BT153" t="str">
        <f>HYPERLINK("https%3A%2F%2Fwww.webofscience.com%2Fwos%2Fwoscc%2Ffull-record%2FWOS:000670007200001","View Full Record in Web of Science")</f>
        <v>View Full Record in Web of Science</v>
      </c>
    </row>
    <row r="154" spans="1:72" x14ac:dyDescent="0.25">
      <c r="A154" t="s">
        <v>72</v>
      </c>
      <c r="B154" t="s">
        <v>2832</v>
      </c>
      <c r="C154" t="s">
        <v>74</v>
      </c>
      <c r="D154" t="s">
        <v>74</v>
      </c>
      <c r="E154" t="s">
        <v>74</v>
      </c>
      <c r="F154" t="s">
        <v>2833</v>
      </c>
      <c r="G154" t="s">
        <v>74</v>
      </c>
      <c r="H154" t="s">
        <v>74</v>
      </c>
      <c r="I154" t="s">
        <v>2834</v>
      </c>
      <c r="J154" t="s">
        <v>1248</v>
      </c>
      <c r="K154" t="s">
        <v>74</v>
      </c>
      <c r="L154" t="s">
        <v>74</v>
      </c>
      <c r="M154" t="s">
        <v>78</v>
      </c>
      <c r="N154" t="s">
        <v>79</v>
      </c>
      <c r="O154" t="s">
        <v>74</v>
      </c>
      <c r="P154" t="s">
        <v>74</v>
      </c>
      <c r="Q154" t="s">
        <v>74</v>
      </c>
      <c r="R154" t="s">
        <v>74</v>
      </c>
      <c r="S154" t="s">
        <v>74</v>
      </c>
      <c r="T154" t="s">
        <v>2835</v>
      </c>
      <c r="U154" t="s">
        <v>2836</v>
      </c>
      <c r="V154" t="s">
        <v>2837</v>
      </c>
      <c r="W154" t="s">
        <v>2838</v>
      </c>
      <c r="X154" t="s">
        <v>2839</v>
      </c>
      <c r="Y154" t="s">
        <v>2840</v>
      </c>
      <c r="Z154" t="s">
        <v>2841</v>
      </c>
      <c r="AA154" t="s">
        <v>74</v>
      </c>
      <c r="AB154" t="s">
        <v>74</v>
      </c>
      <c r="AC154" t="s">
        <v>2842</v>
      </c>
      <c r="AD154" t="s">
        <v>2843</v>
      </c>
      <c r="AE154" t="s">
        <v>2844</v>
      </c>
      <c r="AF154" t="s">
        <v>74</v>
      </c>
      <c r="AG154">
        <v>34</v>
      </c>
      <c r="AH154">
        <v>5</v>
      </c>
      <c r="AI154">
        <v>5</v>
      </c>
      <c r="AJ154">
        <v>2</v>
      </c>
      <c r="AK154">
        <v>14</v>
      </c>
      <c r="AL154" t="s">
        <v>1260</v>
      </c>
      <c r="AM154" t="s">
        <v>553</v>
      </c>
      <c r="AN154" t="s">
        <v>1261</v>
      </c>
      <c r="AO154" t="s">
        <v>1262</v>
      </c>
      <c r="AP154" t="s">
        <v>1263</v>
      </c>
      <c r="AQ154" t="s">
        <v>74</v>
      </c>
      <c r="AR154" t="s">
        <v>1264</v>
      </c>
      <c r="AS154" t="s">
        <v>1265</v>
      </c>
      <c r="AT154" t="s">
        <v>533</v>
      </c>
      <c r="AU154">
        <v>2023</v>
      </c>
      <c r="AV154">
        <v>35</v>
      </c>
      <c r="AW154">
        <v>4</v>
      </c>
      <c r="AX154" t="s">
        <v>74</v>
      </c>
      <c r="AY154" t="s">
        <v>74</v>
      </c>
      <c r="AZ154" t="s">
        <v>560</v>
      </c>
      <c r="BA154" t="s">
        <v>74</v>
      </c>
      <c r="BB154">
        <v>3025</v>
      </c>
      <c r="BC154">
        <v>3039</v>
      </c>
      <c r="BD154" t="s">
        <v>74</v>
      </c>
      <c r="BE154" t="s">
        <v>2845</v>
      </c>
      <c r="BF154" t="str">
        <f>HYPERLINK("http://dx.doi.org/10.1007/s00521-022-07216-2","http://dx.doi.org/10.1007/s00521-022-07216-2")</f>
        <v>http://dx.doi.org/10.1007/s00521-022-07216-2</v>
      </c>
      <c r="BG154" t="s">
        <v>74</v>
      </c>
      <c r="BH154" t="s">
        <v>581</v>
      </c>
      <c r="BI154">
        <v>15</v>
      </c>
      <c r="BJ154" t="s">
        <v>1267</v>
      </c>
      <c r="BK154" t="s">
        <v>149</v>
      </c>
      <c r="BL154" t="s">
        <v>1228</v>
      </c>
      <c r="BM154" t="s">
        <v>2846</v>
      </c>
      <c r="BN154" t="s">
        <v>74</v>
      </c>
      <c r="BO154" t="s">
        <v>74</v>
      </c>
      <c r="BP154" t="s">
        <v>74</v>
      </c>
      <c r="BQ154" t="s">
        <v>74</v>
      </c>
      <c r="BR154" t="s">
        <v>104</v>
      </c>
      <c r="BS154" t="s">
        <v>2847</v>
      </c>
      <c r="BT154" t="str">
        <f>HYPERLINK("https%3A%2F%2Fwww.webofscience.com%2Fwos%2Fwoscc%2Ffull-record%2FWOS:000789750600004","View Full Record in Web of Science")</f>
        <v>View Full Record in Web of Science</v>
      </c>
    </row>
    <row r="155" spans="1:72" x14ac:dyDescent="0.25">
      <c r="A155" t="s">
        <v>72</v>
      </c>
      <c r="B155" t="s">
        <v>2848</v>
      </c>
      <c r="C155" t="s">
        <v>74</v>
      </c>
      <c r="D155" t="s">
        <v>74</v>
      </c>
      <c r="E155" t="s">
        <v>74</v>
      </c>
      <c r="F155" t="s">
        <v>2849</v>
      </c>
      <c r="G155" t="s">
        <v>74</v>
      </c>
      <c r="H155" t="s">
        <v>74</v>
      </c>
      <c r="I155" t="s">
        <v>2850</v>
      </c>
      <c r="J155" t="s">
        <v>542</v>
      </c>
      <c r="K155" t="s">
        <v>74</v>
      </c>
      <c r="L155" t="s">
        <v>74</v>
      </c>
      <c r="M155" t="s">
        <v>78</v>
      </c>
      <c r="N155" t="s">
        <v>1083</v>
      </c>
      <c r="O155" t="s">
        <v>74</v>
      </c>
      <c r="P155" t="s">
        <v>74</v>
      </c>
      <c r="Q155" t="s">
        <v>74</v>
      </c>
      <c r="R155" t="s">
        <v>74</v>
      </c>
      <c r="S155" t="s">
        <v>74</v>
      </c>
      <c r="T155" t="s">
        <v>2851</v>
      </c>
      <c r="U155" t="s">
        <v>2852</v>
      </c>
      <c r="V155" t="s">
        <v>2853</v>
      </c>
      <c r="W155" t="s">
        <v>2854</v>
      </c>
      <c r="X155" t="s">
        <v>2855</v>
      </c>
      <c r="Y155" t="s">
        <v>2856</v>
      </c>
      <c r="Z155" t="s">
        <v>2857</v>
      </c>
      <c r="AA155" t="s">
        <v>2858</v>
      </c>
      <c r="AB155" t="s">
        <v>2859</v>
      </c>
      <c r="AC155" t="s">
        <v>74</v>
      </c>
      <c r="AD155" t="s">
        <v>74</v>
      </c>
      <c r="AE155" t="s">
        <v>74</v>
      </c>
      <c r="AF155" t="s">
        <v>74</v>
      </c>
      <c r="AG155">
        <v>27</v>
      </c>
      <c r="AH155">
        <v>1</v>
      </c>
      <c r="AI155">
        <v>1</v>
      </c>
      <c r="AJ155">
        <v>3</v>
      </c>
      <c r="AK155">
        <v>4</v>
      </c>
      <c r="AL155" t="s">
        <v>552</v>
      </c>
      <c r="AM155" t="s">
        <v>553</v>
      </c>
      <c r="AN155" t="s">
        <v>554</v>
      </c>
      <c r="AO155" t="s">
        <v>555</v>
      </c>
      <c r="AP155" t="s">
        <v>556</v>
      </c>
      <c r="AQ155" t="s">
        <v>74</v>
      </c>
      <c r="AR155" t="s">
        <v>557</v>
      </c>
      <c r="AS155" t="s">
        <v>558</v>
      </c>
      <c r="AT155" t="s">
        <v>2860</v>
      </c>
      <c r="AU155">
        <v>2024</v>
      </c>
      <c r="AV155" t="s">
        <v>74</v>
      </c>
      <c r="AW155" t="s">
        <v>74</v>
      </c>
      <c r="AX155" t="s">
        <v>74</v>
      </c>
      <c r="AY155" t="s">
        <v>74</v>
      </c>
      <c r="AZ155" t="s">
        <v>74</v>
      </c>
      <c r="BA155" t="s">
        <v>74</v>
      </c>
      <c r="BB155" t="s">
        <v>74</v>
      </c>
      <c r="BC155" t="s">
        <v>74</v>
      </c>
      <c r="BD155" t="s">
        <v>74</v>
      </c>
      <c r="BE155" t="s">
        <v>2861</v>
      </c>
      <c r="BF155" t="str">
        <f>HYPERLINK("http://dx.doi.org/10.1177/1748006X241229518","http://dx.doi.org/10.1177/1748006X241229518")</f>
        <v>http://dx.doi.org/10.1177/1748006X241229518</v>
      </c>
      <c r="BG155" t="s">
        <v>74</v>
      </c>
      <c r="BH155" t="s">
        <v>2862</v>
      </c>
      <c r="BI155">
        <v>19</v>
      </c>
      <c r="BJ155" t="s">
        <v>494</v>
      </c>
      <c r="BK155" t="s">
        <v>149</v>
      </c>
      <c r="BL155" t="s">
        <v>150</v>
      </c>
      <c r="BM155" t="s">
        <v>2863</v>
      </c>
      <c r="BN155" t="s">
        <v>74</v>
      </c>
      <c r="BO155" t="s">
        <v>74</v>
      </c>
      <c r="BP155" t="s">
        <v>74</v>
      </c>
      <c r="BQ155" t="s">
        <v>74</v>
      </c>
      <c r="BR155" t="s">
        <v>104</v>
      </c>
      <c r="BS155" t="s">
        <v>2864</v>
      </c>
      <c r="BT155" t="str">
        <f>HYPERLINK("https%3A%2F%2Fwww.webofscience.com%2Fwos%2Fwoscc%2Ffull-record%2FWOS:001165383300001","View Full Record in Web of Science")</f>
        <v>View Full Record in Web of Science</v>
      </c>
    </row>
    <row r="156" spans="1:72" x14ac:dyDescent="0.25">
      <c r="A156" t="s">
        <v>72</v>
      </c>
      <c r="B156" t="s">
        <v>2865</v>
      </c>
      <c r="C156" t="s">
        <v>74</v>
      </c>
      <c r="D156" t="s">
        <v>74</v>
      </c>
      <c r="E156" t="s">
        <v>74</v>
      </c>
      <c r="F156" t="s">
        <v>2866</v>
      </c>
      <c r="G156" t="s">
        <v>74</v>
      </c>
      <c r="H156" t="s">
        <v>74</v>
      </c>
      <c r="I156" t="s">
        <v>2867</v>
      </c>
      <c r="J156" t="s">
        <v>2868</v>
      </c>
      <c r="K156" t="s">
        <v>74</v>
      </c>
      <c r="L156" t="s">
        <v>74</v>
      </c>
      <c r="M156" t="s">
        <v>78</v>
      </c>
      <c r="N156" t="s">
        <v>79</v>
      </c>
      <c r="O156" t="s">
        <v>74</v>
      </c>
      <c r="P156" t="s">
        <v>74</v>
      </c>
      <c r="Q156" t="s">
        <v>74</v>
      </c>
      <c r="R156" t="s">
        <v>74</v>
      </c>
      <c r="S156" t="s">
        <v>74</v>
      </c>
      <c r="T156" t="s">
        <v>2869</v>
      </c>
      <c r="U156" t="s">
        <v>2870</v>
      </c>
      <c r="V156" t="s">
        <v>2871</v>
      </c>
      <c r="W156" t="s">
        <v>2872</v>
      </c>
      <c r="X156" t="s">
        <v>2873</v>
      </c>
      <c r="Y156" t="s">
        <v>2874</v>
      </c>
      <c r="Z156" t="s">
        <v>2875</v>
      </c>
      <c r="AA156" t="s">
        <v>2876</v>
      </c>
      <c r="AB156" t="s">
        <v>74</v>
      </c>
      <c r="AC156" t="s">
        <v>2877</v>
      </c>
      <c r="AD156" t="s">
        <v>2878</v>
      </c>
      <c r="AE156" t="s">
        <v>2879</v>
      </c>
      <c r="AF156" t="s">
        <v>74</v>
      </c>
      <c r="AG156">
        <v>28</v>
      </c>
      <c r="AH156">
        <v>1</v>
      </c>
      <c r="AI156">
        <v>1</v>
      </c>
      <c r="AJ156">
        <v>2</v>
      </c>
      <c r="AK156">
        <v>4</v>
      </c>
      <c r="AL156" t="s">
        <v>2880</v>
      </c>
      <c r="AM156" t="s">
        <v>2881</v>
      </c>
      <c r="AN156" t="s">
        <v>2882</v>
      </c>
      <c r="AO156" t="s">
        <v>2883</v>
      </c>
      <c r="AP156" t="s">
        <v>2884</v>
      </c>
      <c r="AQ156" t="s">
        <v>74</v>
      </c>
      <c r="AR156" t="s">
        <v>2885</v>
      </c>
      <c r="AS156" t="s">
        <v>2886</v>
      </c>
      <c r="AT156" t="s">
        <v>275</v>
      </c>
      <c r="AU156">
        <v>2024</v>
      </c>
      <c r="AV156">
        <v>11</v>
      </c>
      <c r="AW156">
        <v>1</v>
      </c>
      <c r="AX156" t="s">
        <v>74</v>
      </c>
      <c r="AY156" t="s">
        <v>74</v>
      </c>
      <c r="AZ156" t="s">
        <v>74</v>
      </c>
      <c r="BA156" t="s">
        <v>74</v>
      </c>
      <c r="BB156">
        <v>16</v>
      </c>
      <c r="BC156">
        <v>31</v>
      </c>
      <c r="BD156" t="s">
        <v>74</v>
      </c>
      <c r="BE156" t="s">
        <v>2887</v>
      </c>
      <c r="BF156" t="str">
        <f>HYPERLINK("http://dx.doi.org/10.1007/s42524-023-0282-0","http://dx.doi.org/10.1007/s42524-023-0282-0")</f>
        <v>http://dx.doi.org/10.1007/s42524-023-0282-0</v>
      </c>
      <c r="BG156" t="s">
        <v>74</v>
      </c>
      <c r="BH156" t="s">
        <v>449</v>
      </c>
      <c r="BI156">
        <v>16</v>
      </c>
      <c r="BJ156" t="s">
        <v>100</v>
      </c>
      <c r="BK156" t="s">
        <v>101</v>
      </c>
      <c r="BL156" t="s">
        <v>102</v>
      </c>
      <c r="BM156" t="s">
        <v>2888</v>
      </c>
      <c r="BN156" t="s">
        <v>74</v>
      </c>
      <c r="BO156" t="s">
        <v>74</v>
      </c>
      <c r="BP156" t="s">
        <v>74</v>
      </c>
      <c r="BQ156" t="s">
        <v>74</v>
      </c>
      <c r="BR156" t="s">
        <v>104</v>
      </c>
      <c r="BS156" t="s">
        <v>2889</v>
      </c>
      <c r="BT156" t="str">
        <f>HYPERLINK("https%3A%2F%2Fwww.webofscience.com%2Fwos%2Fwoscc%2Ffull-record%2FWOS:001132118900002","View Full Record in Web of Science")</f>
        <v>View Full Record in Web of Science</v>
      </c>
    </row>
    <row r="157" spans="1:72" x14ac:dyDescent="0.25">
      <c r="A157" t="s">
        <v>72</v>
      </c>
      <c r="B157" t="s">
        <v>2890</v>
      </c>
      <c r="C157" t="s">
        <v>74</v>
      </c>
      <c r="D157" t="s">
        <v>74</v>
      </c>
      <c r="E157" t="s">
        <v>74</v>
      </c>
      <c r="F157" t="s">
        <v>2891</v>
      </c>
      <c r="G157" t="s">
        <v>74</v>
      </c>
      <c r="H157" t="s">
        <v>74</v>
      </c>
      <c r="I157" t="s">
        <v>2892</v>
      </c>
      <c r="J157" t="s">
        <v>2893</v>
      </c>
      <c r="K157" t="s">
        <v>74</v>
      </c>
      <c r="L157" t="s">
        <v>74</v>
      </c>
      <c r="M157" t="s">
        <v>78</v>
      </c>
      <c r="N157" t="s">
        <v>79</v>
      </c>
      <c r="O157" t="s">
        <v>74</v>
      </c>
      <c r="P157" t="s">
        <v>74</v>
      </c>
      <c r="Q157" t="s">
        <v>74</v>
      </c>
      <c r="R157" t="s">
        <v>74</v>
      </c>
      <c r="S157" t="s">
        <v>74</v>
      </c>
      <c r="T157" t="s">
        <v>2894</v>
      </c>
      <c r="U157" t="s">
        <v>2895</v>
      </c>
      <c r="V157" t="s">
        <v>2896</v>
      </c>
      <c r="W157" t="s">
        <v>2897</v>
      </c>
      <c r="X157" t="s">
        <v>2898</v>
      </c>
      <c r="Y157" t="s">
        <v>2899</v>
      </c>
      <c r="Z157" t="s">
        <v>2900</v>
      </c>
      <c r="AA157" t="s">
        <v>2901</v>
      </c>
      <c r="AB157" t="s">
        <v>2902</v>
      </c>
      <c r="AC157" t="s">
        <v>74</v>
      </c>
      <c r="AD157" t="s">
        <v>74</v>
      </c>
      <c r="AE157" t="s">
        <v>74</v>
      </c>
      <c r="AF157" t="s">
        <v>74</v>
      </c>
      <c r="AG157">
        <v>22</v>
      </c>
      <c r="AH157">
        <v>9</v>
      </c>
      <c r="AI157">
        <v>9</v>
      </c>
      <c r="AJ157">
        <v>3</v>
      </c>
      <c r="AK157">
        <v>35</v>
      </c>
      <c r="AL157" t="s">
        <v>2903</v>
      </c>
      <c r="AM157" t="s">
        <v>2904</v>
      </c>
      <c r="AN157" t="s">
        <v>2905</v>
      </c>
      <c r="AO157" t="s">
        <v>2906</v>
      </c>
      <c r="AP157" t="s">
        <v>2907</v>
      </c>
      <c r="AQ157" t="s">
        <v>74</v>
      </c>
      <c r="AR157" t="s">
        <v>2908</v>
      </c>
      <c r="AS157" t="s">
        <v>2909</v>
      </c>
      <c r="AT157" t="s">
        <v>2910</v>
      </c>
      <c r="AU157">
        <v>2022</v>
      </c>
      <c r="AV157">
        <v>13</v>
      </c>
      <c r="AW157">
        <v>1</v>
      </c>
      <c r="AX157" t="s">
        <v>74</v>
      </c>
      <c r="AY157" t="s">
        <v>74</v>
      </c>
      <c r="AZ157" t="s">
        <v>74</v>
      </c>
      <c r="BA157" t="s">
        <v>74</v>
      </c>
      <c r="BB157">
        <v>119</v>
      </c>
      <c r="BC157">
        <v>134</v>
      </c>
      <c r="BD157" t="s">
        <v>74</v>
      </c>
      <c r="BE157" t="s">
        <v>2911</v>
      </c>
      <c r="BF157" t="str">
        <f>HYPERLINK("http://dx.doi.org/10.5267/j.ijiec.2021.7.001","http://dx.doi.org/10.5267/j.ijiec.2021.7.001")</f>
        <v>http://dx.doi.org/10.5267/j.ijiec.2021.7.001</v>
      </c>
      <c r="BG157" t="s">
        <v>74</v>
      </c>
      <c r="BH157" t="s">
        <v>74</v>
      </c>
      <c r="BI157">
        <v>16</v>
      </c>
      <c r="BJ157" t="s">
        <v>148</v>
      </c>
      <c r="BK157" t="s">
        <v>149</v>
      </c>
      <c r="BL157" t="s">
        <v>150</v>
      </c>
      <c r="BM157" t="s">
        <v>2912</v>
      </c>
      <c r="BN157" t="s">
        <v>74</v>
      </c>
      <c r="BO157" t="s">
        <v>208</v>
      </c>
      <c r="BP157" t="s">
        <v>74</v>
      </c>
      <c r="BQ157" t="s">
        <v>74</v>
      </c>
      <c r="BR157" t="s">
        <v>104</v>
      </c>
      <c r="BS157" t="s">
        <v>2913</v>
      </c>
      <c r="BT157" t="str">
        <f>HYPERLINK("https%3A%2F%2Fwww.webofscience.com%2Fwos%2Fwoscc%2Ffull-record%2FWOS:000719401500009","View Full Record in Web of Science")</f>
        <v>View Full Record in Web of Science</v>
      </c>
    </row>
    <row r="158" spans="1:72" x14ac:dyDescent="0.25">
      <c r="A158" t="s">
        <v>72</v>
      </c>
      <c r="B158" t="s">
        <v>2914</v>
      </c>
      <c r="C158" t="s">
        <v>74</v>
      </c>
      <c r="D158" t="s">
        <v>74</v>
      </c>
      <c r="E158" t="s">
        <v>74</v>
      </c>
      <c r="F158" t="s">
        <v>2915</v>
      </c>
      <c r="G158" t="s">
        <v>74</v>
      </c>
      <c r="H158" t="s">
        <v>74</v>
      </c>
      <c r="I158" t="s">
        <v>2916</v>
      </c>
      <c r="J158" t="s">
        <v>603</v>
      </c>
      <c r="K158" t="s">
        <v>74</v>
      </c>
      <c r="L158" t="s">
        <v>74</v>
      </c>
      <c r="M158" t="s">
        <v>78</v>
      </c>
      <c r="N158" t="s">
        <v>79</v>
      </c>
      <c r="O158" t="s">
        <v>74</v>
      </c>
      <c r="P158" t="s">
        <v>74</v>
      </c>
      <c r="Q158" t="s">
        <v>74</v>
      </c>
      <c r="R158" t="s">
        <v>74</v>
      </c>
      <c r="S158" t="s">
        <v>74</v>
      </c>
      <c r="T158" t="s">
        <v>2917</v>
      </c>
      <c r="U158" t="s">
        <v>2918</v>
      </c>
      <c r="V158" t="s">
        <v>2919</v>
      </c>
      <c r="W158" t="s">
        <v>2920</v>
      </c>
      <c r="X158" t="s">
        <v>2921</v>
      </c>
      <c r="Y158" t="s">
        <v>2922</v>
      </c>
      <c r="Z158" t="s">
        <v>2923</v>
      </c>
      <c r="AA158" t="s">
        <v>74</v>
      </c>
      <c r="AB158" t="s">
        <v>74</v>
      </c>
      <c r="AC158" t="s">
        <v>74</v>
      </c>
      <c r="AD158" t="s">
        <v>74</v>
      </c>
      <c r="AE158" t="s">
        <v>74</v>
      </c>
      <c r="AF158" t="s">
        <v>74</v>
      </c>
      <c r="AG158">
        <v>18</v>
      </c>
      <c r="AH158">
        <v>0</v>
      </c>
      <c r="AI158">
        <v>0</v>
      </c>
      <c r="AJ158">
        <v>0</v>
      </c>
      <c r="AK158">
        <v>3</v>
      </c>
      <c r="AL158" t="s">
        <v>613</v>
      </c>
      <c r="AM158" t="s">
        <v>614</v>
      </c>
      <c r="AN158" t="s">
        <v>615</v>
      </c>
      <c r="AO158" t="s">
        <v>616</v>
      </c>
      <c r="AP158" t="s">
        <v>617</v>
      </c>
      <c r="AQ158" t="s">
        <v>74</v>
      </c>
      <c r="AR158" t="s">
        <v>618</v>
      </c>
      <c r="AS158" t="s">
        <v>619</v>
      </c>
      <c r="AT158" t="s">
        <v>559</v>
      </c>
      <c r="AU158">
        <v>2023</v>
      </c>
      <c r="AV158">
        <v>22</v>
      </c>
      <c r="AW158">
        <v>2</v>
      </c>
      <c r="AX158" t="s">
        <v>74</v>
      </c>
      <c r="AY158" t="s">
        <v>74</v>
      </c>
      <c r="AZ158" t="s">
        <v>74</v>
      </c>
      <c r="BA158" t="s">
        <v>74</v>
      </c>
      <c r="BB158">
        <v>165</v>
      </c>
      <c r="BC158">
        <v>172</v>
      </c>
      <c r="BD158" t="s">
        <v>74</v>
      </c>
      <c r="BE158" t="s">
        <v>2924</v>
      </c>
      <c r="BF158" t="str">
        <f>HYPERLINK("http://dx.doi.org/10.7232/iems.2023.22.2.165","http://dx.doi.org/10.7232/iems.2023.22.2.165")</f>
        <v>http://dx.doi.org/10.7232/iems.2023.22.2.165</v>
      </c>
      <c r="BG158" t="s">
        <v>74</v>
      </c>
      <c r="BH158" t="s">
        <v>74</v>
      </c>
      <c r="BI158">
        <v>8</v>
      </c>
      <c r="BJ158" t="s">
        <v>100</v>
      </c>
      <c r="BK158" t="s">
        <v>101</v>
      </c>
      <c r="BL158" t="s">
        <v>102</v>
      </c>
      <c r="BM158" t="s">
        <v>2925</v>
      </c>
      <c r="BN158" t="s">
        <v>74</v>
      </c>
      <c r="BO158" t="s">
        <v>74</v>
      </c>
      <c r="BP158" t="s">
        <v>74</v>
      </c>
      <c r="BQ158" t="s">
        <v>74</v>
      </c>
      <c r="BR158" t="s">
        <v>104</v>
      </c>
      <c r="BS158" t="s">
        <v>2926</v>
      </c>
      <c r="BT158" t="str">
        <f>HYPERLINK("https%3A%2F%2Fwww.webofscience.com%2Fwos%2Fwoscc%2Ffull-record%2FWOS:001045331500007","View Full Record in Web of Science")</f>
        <v>View Full Record in Web of Science</v>
      </c>
    </row>
    <row r="159" spans="1:72" x14ac:dyDescent="0.25">
      <c r="A159" t="s">
        <v>72</v>
      </c>
      <c r="B159" t="s">
        <v>2927</v>
      </c>
      <c r="C159" t="s">
        <v>74</v>
      </c>
      <c r="D159" t="s">
        <v>74</v>
      </c>
      <c r="E159" t="s">
        <v>74</v>
      </c>
      <c r="F159" t="s">
        <v>2928</v>
      </c>
      <c r="G159" t="s">
        <v>74</v>
      </c>
      <c r="H159" t="s">
        <v>74</v>
      </c>
      <c r="I159" t="s">
        <v>2929</v>
      </c>
      <c r="J159" t="s">
        <v>697</v>
      </c>
      <c r="K159" t="s">
        <v>74</v>
      </c>
      <c r="L159" t="s">
        <v>74</v>
      </c>
      <c r="M159" t="s">
        <v>78</v>
      </c>
      <c r="N159" t="s">
        <v>79</v>
      </c>
      <c r="O159" t="s">
        <v>74</v>
      </c>
      <c r="P159" t="s">
        <v>74</v>
      </c>
      <c r="Q159" t="s">
        <v>74</v>
      </c>
      <c r="R159" t="s">
        <v>74</v>
      </c>
      <c r="S159" t="s">
        <v>74</v>
      </c>
      <c r="T159" t="s">
        <v>2930</v>
      </c>
      <c r="U159" t="s">
        <v>2931</v>
      </c>
      <c r="V159" t="s">
        <v>2932</v>
      </c>
      <c r="W159" t="s">
        <v>2933</v>
      </c>
      <c r="X159" t="s">
        <v>2934</v>
      </c>
      <c r="Y159" t="s">
        <v>2935</v>
      </c>
      <c r="Z159" t="s">
        <v>2083</v>
      </c>
      <c r="AA159" t="s">
        <v>2936</v>
      </c>
      <c r="AB159" t="s">
        <v>74</v>
      </c>
      <c r="AC159" t="s">
        <v>2937</v>
      </c>
      <c r="AD159" t="s">
        <v>2774</v>
      </c>
      <c r="AE159" t="s">
        <v>2938</v>
      </c>
      <c r="AF159" t="s">
        <v>74</v>
      </c>
      <c r="AG159">
        <v>39</v>
      </c>
      <c r="AH159">
        <v>19</v>
      </c>
      <c r="AI159">
        <v>19</v>
      </c>
      <c r="AJ159">
        <v>9</v>
      </c>
      <c r="AK159">
        <v>38</v>
      </c>
      <c r="AL159" t="s">
        <v>707</v>
      </c>
      <c r="AM159" t="s">
        <v>246</v>
      </c>
      <c r="AN159" t="s">
        <v>708</v>
      </c>
      <c r="AO159" t="s">
        <v>709</v>
      </c>
      <c r="AP159" t="s">
        <v>710</v>
      </c>
      <c r="AQ159" t="s">
        <v>74</v>
      </c>
      <c r="AR159" t="s">
        <v>711</v>
      </c>
      <c r="AS159" t="s">
        <v>712</v>
      </c>
      <c r="AT159" t="s">
        <v>248</v>
      </c>
      <c r="AU159">
        <v>2022</v>
      </c>
      <c r="AV159">
        <v>169</v>
      </c>
      <c r="AW159" t="s">
        <v>74</v>
      </c>
      <c r="AX159" t="s">
        <v>74</v>
      </c>
      <c r="AY159" t="s">
        <v>74</v>
      </c>
      <c r="AZ159" t="s">
        <v>74</v>
      </c>
      <c r="BA159" t="s">
        <v>74</v>
      </c>
      <c r="BB159" t="s">
        <v>74</v>
      </c>
      <c r="BC159" t="s">
        <v>74</v>
      </c>
      <c r="BD159">
        <v>108193</v>
      </c>
      <c r="BE159" t="s">
        <v>2939</v>
      </c>
      <c r="BF159" t="str">
        <f>HYPERLINK("http://dx.doi.org/10.1016/j.cie.2022.108193","http://dx.doi.org/10.1016/j.cie.2022.108193")</f>
        <v>http://dx.doi.org/10.1016/j.cie.2022.108193</v>
      </c>
      <c r="BG159" t="s">
        <v>74</v>
      </c>
      <c r="BH159" t="s">
        <v>581</v>
      </c>
      <c r="BI159">
        <v>11</v>
      </c>
      <c r="BJ159" t="s">
        <v>715</v>
      </c>
      <c r="BK159" t="s">
        <v>149</v>
      </c>
      <c r="BL159" t="s">
        <v>716</v>
      </c>
      <c r="BM159" t="s">
        <v>2940</v>
      </c>
      <c r="BN159" t="s">
        <v>74</v>
      </c>
      <c r="BO159" t="s">
        <v>74</v>
      </c>
      <c r="BP159" t="s">
        <v>74</v>
      </c>
      <c r="BQ159" t="s">
        <v>74</v>
      </c>
      <c r="BR159" t="s">
        <v>104</v>
      </c>
      <c r="BS159" t="s">
        <v>2941</v>
      </c>
      <c r="BT159" t="str">
        <f>HYPERLINK("https%3A%2F%2Fwww.webofscience.com%2Fwos%2Fwoscc%2Ffull-record%2FWOS:000804773500007","View Full Record in Web of Science")</f>
        <v>View Full Record in Web of Science</v>
      </c>
    </row>
    <row r="160" spans="1:72" x14ac:dyDescent="0.25">
      <c r="A160" t="s">
        <v>72</v>
      </c>
      <c r="B160" t="s">
        <v>2942</v>
      </c>
      <c r="C160" t="s">
        <v>74</v>
      </c>
      <c r="D160" t="s">
        <v>74</v>
      </c>
      <c r="E160" t="s">
        <v>74</v>
      </c>
      <c r="F160" t="s">
        <v>2943</v>
      </c>
      <c r="G160" t="s">
        <v>74</v>
      </c>
      <c r="H160" t="s">
        <v>74</v>
      </c>
      <c r="I160" t="s">
        <v>2944</v>
      </c>
      <c r="J160" t="s">
        <v>2945</v>
      </c>
      <c r="K160" t="s">
        <v>74</v>
      </c>
      <c r="L160" t="s">
        <v>74</v>
      </c>
      <c r="M160" t="s">
        <v>78</v>
      </c>
      <c r="N160" t="s">
        <v>79</v>
      </c>
      <c r="O160" t="s">
        <v>74</v>
      </c>
      <c r="P160" t="s">
        <v>74</v>
      </c>
      <c r="Q160" t="s">
        <v>74</v>
      </c>
      <c r="R160" t="s">
        <v>74</v>
      </c>
      <c r="S160" t="s">
        <v>74</v>
      </c>
      <c r="T160" t="s">
        <v>2946</v>
      </c>
      <c r="U160" t="s">
        <v>2947</v>
      </c>
      <c r="V160" t="s">
        <v>2948</v>
      </c>
      <c r="W160" t="s">
        <v>2949</v>
      </c>
      <c r="X160" t="s">
        <v>2598</v>
      </c>
      <c r="Y160" t="s">
        <v>2950</v>
      </c>
      <c r="Z160" t="s">
        <v>2951</v>
      </c>
      <c r="AA160" t="s">
        <v>74</v>
      </c>
      <c r="AB160" t="s">
        <v>2952</v>
      </c>
      <c r="AC160" t="s">
        <v>2953</v>
      </c>
      <c r="AD160" t="s">
        <v>2954</v>
      </c>
      <c r="AE160" t="s">
        <v>2955</v>
      </c>
      <c r="AF160" t="s">
        <v>74</v>
      </c>
      <c r="AG160">
        <v>37</v>
      </c>
      <c r="AH160">
        <v>0</v>
      </c>
      <c r="AI160">
        <v>0</v>
      </c>
      <c r="AJ160">
        <v>0</v>
      </c>
      <c r="AK160">
        <v>0</v>
      </c>
      <c r="AL160" t="s">
        <v>2956</v>
      </c>
      <c r="AM160" t="s">
        <v>2957</v>
      </c>
      <c r="AN160" t="s">
        <v>2958</v>
      </c>
      <c r="AO160" t="s">
        <v>2959</v>
      </c>
      <c r="AP160" t="s">
        <v>2960</v>
      </c>
      <c r="AQ160" t="s">
        <v>74</v>
      </c>
      <c r="AR160" t="s">
        <v>2961</v>
      </c>
      <c r="AS160" t="s">
        <v>2962</v>
      </c>
      <c r="AT160" t="s">
        <v>74</v>
      </c>
      <c r="AU160">
        <v>2024</v>
      </c>
      <c r="AV160">
        <v>17</v>
      </c>
      <c r="AW160">
        <v>3</v>
      </c>
      <c r="AX160" t="s">
        <v>74</v>
      </c>
      <c r="AY160" t="s">
        <v>74</v>
      </c>
      <c r="AZ160" t="s">
        <v>74</v>
      </c>
      <c r="BA160" t="s">
        <v>74</v>
      </c>
      <c r="BB160">
        <v>664</v>
      </c>
      <c r="BC160">
        <v>680</v>
      </c>
      <c r="BD160" t="s">
        <v>74</v>
      </c>
      <c r="BE160" t="s">
        <v>2963</v>
      </c>
      <c r="BF160" t="str">
        <f>HYPERLINK("http://dx.doi.org/10.3926/jiem.6698","http://dx.doi.org/10.3926/jiem.6698")</f>
        <v>http://dx.doi.org/10.3926/jiem.6698</v>
      </c>
      <c r="BG160" t="s">
        <v>74</v>
      </c>
      <c r="BH160" t="s">
        <v>74</v>
      </c>
      <c r="BI160">
        <v>17</v>
      </c>
      <c r="BJ160" t="s">
        <v>100</v>
      </c>
      <c r="BK160" t="s">
        <v>101</v>
      </c>
      <c r="BL160" t="s">
        <v>102</v>
      </c>
      <c r="BM160" t="s">
        <v>2964</v>
      </c>
      <c r="BN160" t="s">
        <v>74</v>
      </c>
      <c r="BO160" t="s">
        <v>208</v>
      </c>
      <c r="BP160" t="s">
        <v>74</v>
      </c>
      <c r="BQ160" t="s">
        <v>74</v>
      </c>
      <c r="BR160" t="s">
        <v>104</v>
      </c>
      <c r="BS160" t="s">
        <v>2965</v>
      </c>
      <c r="BT160" t="str">
        <f>HYPERLINK("https%3A%2F%2Fwww.webofscience.com%2Fwos%2Fwoscc%2Ffull-record%2FWOS:001315925100001","View Full Record in Web of Science")</f>
        <v>View Full Record in Web of Science</v>
      </c>
    </row>
    <row r="161" spans="1:72" x14ac:dyDescent="0.25">
      <c r="A161" t="s">
        <v>72</v>
      </c>
      <c r="B161" t="s">
        <v>2966</v>
      </c>
      <c r="C161" t="s">
        <v>74</v>
      </c>
      <c r="D161" t="s">
        <v>74</v>
      </c>
      <c r="E161" t="s">
        <v>74</v>
      </c>
      <c r="F161" t="s">
        <v>2967</v>
      </c>
      <c r="G161" t="s">
        <v>74</v>
      </c>
      <c r="H161" t="s">
        <v>74</v>
      </c>
      <c r="I161" t="s">
        <v>2968</v>
      </c>
      <c r="J161" t="s">
        <v>2969</v>
      </c>
      <c r="K161" t="s">
        <v>74</v>
      </c>
      <c r="L161" t="s">
        <v>74</v>
      </c>
      <c r="M161" t="s">
        <v>78</v>
      </c>
      <c r="N161" t="s">
        <v>79</v>
      </c>
      <c r="O161" t="s">
        <v>74</v>
      </c>
      <c r="P161" t="s">
        <v>74</v>
      </c>
      <c r="Q161" t="s">
        <v>74</v>
      </c>
      <c r="R161" t="s">
        <v>74</v>
      </c>
      <c r="S161" t="s">
        <v>74</v>
      </c>
      <c r="T161" t="s">
        <v>2970</v>
      </c>
      <c r="U161" t="s">
        <v>2971</v>
      </c>
      <c r="V161" t="s">
        <v>2972</v>
      </c>
      <c r="W161" t="s">
        <v>2973</v>
      </c>
      <c r="X161" t="s">
        <v>2974</v>
      </c>
      <c r="Y161" t="s">
        <v>2975</v>
      </c>
      <c r="Z161" t="s">
        <v>2976</v>
      </c>
      <c r="AA161" t="s">
        <v>2977</v>
      </c>
      <c r="AB161" t="s">
        <v>2978</v>
      </c>
      <c r="AC161" t="s">
        <v>74</v>
      </c>
      <c r="AD161" t="s">
        <v>74</v>
      </c>
      <c r="AE161" t="s">
        <v>74</v>
      </c>
      <c r="AF161" t="s">
        <v>74</v>
      </c>
      <c r="AG161">
        <v>77</v>
      </c>
      <c r="AH161">
        <v>11</v>
      </c>
      <c r="AI161">
        <v>11</v>
      </c>
      <c r="AJ161">
        <v>8</v>
      </c>
      <c r="AK161">
        <v>39</v>
      </c>
      <c r="AL161" t="s">
        <v>707</v>
      </c>
      <c r="AM161" t="s">
        <v>246</v>
      </c>
      <c r="AN161" t="s">
        <v>708</v>
      </c>
      <c r="AO161" t="s">
        <v>2979</v>
      </c>
      <c r="AP161" t="s">
        <v>2980</v>
      </c>
      <c r="AQ161" t="s">
        <v>74</v>
      </c>
      <c r="AR161" t="s">
        <v>2981</v>
      </c>
      <c r="AS161" t="s">
        <v>2982</v>
      </c>
      <c r="AT161" t="s">
        <v>1202</v>
      </c>
      <c r="AU161">
        <v>2023</v>
      </c>
      <c r="AV161">
        <v>153</v>
      </c>
      <c r="AW161" t="s">
        <v>74</v>
      </c>
      <c r="AX161" t="s">
        <v>74</v>
      </c>
      <c r="AY161" t="s">
        <v>74</v>
      </c>
      <c r="AZ161" t="s">
        <v>74</v>
      </c>
      <c r="BA161" t="s">
        <v>74</v>
      </c>
      <c r="BB161" t="s">
        <v>74</v>
      </c>
      <c r="BC161" t="s">
        <v>74</v>
      </c>
      <c r="BD161">
        <v>106146</v>
      </c>
      <c r="BE161" t="s">
        <v>2983</v>
      </c>
      <c r="BF161" t="str">
        <f>HYPERLINK("http://dx.doi.org/10.1016/j.cor.2023.106146","http://dx.doi.org/10.1016/j.cor.2023.106146")</f>
        <v>http://dx.doi.org/10.1016/j.cor.2023.106146</v>
      </c>
      <c r="BG161" t="s">
        <v>74</v>
      </c>
      <c r="BH161" t="s">
        <v>2984</v>
      </c>
      <c r="BI161">
        <v>20</v>
      </c>
      <c r="BJ161" t="s">
        <v>2985</v>
      </c>
      <c r="BK161" t="s">
        <v>149</v>
      </c>
      <c r="BL161" t="s">
        <v>1576</v>
      </c>
      <c r="BM161" t="s">
        <v>2986</v>
      </c>
      <c r="BN161" t="s">
        <v>74</v>
      </c>
      <c r="BO161" t="s">
        <v>74</v>
      </c>
      <c r="BP161" t="s">
        <v>74</v>
      </c>
      <c r="BQ161" t="s">
        <v>74</v>
      </c>
      <c r="BR161" t="s">
        <v>104</v>
      </c>
      <c r="BS161" t="s">
        <v>2987</v>
      </c>
      <c r="BT161" t="str">
        <f>HYPERLINK("https%3A%2F%2Fwww.webofscience.com%2Fwos%2Fwoscc%2Ffull-record%2FWOS:000927432000001","View Full Record in Web of Science")</f>
        <v>View Full Record in Web of Science</v>
      </c>
    </row>
    <row r="162" spans="1:72" x14ac:dyDescent="0.25">
      <c r="A162" t="s">
        <v>72</v>
      </c>
      <c r="B162" t="s">
        <v>2988</v>
      </c>
      <c r="C162" t="s">
        <v>74</v>
      </c>
      <c r="D162" t="s">
        <v>74</v>
      </c>
      <c r="E162" t="s">
        <v>74</v>
      </c>
      <c r="F162" t="s">
        <v>2989</v>
      </c>
      <c r="G162" t="s">
        <v>74</v>
      </c>
      <c r="H162" t="s">
        <v>74</v>
      </c>
      <c r="I162" t="s">
        <v>2990</v>
      </c>
      <c r="J162" t="s">
        <v>256</v>
      </c>
      <c r="K162" t="s">
        <v>74</v>
      </c>
      <c r="L162" t="s">
        <v>74</v>
      </c>
      <c r="M162" t="s">
        <v>78</v>
      </c>
      <c r="N162" t="s">
        <v>79</v>
      </c>
      <c r="O162" t="s">
        <v>74</v>
      </c>
      <c r="P162" t="s">
        <v>74</v>
      </c>
      <c r="Q162" t="s">
        <v>74</v>
      </c>
      <c r="R162" t="s">
        <v>74</v>
      </c>
      <c r="S162" t="s">
        <v>74</v>
      </c>
      <c r="T162" t="s">
        <v>2991</v>
      </c>
      <c r="U162" t="s">
        <v>2992</v>
      </c>
      <c r="V162" t="s">
        <v>2993</v>
      </c>
      <c r="W162" t="s">
        <v>2994</v>
      </c>
      <c r="X162" t="s">
        <v>74</v>
      </c>
      <c r="Y162" t="s">
        <v>2995</v>
      </c>
      <c r="Z162" t="s">
        <v>2996</v>
      </c>
      <c r="AA162" t="s">
        <v>74</v>
      </c>
      <c r="AB162" t="s">
        <v>74</v>
      </c>
      <c r="AC162" t="s">
        <v>74</v>
      </c>
      <c r="AD162" t="s">
        <v>74</v>
      </c>
      <c r="AE162" t="s">
        <v>74</v>
      </c>
      <c r="AF162" t="s">
        <v>74</v>
      </c>
      <c r="AG162">
        <v>37</v>
      </c>
      <c r="AH162">
        <v>1</v>
      </c>
      <c r="AI162">
        <v>1</v>
      </c>
      <c r="AJ162">
        <v>3</v>
      </c>
      <c r="AK162">
        <v>3</v>
      </c>
      <c r="AL162" t="s">
        <v>268</v>
      </c>
      <c r="AM162" t="s">
        <v>269</v>
      </c>
      <c r="AN162" t="s">
        <v>270</v>
      </c>
      <c r="AO162" t="s">
        <v>271</v>
      </c>
      <c r="AP162" t="s">
        <v>272</v>
      </c>
      <c r="AQ162" t="s">
        <v>74</v>
      </c>
      <c r="AR162" t="s">
        <v>273</v>
      </c>
      <c r="AS162" t="s">
        <v>274</v>
      </c>
      <c r="AT162" t="s">
        <v>205</v>
      </c>
      <c r="AU162">
        <v>2023</v>
      </c>
      <c r="AV162">
        <v>14</v>
      </c>
      <c r="AW162">
        <v>3</v>
      </c>
      <c r="AX162" t="s">
        <v>74</v>
      </c>
      <c r="AY162" t="s">
        <v>74</v>
      </c>
      <c r="AZ162" t="s">
        <v>74</v>
      </c>
      <c r="BA162" t="s">
        <v>74</v>
      </c>
      <c r="BB162">
        <v>200</v>
      </c>
      <c r="BC162">
        <v>213</v>
      </c>
      <c r="BD162" t="s">
        <v>74</v>
      </c>
      <c r="BE162" t="s">
        <v>2997</v>
      </c>
      <c r="BF162" t="str">
        <f>HYPERLINK("http://dx.doi.org/10.24867/IJIEM-2023-3-333","http://dx.doi.org/10.24867/IJIEM-2023-3-333")</f>
        <v>http://dx.doi.org/10.24867/IJIEM-2023-3-333</v>
      </c>
      <c r="BG162" t="s">
        <v>74</v>
      </c>
      <c r="BH162" t="s">
        <v>74</v>
      </c>
      <c r="BI162">
        <v>14</v>
      </c>
      <c r="BJ162" t="s">
        <v>100</v>
      </c>
      <c r="BK162" t="s">
        <v>101</v>
      </c>
      <c r="BL162" t="s">
        <v>102</v>
      </c>
      <c r="BM162" t="s">
        <v>2998</v>
      </c>
      <c r="BN162" t="s">
        <v>74</v>
      </c>
      <c r="BO162" t="s">
        <v>208</v>
      </c>
      <c r="BP162" t="s">
        <v>74</v>
      </c>
      <c r="BQ162" t="s">
        <v>74</v>
      </c>
      <c r="BR162" t="s">
        <v>104</v>
      </c>
      <c r="BS162" t="s">
        <v>2999</v>
      </c>
      <c r="BT162" t="str">
        <f>HYPERLINK("https%3A%2F%2Fwww.webofscience.com%2Fwos%2Fwoscc%2Ffull-record%2FWOS:001138067100002","View Full Record in Web of Science")</f>
        <v>View Full Record in Web of Science</v>
      </c>
    </row>
    <row r="163" spans="1:72" x14ac:dyDescent="0.25">
      <c r="A163" t="s">
        <v>72</v>
      </c>
      <c r="B163" t="s">
        <v>3000</v>
      </c>
      <c r="C163" t="s">
        <v>74</v>
      </c>
      <c r="D163" t="s">
        <v>74</v>
      </c>
      <c r="E163" t="s">
        <v>74</v>
      </c>
      <c r="F163" t="s">
        <v>3001</v>
      </c>
      <c r="G163" t="s">
        <v>74</v>
      </c>
      <c r="H163" t="s">
        <v>74</v>
      </c>
      <c r="I163" t="s">
        <v>3002</v>
      </c>
      <c r="J163" t="s">
        <v>77</v>
      </c>
      <c r="K163" t="s">
        <v>74</v>
      </c>
      <c r="L163" t="s">
        <v>74</v>
      </c>
      <c r="M163" t="s">
        <v>78</v>
      </c>
      <c r="N163" t="s">
        <v>79</v>
      </c>
      <c r="O163" t="s">
        <v>74</v>
      </c>
      <c r="P163" t="s">
        <v>74</v>
      </c>
      <c r="Q163" t="s">
        <v>74</v>
      </c>
      <c r="R163" t="s">
        <v>74</v>
      </c>
      <c r="S163" t="s">
        <v>74</v>
      </c>
      <c r="T163" t="s">
        <v>3003</v>
      </c>
      <c r="U163" t="s">
        <v>3004</v>
      </c>
      <c r="V163" t="s">
        <v>3005</v>
      </c>
      <c r="W163" t="s">
        <v>3006</v>
      </c>
      <c r="X163" t="s">
        <v>3007</v>
      </c>
      <c r="Y163" t="s">
        <v>3008</v>
      </c>
      <c r="Z163" t="s">
        <v>3009</v>
      </c>
      <c r="AA163" t="s">
        <v>74</v>
      </c>
      <c r="AB163" t="s">
        <v>74</v>
      </c>
      <c r="AC163" t="s">
        <v>3010</v>
      </c>
      <c r="AD163" t="s">
        <v>3011</v>
      </c>
      <c r="AE163" t="s">
        <v>3012</v>
      </c>
      <c r="AF163" t="s">
        <v>74</v>
      </c>
      <c r="AG163">
        <v>36</v>
      </c>
      <c r="AH163">
        <v>0</v>
      </c>
      <c r="AI163">
        <v>0</v>
      </c>
      <c r="AJ163">
        <v>0</v>
      </c>
      <c r="AK163">
        <v>0</v>
      </c>
      <c r="AL163" t="s">
        <v>90</v>
      </c>
      <c r="AM163" t="s">
        <v>91</v>
      </c>
      <c r="AN163" t="s">
        <v>92</v>
      </c>
      <c r="AO163" t="s">
        <v>93</v>
      </c>
      <c r="AP163" t="s">
        <v>94</v>
      </c>
      <c r="AQ163" t="s">
        <v>74</v>
      </c>
      <c r="AR163" t="s">
        <v>95</v>
      </c>
      <c r="AS163" t="s">
        <v>96</v>
      </c>
      <c r="AT163" t="s">
        <v>3013</v>
      </c>
      <c r="AU163">
        <v>2025</v>
      </c>
      <c r="AV163">
        <v>31</v>
      </c>
      <c r="AW163">
        <v>1</v>
      </c>
      <c r="AX163" t="s">
        <v>74</v>
      </c>
      <c r="AY163" t="s">
        <v>74</v>
      </c>
      <c r="AZ163" t="s">
        <v>74</v>
      </c>
      <c r="BA163" t="s">
        <v>74</v>
      </c>
      <c r="BB163">
        <v>1</v>
      </c>
      <c r="BC163">
        <v>16</v>
      </c>
      <c r="BD163" t="s">
        <v>74</v>
      </c>
      <c r="BE163" t="s">
        <v>3014</v>
      </c>
      <c r="BF163" t="str">
        <f>HYPERLINK("http://dx.doi.org/10.1108/JQME-10-2022-0069","http://dx.doi.org/10.1108/JQME-10-2022-0069")</f>
        <v>http://dx.doi.org/10.1108/JQME-10-2022-0069</v>
      </c>
      <c r="BG163" t="s">
        <v>74</v>
      </c>
      <c r="BH163" t="s">
        <v>1869</v>
      </c>
      <c r="BI163">
        <v>16</v>
      </c>
      <c r="BJ163" t="s">
        <v>100</v>
      </c>
      <c r="BK163" t="s">
        <v>101</v>
      </c>
      <c r="BL163" t="s">
        <v>102</v>
      </c>
      <c r="BM163" t="s">
        <v>3015</v>
      </c>
      <c r="BN163" t="s">
        <v>74</v>
      </c>
      <c r="BO163" t="s">
        <v>74</v>
      </c>
      <c r="BP163" t="s">
        <v>74</v>
      </c>
      <c r="BQ163" t="s">
        <v>74</v>
      </c>
      <c r="BR163" t="s">
        <v>104</v>
      </c>
      <c r="BS163" t="s">
        <v>3016</v>
      </c>
      <c r="BT163" t="str">
        <f>HYPERLINK("https%3A%2F%2Fwww.webofscience.com%2Fwos%2Fwoscc%2Ffull-record%2FWOS:001376334800001","View Full Record in Web of Science")</f>
        <v>View Full Record in Web of Science</v>
      </c>
    </row>
    <row r="164" spans="1:72" x14ac:dyDescent="0.25">
      <c r="A164" t="s">
        <v>72</v>
      </c>
      <c r="B164" t="s">
        <v>3017</v>
      </c>
      <c r="C164" t="s">
        <v>74</v>
      </c>
      <c r="D164" t="s">
        <v>74</v>
      </c>
      <c r="E164" t="s">
        <v>74</v>
      </c>
      <c r="F164" t="s">
        <v>3018</v>
      </c>
      <c r="G164" t="s">
        <v>74</v>
      </c>
      <c r="H164" t="s">
        <v>74</v>
      </c>
      <c r="I164" t="s">
        <v>3019</v>
      </c>
      <c r="J164" t="s">
        <v>128</v>
      </c>
      <c r="K164" t="s">
        <v>74</v>
      </c>
      <c r="L164" t="s">
        <v>74</v>
      </c>
      <c r="M164" t="s">
        <v>78</v>
      </c>
      <c r="N164" t="s">
        <v>79</v>
      </c>
      <c r="O164" t="s">
        <v>74</v>
      </c>
      <c r="P164" t="s">
        <v>74</v>
      </c>
      <c r="Q164" t="s">
        <v>74</v>
      </c>
      <c r="R164" t="s">
        <v>74</v>
      </c>
      <c r="S164" t="s">
        <v>74</v>
      </c>
      <c r="T164" t="s">
        <v>3020</v>
      </c>
      <c r="U164" t="s">
        <v>3021</v>
      </c>
      <c r="V164" t="s">
        <v>3022</v>
      </c>
      <c r="W164" t="s">
        <v>3023</v>
      </c>
      <c r="X164" t="s">
        <v>3024</v>
      </c>
      <c r="Y164" t="s">
        <v>3025</v>
      </c>
      <c r="Z164" t="s">
        <v>1863</v>
      </c>
      <c r="AA164" t="s">
        <v>807</v>
      </c>
      <c r="AB164" t="s">
        <v>3026</v>
      </c>
      <c r="AC164" t="s">
        <v>3027</v>
      </c>
      <c r="AD164" t="s">
        <v>3028</v>
      </c>
      <c r="AE164" t="s">
        <v>3029</v>
      </c>
      <c r="AF164" t="s">
        <v>74</v>
      </c>
      <c r="AG164">
        <v>35</v>
      </c>
      <c r="AH164">
        <v>8</v>
      </c>
      <c r="AI164">
        <v>8</v>
      </c>
      <c r="AJ164">
        <v>5</v>
      </c>
      <c r="AK164">
        <v>25</v>
      </c>
      <c r="AL164" t="s">
        <v>138</v>
      </c>
      <c r="AM164" t="s">
        <v>139</v>
      </c>
      <c r="AN164" t="s">
        <v>140</v>
      </c>
      <c r="AO164" t="s">
        <v>141</v>
      </c>
      <c r="AP164" t="s">
        <v>142</v>
      </c>
      <c r="AQ164" t="s">
        <v>74</v>
      </c>
      <c r="AR164" t="s">
        <v>143</v>
      </c>
      <c r="AS164" t="s">
        <v>144</v>
      </c>
      <c r="AT164" t="s">
        <v>533</v>
      </c>
      <c r="AU164">
        <v>2023</v>
      </c>
      <c r="AV164">
        <v>230</v>
      </c>
      <c r="AW164" t="s">
        <v>74</v>
      </c>
      <c r="AX164" t="s">
        <v>74</v>
      </c>
      <c r="AY164" t="s">
        <v>74</v>
      </c>
      <c r="AZ164" t="s">
        <v>74</v>
      </c>
      <c r="BA164" t="s">
        <v>74</v>
      </c>
      <c r="BB164" t="s">
        <v>74</v>
      </c>
      <c r="BC164" t="s">
        <v>74</v>
      </c>
      <c r="BD164">
        <v>108910</v>
      </c>
      <c r="BE164" t="s">
        <v>3030</v>
      </c>
      <c r="BF164" t="str">
        <f>HYPERLINK("http://dx.doi.org/10.1016/j.ress.2022.108910","http://dx.doi.org/10.1016/j.ress.2022.108910")</f>
        <v>http://dx.doi.org/10.1016/j.ress.2022.108910</v>
      </c>
      <c r="BG164" t="s">
        <v>74</v>
      </c>
      <c r="BH164" t="s">
        <v>3031</v>
      </c>
      <c r="BI164">
        <v>13</v>
      </c>
      <c r="BJ164" t="s">
        <v>148</v>
      </c>
      <c r="BK164" t="s">
        <v>149</v>
      </c>
      <c r="BL164" t="s">
        <v>150</v>
      </c>
      <c r="BM164" t="s">
        <v>3032</v>
      </c>
      <c r="BN164" t="s">
        <v>74</v>
      </c>
      <c r="BO164" t="s">
        <v>74</v>
      </c>
      <c r="BP164" t="s">
        <v>74</v>
      </c>
      <c r="BQ164" t="s">
        <v>74</v>
      </c>
      <c r="BR164" t="s">
        <v>104</v>
      </c>
      <c r="BS164" t="s">
        <v>3033</v>
      </c>
      <c r="BT164" t="str">
        <f>HYPERLINK("https%3A%2F%2Fwww.webofscience.com%2Fwos%2Fwoscc%2Ffull-record%2FWOS:000892062100004","View Full Record in Web of Science")</f>
        <v>View Full Record in Web of Science</v>
      </c>
    </row>
    <row r="165" spans="1:72" x14ac:dyDescent="0.25">
      <c r="A165" t="s">
        <v>72</v>
      </c>
      <c r="B165" t="s">
        <v>3034</v>
      </c>
      <c r="C165" t="s">
        <v>74</v>
      </c>
      <c r="D165" t="s">
        <v>74</v>
      </c>
      <c r="E165" t="s">
        <v>74</v>
      </c>
      <c r="F165" t="s">
        <v>3035</v>
      </c>
      <c r="G165" t="s">
        <v>74</v>
      </c>
      <c r="H165" t="s">
        <v>74</v>
      </c>
      <c r="I165" t="s">
        <v>3036</v>
      </c>
      <c r="J165" t="s">
        <v>2408</v>
      </c>
      <c r="K165" t="s">
        <v>74</v>
      </c>
      <c r="L165" t="s">
        <v>74</v>
      </c>
      <c r="M165" t="s">
        <v>78</v>
      </c>
      <c r="N165" t="s">
        <v>79</v>
      </c>
      <c r="O165" t="s">
        <v>74</v>
      </c>
      <c r="P165" t="s">
        <v>74</v>
      </c>
      <c r="Q165" t="s">
        <v>74</v>
      </c>
      <c r="R165" t="s">
        <v>74</v>
      </c>
      <c r="S165" t="s">
        <v>74</v>
      </c>
      <c r="T165" t="s">
        <v>3037</v>
      </c>
      <c r="U165" t="s">
        <v>3038</v>
      </c>
      <c r="V165" t="s">
        <v>3039</v>
      </c>
      <c r="W165" t="s">
        <v>3040</v>
      </c>
      <c r="X165" t="s">
        <v>3041</v>
      </c>
      <c r="Y165" t="s">
        <v>3042</v>
      </c>
      <c r="Z165" t="s">
        <v>1920</v>
      </c>
      <c r="AA165" t="s">
        <v>74</v>
      </c>
      <c r="AB165" t="s">
        <v>3043</v>
      </c>
      <c r="AC165" t="s">
        <v>3044</v>
      </c>
      <c r="AD165" t="s">
        <v>3045</v>
      </c>
      <c r="AE165" t="s">
        <v>3046</v>
      </c>
      <c r="AF165" t="s">
        <v>74</v>
      </c>
      <c r="AG165">
        <v>27</v>
      </c>
      <c r="AH165">
        <v>28</v>
      </c>
      <c r="AI165">
        <v>37</v>
      </c>
      <c r="AJ165">
        <v>5</v>
      </c>
      <c r="AK165">
        <v>82</v>
      </c>
      <c r="AL165" t="s">
        <v>2421</v>
      </c>
      <c r="AM165" t="s">
        <v>2422</v>
      </c>
      <c r="AN165" t="s">
        <v>2423</v>
      </c>
      <c r="AO165" t="s">
        <v>2424</v>
      </c>
      <c r="AP165" t="s">
        <v>2425</v>
      </c>
      <c r="AQ165" t="s">
        <v>74</v>
      </c>
      <c r="AR165" t="s">
        <v>2426</v>
      </c>
      <c r="AS165" t="s">
        <v>2427</v>
      </c>
      <c r="AT165" t="s">
        <v>275</v>
      </c>
      <c r="AU165">
        <v>2019</v>
      </c>
      <c r="AV165">
        <v>30</v>
      </c>
      <c r="AW165">
        <v>3</v>
      </c>
      <c r="AX165" t="s">
        <v>74</v>
      </c>
      <c r="AY165" t="s">
        <v>74</v>
      </c>
      <c r="AZ165" t="s">
        <v>74</v>
      </c>
      <c r="BA165" t="s">
        <v>74</v>
      </c>
      <c r="BB165">
        <v>1155</v>
      </c>
      <c r="BC165">
        <v>1173</v>
      </c>
      <c r="BD165" t="s">
        <v>74</v>
      </c>
      <c r="BE165" t="s">
        <v>3047</v>
      </c>
      <c r="BF165" t="str">
        <f>HYPERLINK("http://dx.doi.org/10.1007/s10845-017-1314-6","http://dx.doi.org/10.1007/s10845-017-1314-6")</f>
        <v>http://dx.doi.org/10.1007/s10845-017-1314-6</v>
      </c>
      <c r="BG165" t="s">
        <v>74</v>
      </c>
      <c r="BH165" t="s">
        <v>74</v>
      </c>
      <c r="BI165">
        <v>19</v>
      </c>
      <c r="BJ165" t="s">
        <v>2429</v>
      </c>
      <c r="BK165" t="s">
        <v>149</v>
      </c>
      <c r="BL165" t="s">
        <v>716</v>
      </c>
      <c r="BM165" t="s">
        <v>3048</v>
      </c>
      <c r="BN165" t="s">
        <v>74</v>
      </c>
      <c r="BO165" t="s">
        <v>74</v>
      </c>
      <c r="BP165" t="s">
        <v>74</v>
      </c>
      <c r="BQ165" t="s">
        <v>74</v>
      </c>
      <c r="BR165" t="s">
        <v>104</v>
      </c>
      <c r="BS165" t="s">
        <v>3049</v>
      </c>
      <c r="BT165" t="str">
        <f>HYPERLINK("https%3A%2F%2Fwww.webofscience.com%2Fwos%2Fwoscc%2Ffull-record%2FWOS:000459423700013","View Full Record in Web of Science")</f>
        <v>View Full Record in Web of Science</v>
      </c>
    </row>
    <row r="166" spans="1:72" x14ac:dyDescent="0.25">
      <c r="A166" t="s">
        <v>72</v>
      </c>
      <c r="B166" t="s">
        <v>3050</v>
      </c>
      <c r="C166" t="s">
        <v>74</v>
      </c>
      <c r="D166" t="s">
        <v>74</v>
      </c>
      <c r="E166" t="s">
        <v>74</v>
      </c>
      <c r="F166" t="s">
        <v>3051</v>
      </c>
      <c r="G166" t="s">
        <v>74</v>
      </c>
      <c r="H166" t="s">
        <v>74</v>
      </c>
      <c r="I166" t="s">
        <v>3052</v>
      </c>
      <c r="J166" t="s">
        <v>697</v>
      </c>
      <c r="K166" t="s">
        <v>74</v>
      </c>
      <c r="L166" t="s">
        <v>74</v>
      </c>
      <c r="M166" t="s">
        <v>78</v>
      </c>
      <c r="N166" t="s">
        <v>79</v>
      </c>
      <c r="O166" t="s">
        <v>74</v>
      </c>
      <c r="P166" t="s">
        <v>74</v>
      </c>
      <c r="Q166" t="s">
        <v>74</v>
      </c>
      <c r="R166" t="s">
        <v>74</v>
      </c>
      <c r="S166" t="s">
        <v>74</v>
      </c>
      <c r="T166" t="s">
        <v>3053</v>
      </c>
      <c r="U166" t="s">
        <v>3054</v>
      </c>
      <c r="V166" t="s">
        <v>3055</v>
      </c>
      <c r="W166" t="s">
        <v>3056</v>
      </c>
      <c r="X166" t="s">
        <v>1785</v>
      </c>
      <c r="Y166" t="s">
        <v>3057</v>
      </c>
      <c r="Z166" t="s">
        <v>3058</v>
      </c>
      <c r="AA166" t="s">
        <v>3059</v>
      </c>
      <c r="AB166" t="s">
        <v>3060</v>
      </c>
      <c r="AC166" t="s">
        <v>3061</v>
      </c>
      <c r="AD166" t="s">
        <v>3062</v>
      </c>
      <c r="AE166" t="s">
        <v>3063</v>
      </c>
      <c r="AF166" t="s">
        <v>74</v>
      </c>
      <c r="AG166">
        <v>36</v>
      </c>
      <c r="AH166">
        <v>27</v>
      </c>
      <c r="AI166">
        <v>30</v>
      </c>
      <c r="AJ166">
        <v>3</v>
      </c>
      <c r="AK166">
        <v>47</v>
      </c>
      <c r="AL166" t="s">
        <v>707</v>
      </c>
      <c r="AM166" t="s">
        <v>246</v>
      </c>
      <c r="AN166" t="s">
        <v>708</v>
      </c>
      <c r="AO166" t="s">
        <v>709</v>
      </c>
      <c r="AP166" t="s">
        <v>710</v>
      </c>
      <c r="AQ166" t="s">
        <v>74</v>
      </c>
      <c r="AR166" t="s">
        <v>711</v>
      </c>
      <c r="AS166" t="s">
        <v>712</v>
      </c>
      <c r="AT166" t="s">
        <v>145</v>
      </c>
      <c r="AU166">
        <v>2019</v>
      </c>
      <c r="AV166">
        <v>138</v>
      </c>
      <c r="AW166" t="s">
        <v>74</v>
      </c>
      <c r="AX166" t="s">
        <v>74</v>
      </c>
      <c r="AY166" t="s">
        <v>74</v>
      </c>
      <c r="AZ166" t="s">
        <v>74</v>
      </c>
      <c r="BA166" t="s">
        <v>74</v>
      </c>
      <c r="BB166" t="s">
        <v>74</v>
      </c>
      <c r="BC166" t="s">
        <v>74</v>
      </c>
      <c r="BD166">
        <v>106133</v>
      </c>
      <c r="BE166" t="s">
        <v>3064</v>
      </c>
      <c r="BF166" t="str">
        <f>HYPERLINK("http://dx.doi.org/10.1016/j.cie.2019.106133","http://dx.doi.org/10.1016/j.cie.2019.106133")</f>
        <v>http://dx.doi.org/10.1016/j.cie.2019.106133</v>
      </c>
      <c r="BG166" t="s">
        <v>74</v>
      </c>
      <c r="BH166" t="s">
        <v>74</v>
      </c>
      <c r="BI166">
        <v>9</v>
      </c>
      <c r="BJ166" t="s">
        <v>715</v>
      </c>
      <c r="BK166" t="s">
        <v>149</v>
      </c>
      <c r="BL166" t="s">
        <v>716</v>
      </c>
      <c r="BM166" t="s">
        <v>3065</v>
      </c>
      <c r="BN166" t="s">
        <v>74</v>
      </c>
      <c r="BO166" t="s">
        <v>74</v>
      </c>
      <c r="BP166" t="s">
        <v>74</v>
      </c>
      <c r="BQ166" t="s">
        <v>74</v>
      </c>
      <c r="BR166" t="s">
        <v>104</v>
      </c>
      <c r="BS166" t="s">
        <v>3066</v>
      </c>
      <c r="BT166" t="str">
        <f>HYPERLINK("https%3A%2F%2Fwww.webofscience.com%2Fwos%2Fwoscc%2Ffull-record%2FWOS:000500375600021","View Full Record in Web of Science")</f>
        <v>View Full Record in Web of Science</v>
      </c>
    </row>
    <row r="167" spans="1:72" x14ac:dyDescent="0.25">
      <c r="A167" t="s">
        <v>72</v>
      </c>
      <c r="B167" t="s">
        <v>3067</v>
      </c>
      <c r="C167" t="s">
        <v>74</v>
      </c>
      <c r="D167" t="s">
        <v>74</v>
      </c>
      <c r="E167" t="s">
        <v>74</v>
      </c>
      <c r="F167" t="s">
        <v>3068</v>
      </c>
      <c r="G167" t="s">
        <v>74</v>
      </c>
      <c r="H167" t="s">
        <v>74</v>
      </c>
      <c r="I167" t="s">
        <v>3069</v>
      </c>
      <c r="J167" t="s">
        <v>128</v>
      </c>
      <c r="K167" t="s">
        <v>74</v>
      </c>
      <c r="L167" t="s">
        <v>74</v>
      </c>
      <c r="M167" t="s">
        <v>78</v>
      </c>
      <c r="N167" t="s">
        <v>79</v>
      </c>
      <c r="O167" t="s">
        <v>74</v>
      </c>
      <c r="P167" t="s">
        <v>74</v>
      </c>
      <c r="Q167" t="s">
        <v>74</v>
      </c>
      <c r="R167" t="s">
        <v>74</v>
      </c>
      <c r="S167" t="s">
        <v>74</v>
      </c>
      <c r="T167" t="s">
        <v>3070</v>
      </c>
      <c r="U167" t="s">
        <v>3071</v>
      </c>
      <c r="V167" t="s">
        <v>3072</v>
      </c>
      <c r="W167" t="s">
        <v>3073</v>
      </c>
      <c r="X167" t="s">
        <v>2564</v>
      </c>
      <c r="Y167" t="s">
        <v>3074</v>
      </c>
      <c r="Z167" t="s">
        <v>3075</v>
      </c>
      <c r="AA167" t="s">
        <v>3076</v>
      </c>
      <c r="AB167" t="s">
        <v>74</v>
      </c>
      <c r="AC167" t="s">
        <v>3077</v>
      </c>
      <c r="AD167" t="s">
        <v>482</v>
      </c>
      <c r="AE167" t="s">
        <v>3078</v>
      </c>
      <c r="AF167" t="s">
        <v>74</v>
      </c>
      <c r="AG167">
        <v>35</v>
      </c>
      <c r="AH167">
        <v>2</v>
      </c>
      <c r="AI167">
        <v>2</v>
      </c>
      <c r="AJ167">
        <v>9</v>
      </c>
      <c r="AK167">
        <v>11</v>
      </c>
      <c r="AL167" t="s">
        <v>138</v>
      </c>
      <c r="AM167" t="s">
        <v>139</v>
      </c>
      <c r="AN167" t="s">
        <v>140</v>
      </c>
      <c r="AO167" t="s">
        <v>141</v>
      </c>
      <c r="AP167" t="s">
        <v>142</v>
      </c>
      <c r="AQ167" t="s">
        <v>74</v>
      </c>
      <c r="AR167" t="s">
        <v>143</v>
      </c>
      <c r="AS167" t="s">
        <v>144</v>
      </c>
      <c r="AT167" t="s">
        <v>205</v>
      </c>
      <c r="AU167">
        <v>2024</v>
      </c>
      <c r="AV167">
        <v>249</v>
      </c>
      <c r="AW167" t="s">
        <v>74</v>
      </c>
      <c r="AX167" t="s">
        <v>74</v>
      </c>
      <c r="AY167" t="s">
        <v>74</v>
      </c>
      <c r="AZ167" t="s">
        <v>74</v>
      </c>
      <c r="BA167" t="s">
        <v>74</v>
      </c>
      <c r="BB167" t="s">
        <v>74</v>
      </c>
      <c r="BC167" t="s">
        <v>74</v>
      </c>
      <c r="BD167">
        <v>110204</v>
      </c>
      <c r="BE167" t="s">
        <v>3079</v>
      </c>
      <c r="BF167" t="str">
        <f>HYPERLINK("http://dx.doi.org/10.1016/j.ress.2024.110204","http://dx.doi.org/10.1016/j.ress.2024.110204")</f>
        <v>http://dx.doi.org/10.1016/j.ress.2024.110204</v>
      </c>
      <c r="BG167" t="s">
        <v>74</v>
      </c>
      <c r="BH167" t="s">
        <v>2072</v>
      </c>
      <c r="BI167">
        <v>14</v>
      </c>
      <c r="BJ167" t="s">
        <v>148</v>
      </c>
      <c r="BK167" t="s">
        <v>149</v>
      </c>
      <c r="BL167" t="s">
        <v>150</v>
      </c>
      <c r="BM167" t="s">
        <v>3080</v>
      </c>
      <c r="BN167" t="s">
        <v>74</v>
      </c>
      <c r="BO167" t="s">
        <v>74</v>
      </c>
      <c r="BP167" t="s">
        <v>74</v>
      </c>
      <c r="BQ167" t="s">
        <v>74</v>
      </c>
      <c r="BR167" t="s">
        <v>104</v>
      </c>
      <c r="BS167" t="s">
        <v>3081</v>
      </c>
      <c r="BT167" t="str">
        <f>HYPERLINK("https%3A%2F%2Fwww.webofscience.com%2Fwos%2Fwoscc%2Ffull-record%2FWOS:001244947600001","View Full Record in Web of Science")</f>
        <v>View Full Record in Web of Science</v>
      </c>
    </row>
    <row r="168" spans="1:72" x14ac:dyDescent="0.25">
      <c r="A168" t="s">
        <v>72</v>
      </c>
      <c r="B168" t="s">
        <v>3082</v>
      </c>
      <c r="C168" t="s">
        <v>74</v>
      </c>
      <c r="D168" t="s">
        <v>74</v>
      </c>
      <c r="E168" t="s">
        <v>74</v>
      </c>
      <c r="F168" t="s">
        <v>3083</v>
      </c>
      <c r="G168" t="s">
        <v>74</v>
      </c>
      <c r="H168" t="s">
        <v>74</v>
      </c>
      <c r="I168" t="s">
        <v>3084</v>
      </c>
      <c r="J168" t="s">
        <v>128</v>
      </c>
      <c r="K168" t="s">
        <v>74</v>
      </c>
      <c r="L168" t="s">
        <v>74</v>
      </c>
      <c r="M168" t="s">
        <v>78</v>
      </c>
      <c r="N168" t="s">
        <v>79</v>
      </c>
      <c r="O168" t="s">
        <v>74</v>
      </c>
      <c r="P168" t="s">
        <v>74</v>
      </c>
      <c r="Q168" t="s">
        <v>74</v>
      </c>
      <c r="R168" t="s">
        <v>74</v>
      </c>
      <c r="S168" t="s">
        <v>74</v>
      </c>
      <c r="T168" t="s">
        <v>3085</v>
      </c>
      <c r="U168" t="s">
        <v>74</v>
      </c>
      <c r="V168" t="s">
        <v>3086</v>
      </c>
      <c r="W168" t="s">
        <v>3087</v>
      </c>
      <c r="X168" t="s">
        <v>3088</v>
      </c>
      <c r="Y168" t="s">
        <v>3089</v>
      </c>
      <c r="Z168" t="s">
        <v>3090</v>
      </c>
      <c r="AA168" t="s">
        <v>3091</v>
      </c>
      <c r="AB168" t="s">
        <v>3092</v>
      </c>
      <c r="AC168" t="s">
        <v>3093</v>
      </c>
      <c r="AD168" t="s">
        <v>3094</v>
      </c>
      <c r="AE168" t="s">
        <v>3095</v>
      </c>
      <c r="AF168" t="s">
        <v>74</v>
      </c>
      <c r="AG168">
        <v>57</v>
      </c>
      <c r="AH168">
        <v>1</v>
      </c>
      <c r="AI168">
        <v>1</v>
      </c>
      <c r="AJ168">
        <v>5</v>
      </c>
      <c r="AK168">
        <v>5</v>
      </c>
      <c r="AL168" t="s">
        <v>138</v>
      </c>
      <c r="AM168" t="s">
        <v>139</v>
      </c>
      <c r="AN168" t="s">
        <v>140</v>
      </c>
      <c r="AO168" t="s">
        <v>141</v>
      </c>
      <c r="AP168" t="s">
        <v>142</v>
      </c>
      <c r="AQ168" t="s">
        <v>74</v>
      </c>
      <c r="AR168" t="s">
        <v>143</v>
      </c>
      <c r="AS168" t="s">
        <v>144</v>
      </c>
      <c r="AT168" t="s">
        <v>275</v>
      </c>
      <c r="AU168">
        <v>2025</v>
      </c>
      <c r="AV168">
        <v>255</v>
      </c>
      <c r="AW168" t="s">
        <v>74</v>
      </c>
      <c r="AX168" t="s">
        <v>74</v>
      </c>
      <c r="AY168" t="s">
        <v>74</v>
      </c>
      <c r="AZ168" t="s">
        <v>74</v>
      </c>
      <c r="BA168" t="s">
        <v>74</v>
      </c>
      <c r="BB168" t="s">
        <v>74</v>
      </c>
      <c r="BC168" t="s">
        <v>74</v>
      </c>
      <c r="BD168">
        <v>110655</v>
      </c>
      <c r="BE168" t="s">
        <v>3096</v>
      </c>
      <c r="BF168" t="str">
        <f>HYPERLINK("http://dx.doi.org/10.1016/j.ress.2024.110655","http://dx.doi.org/10.1016/j.ress.2024.110655")</f>
        <v>http://dx.doi.org/10.1016/j.ress.2024.110655</v>
      </c>
      <c r="BG168" t="s">
        <v>74</v>
      </c>
      <c r="BH168" t="s">
        <v>1174</v>
      </c>
      <c r="BI168">
        <v>12</v>
      </c>
      <c r="BJ168" t="s">
        <v>148</v>
      </c>
      <c r="BK168" t="s">
        <v>149</v>
      </c>
      <c r="BL168" t="s">
        <v>150</v>
      </c>
      <c r="BM168" t="s">
        <v>3097</v>
      </c>
      <c r="BN168" t="s">
        <v>74</v>
      </c>
      <c r="BO168" t="s">
        <v>74</v>
      </c>
      <c r="BP168" t="s">
        <v>74</v>
      </c>
      <c r="BQ168" t="s">
        <v>74</v>
      </c>
      <c r="BR168" t="s">
        <v>104</v>
      </c>
      <c r="BS168" t="s">
        <v>3098</v>
      </c>
      <c r="BT168" t="str">
        <f>HYPERLINK("https%3A%2F%2Fwww.webofscience.com%2Fwos%2Fwoscc%2Ffull-record%2FWOS:001363542300001","View Full Record in Web of Science")</f>
        <v>View Full Record in Web of Science</v>
      </c>
    </row>
    <row r="169" spans="1:72" x14ac:dyDescent="0.25">
      <c r="A169" t="s">
        <v>72</v>
      </c>
      <c r="B169" t="s">
        <v>3099</v>
      </c>
      <c r="C169" t="s">
        <v>74</v>
      </c>
      <c r="D169" t="s">
        <v>74</v>
      </c>
      <c r="E169" t="s">
        <v>74</v>
      </c>
      <c r="F169" t="s">
        <v>3100</v>
      </c>
      <c r="G169" t="s">
        <v>74</v>
      </c>
      <c r="H169" t="s">
        <v>74</v>
      </c>
      <c r="I169" t="s">
        <v>3101</v>
      </c>
      <c r="J169" t="s">
        <v>3102</v>
      </c>
      <c r="K169" t="s">
        <v>74</v>
      </c>
      <c r="L169" t="s">
        <v>74</v>
      </c>
      <c r="M169" t="s">
        <v>78</v>
      </c>
      <c r="N169" t="s">
        <v>79</v>
      </c>
      <c r="O169" t="s">
        <v>74</v>
      </c>
      <c r="P169" t="s">
        <v>74</v>
      </c>
      <c r="Q169" t="s">
        <v>74</v>
      </c>
      <c r="R169" t="s">
        <v>74</v>
      </c>
      <c r="S169" t="s">
        <v>74</v>
      </c>
      <c r="T169" t="s">
        <v>3103</v>
      </c>
      <c r="U169" t="s">
        <v>3104</v>
      </c>
      <c r="V169" t="s">
        <v>3105</v>
      </c>
      <c r="W169" t="s">
        <v>3106</v>
      </c>
      <c r="X169" t="s">
        <v>3107</v>
      </c>
      <c r="Y169" t="s">
        <v>3108</v>
      </c>
      <c r="Z169" t="s">
        <v>3109</v>
      </c>
      <c r="AA169" t="s">
        <v>3110</v>
      </c>
      <c r="AB169" t="s">
        <v>3111</v>
      </c>
      <c r="AC169" t="s">
        <v>3112</v>
      </c>
      <c r="AD169" t="s">
        <v>3113</v>
      </c>
      <c r="AE169" t="s">
        <v>3114</v>
      </c>
      <c r="AF169" t="s">
        <v>74</v>
      </c>
      <c r="AG169">
        <v>59</v>
      </c>
      <c r="AH169">
        <v>2</v>
      </c>
      <c r="AI169">
        <v>2</v>
      </c>
      <c r="AJ169">
        <v>10</v>
      </c>
      <c r="AK169">
        <v>63</v>
      </c>
      <c r="AL169" t="s">
        <v>2421</v>
      </c>
      <c r="AM169" t="s">
        <v>3115</v>
      </c>
      <c r="AN169" t="s">
        <v>3116</v>
      </c>
      <c r="AO169" t="s">
        <v>3117</v>
      </c>
      <c r="AP169" t="s">
        <v>3118</v>
      </c>
      <c r="AQ169" t="s">
        <v>74</v>
      </c>
      <c r="AR169" t="s">
        <v>3119</v>
      </c>
      <c r="AS169" t="s">
        <v>3120</v>
      </c>
      <c r="AT169" t="s">
        <v>145</v>
      </c>
      <c r="AU169">
        <v>2023</v>
      </c>
      <c r="AV169">
        <v>27</v>
      </c>
      <c r="AW169">
        <v>24</v>
      </c>
      <c r="AX169" t="s">
        <v>74</v>
      </c>
      <c r="AY169" t="s">
        <v>74</v>
      </c>
      <c r="AZ169" t="s">
        <v>74</v>
      </c>
      <c r="BA169" t="s">
        <v>74</v>
      </c>
      <c r="BB169">
        <v>18843</v>
      </c>
      <c r="BC169">
        <v>18868</v>
      </c>
      <c r="BD169" t="s">
        <v>74</v>
      </c>
      <c r="BE169" t="s">
        <v>3121</v>
      </c>
      <c r="BF169" t="str">
        <f>HYPERLINK("http://dx.doi.org/10.1007/s00500-023-09035-6","http://dx.doi.org/10.1007/s00500-023-09035-6")</f>
        <v>http://dx.doi.org/10.1007/s00500-023-09035-6</v>
      </c>
      <c r="BG169" t="s">
        <v>74</v>
      </c>
      <c r="BH169" t="s">
        <v>1488</v>
      </c>
      <c r="BI169">
        <v>26</v>
      </c>
      <c r="BJ169" t="s">
        <v>1227</v>
      </c>
      <c r="BK169" t="s">
        <v>149</v>
      </c>
      <c r="BL169" t="s">
        <v>1228</v>
      </c>
      <c r="BM169" t="s">
        <v>3122</v>
      </c>
      <c r="BN169" t="s">
        <v>74</v>
      </c>
      <c r="BO169" t="s">
        <v>74</v>
      </c>
      <c r="BP169" t="s">
        <v>74</v>
      </c>
      <c r="BQ169" t="s">
        <v>74</v>
      </c>
      <c r="BR169" t="s">
        <v>104</v>
      </c>
      <c r="BS169" t="s">
        <v>3123</v>
      </c>
      <c r="BT169" t="str">
        <f>HYPERLINK("https%3A%2F%2Fwww.webofscience.com%2Fwos%2Fwoscc%2Ffull-record%2FWOS:001048868100002","View Full Record in Web of Science")</f>
        <v>View Full Record in Web of Science</v>
      </c>
    </row>
    <row r="170" spans="1:72" x14ac:dyDescent="0.25">
      <c r="A170" t="s">
        <v>72</v>
      </c>
      <c r="B170" t="s">
        <v>3124</v>
      </c>
      <c r="C170" t="s">
        <v>74</v>
      </c>
      <c r="D170" t="s">
        <v>74</v>
      </c>
      <c r="E170" t="s">
        <v>74</v>
      </c>
      <c r="F170" t="s">
        <v>3125</v>
      </c>
      <c r="G170" t="s">
        <v>74</v>
      </c>
      <c r="H170" t="s">
        <v>74</v>
      </c>
      <c r="I170" t="s">
        <v>3126</v>
      </c>
      <c r="J170" t="s">
        <v>128</v>
      </c>
      <c r="K170" t="s">
        <v>74</v>
      </c>
      <c r="L170" t="s">
        <v>74</v>
      </c>
      <c r="M170" t="s">
        <v>78</v>
      </c>
      <c r="N170" t="s">
        <v>79</v>
      </c>
      <c r="O170" t="s">
        <v>74</v>
      </c>
      <c r="P170" t="s">
        <v>74</v>
      </c>
      <c r="Q170" t="s">
        <v>74</v>
      </c>
      <c r="R170" t="s">
        <v>74</v>
      </c>
      <c r="S170" t="s">
        <v>74</v>
      </c>
      <c r="T170" t="s">
        <v>3127</v>
      </c>
      <c r="U170" t="s">
        <v>3128</v>
      </c>
      <c r="V170" t="s">
        <v>3129</v>
      </c>
      <c r="W170" t="s">
        <v>3130</v>
      </c>
      <c r="X170" t="s">
        <v>3131</v>
      </c>
      <c r="Y170" t="s">
        <v>3132</v>
      </c>
      <c r="Z170" t="s">
        <v>3133</v>
      </c>
      <c r="AA170" t="s">
        <v>3134</v>
      </c>
      <c r="AB170" t="s">
        <v>74</v>
      </c>
      <c r="AC170" t="s">
        <v>3135</v>
      </c>
      <c r="AD170" t="s">
        <v>3136</v>
      </c>
      <c r="AE170" t="s">
        <v>3137</v>
      </c>
      <c r="AF170" t="s">
        <v>74</v>
      </c>
      <c r="AG170">
        <v>35</v>
      </c>
      <c r="AH170">
        <v>17</v>
      </c>
      <c r="AI170">
        <v>17</v>
      </c>
      <c r="AJ170">
        <v>9</v>
      </c>
      <c r="AK170">
        <v>57</v>
      </c>
      <c r="AL170" t="s">
        <v>138</v>
      </c>
      <c r="AM170" t="s">
        <v>139</v>
      </c>
      <c r="AN170" t="s">
        <v>140</v>
      </c>
      <c r="AO170" t="s">
        <v>141</v>
      </c>
      <c r="AP170" t="s">
        <v>142</v>
      </c>
      <c r="AQ170" t="s">
        <v>74</v>
      </c>
      <c r="AR170" t="s">
        <v>143</v>
      </c>
      <c r="AS170" t="s">
        <v>144</v>
      </c>
      <c r="AT170" t="s">
        <v>205</v>
      </c>
      <c r="AU170">
        <v>2022</v>
      </c>
      <c r="AV170">
        <v>225</v>
      </c>
      <c r="AW170" t="s">
        <v>74</v>
      </c>
      <c r="AX170" t="s">
        <v>74</v>
      </c>
      <c r="AY170" t="s">
        <v>74</v>
      </c>
      <c r="AZ170" t="s">
        <v>74</v>
      </c>
      <c r="BA170" t="s">
        <v>74</v>
      </c>
      <c r="BB170" t="s">
        <v>74</v>
      </c>
      <c r="BC170" t="s">
        <v>74</v>
      </c>
      <c r="BD170">
        <v>108637</v>
      </c>
      <c r="BE170" t="s">
        <v>3138</v>
      </c>
      <c r="BF170" t="str">
        <f>HYPERLINK("http://dx.doi.org/10.1016/j.ress.2022.108637","http://dx.doi.org/10.1016/j.ress.2022.108637")</f>
        <v>http://dx.doi.org/10.1016/j.ress.2022.108637</v>
      </c>
      <c r="BG170" t="s">
        <v>74</v>
      </c>
      <c r="BH170" t="s">
        <v>168</v>
      </c>
      <c r="BI170">
        <v>11</v>
      </c>
      <c r="BJ170" t="s">
        <v>148</v>
      </c>
      <c r="BK170" t="s">
        <v>149</v>
      </c>
      <c r="BL170" t="s">
        <v>150</v>
      </c>
      <c r="BM170" t="s">
        <v>3139</v>
      </c>
      <c r="BN170" t="s">
        <v>74</v>
      </c>
      <c r="BO170" t="s">
        <v>74</v>
      </c>
      <c r="BP170" t="s">
        <v>74</v>
      </c>
      <c r="BQ170" t="s">
        <v>74</v>
      </c>
      <c r="BR170" t="s">
        <v>104</v>
      </c>
      <c r="BS170" t="s">
        <v>3140</v>
      </c>
      <c r="BT170" t="str">
        <f>HYPERLINK("https%3A%2F%2Fwww.webofscience.com%2Fwos%2Fwoscc%2Ffull-record%2FWOS:000809316300007","View Full Record in Web of Science")</f>
        <v>View Full Record in Web of Science</v>
      </c>
    </row>
    <row r="171" spans="1:72" x14ac:dyDescent="0.25">
      <c r="A171" t="s">
        <v>72</v>
      </c>
      <c r="B171" t="s">
        <v>3141</v>
      </c>
      <c r="C171" t="s">
        <v>74</v>
      </c>
      <c r="D171" t="s">
        <v>74</v>
      </c>
      <c r="E171" t="s">
        <v>74</v>
      </c>
      <c r="F171" t="s">
        <v>3142</v>
      </c>
      <c r="G171" t="s">
        <v>74</v>
      </c>
      <c r="H171" t="s">
        <v>74</v>
      </c>
      <c r="I171" t="s">
        <v>3143</v>
      </c>
      <c r="J171" t="s">
        <v>128</v>
      </c>
      <c r="K171" t="s">
        <v>74</v>
      </c>
      <c r="L171" t="s">
        <v>74</v>
      </c>
      <c r="M171" t="s">
        <v>78</v>
      </c>
      <c r="N171" t="s">
        <v>79</v>
      </c>
      <c r="O171" t="s">
        <v>74</v>
      </c>
      <c r="P171" t="s">
        <v>74</v>
      </c>
      <c r="Q171" t="s">
        <v>74</v>
      </c>
      <c r="R171" t="s">
        <v>74</v>
      </c>
      <c r="S171" t="s">
        <v>74</v>
      </c>
      <c r="T171" t="s">
        <v>3144</v>
      </c>
      <c r="U171" t="s">
        <v>3145</v>
      </c>
      <c r="V171" t="s">
        <v>3146</v>
      </c>
      <c r="W171" t="s">
        <v>3147</v>
      </c>
      <c r="X171" t="s">
        <v>1785</v>
      </c>
      <c r="Y171" t="s">
        <v>3148</v>
      </c>
      <c r="Z171" t="s">
        <v>3058</v>
      </c>
      <c r="AA171" t="s">
        <v>3149</v>
      </c>
      <c r="AB171" t="s">
        <v>3150</v>
      </c>
      <c r="AC171" t="s">
        <v>3151</v>
      </c>
      <c r="AD171" t="s">
        <v>3152</v>
      </c>
      <c r="AE171" t="s">
        <v>3153</v>
      </c>
      <c r="AF171" t="s">
        <v>74</v>
      </c>
      <c r="AG171">
        <v>59</v>
      </c>
      <c r="AH171">
        <v>0</v>
      </c>
      <c r="AI171">
        <v>0</v>
      </c>
      <c r="AJ171">
        <v>22</v>
      </c>
      <c r="AK171">
        <v>22</v>
      </c>
      <c r="AL171" t="s">
        <v>138</v>
      </c>
      <c r="AM171" t="s">
        <v>139</v>
      </c>
      <c r="AN171" t="s">
        <v>140</v>
      </c>
      <c r="AO171" t="s">
        <v>141</v>
      </c>
      <c r="AP171" t="s">
        <v>142</v>
      </c>
      <c r="AQ171" t="s">
        <v>74</v>
      </c>
      <c r="AR171" t="s">
        <v>143</v>
      </c>
      <c r="AS171" t="s">
        <v>144</v>
      </c>
      <c r="AT171" t="s">
        <v>533</v>
      </c>
      <c r="AU171">
        <v>2025</v>
      </c>
      <c r="AV171">
        <v>254</v>
      </c>
      <c r="AW171" t="s">
        <v>74</v>
      </c>
      <c r="AX171" t="s">
        <v>1907</v>
      </c>
      <c r="AY171" t="s">
        <v>74</v>
      </c>
      <c r="AZ171" t="s">
        <v>74</v>
      </c>
      <c r="BA171" t="s">
        <v>74</v>
      </c>
      <c r="BB171" t="s">
        <v>74</v>
      </c>
      <c r="BC171" t="s">
        <v>74</v>
      </c>
      <c r="BD171">
        <v>110611</v>
      </c>
      <c r="BE171" t="s">
        <v>3154</v>
      </c>
      <c r="BF171" t="str">
        <f>HYPERLINK("http://dx.doi.org/10.1016/j.ress.2024.110611","http://dx.doi.org/10.1016/j.ress.2024.110611")</f>
        <v>http://dx.doi.org/10.1016/j.ress.2024.110611</v>
      </c>
      <c r="BG171" t="s">
        <v>74</v>
      </c>
      <c r="BH171" t="s">
        <v>1174</v>
      </c>
      <c r="BI171">
        <v>14</v>
      </c>
      <c r="BJ171" t="s">
        <v>148</v>
      </c>
      <c r="BK171" t="s">
        <v>149</v>
      </c>
      <c r="BL171" t="s">
        <v>150</v>
      </c>
      <c r="BM171" t="s">
        <v>3155</v>
      </c>
      <c r="BN171" t="s">
        <v>74</v>
      </c>
      <c r="BO171" t="s">
        <v>74</v>
      </c>
      <c r="BP171" t="s">
        <v>74</v>
      </c>
      <c r="BQ171" t="s">
        <v>74</v>
      </c>
      <c r="BR171" t="s">
        <v>104</v>
      </c>
      <c r="BS171" t="s">
        <v>3156</v>
      </c>
      <c r="BT171" t="str">
        <f>HYPERLINK("https%3A%2F%2Fwww.webofscience.com%2Fwos%2Fwoscc%2Ffull-record%2FWOS:001350836600001","View Full Record in Web of Science")</f>
        <v>View Full Record in Web of Science</v>
      </c>
    </row>
    <row r="172" spans="1:72" x14ac:dyDescent="0.25">
      <c r="A172" t="s">
        <v>72</v>
      </c>
      <c r="B172" t="s">
        <v>3157</v>
      </c>
      <c r="C172" t="s">
        <v>74</v>
      </c>
      <c r="D172" t="s">
        <v>74</v>
      </c>
      <c r="E172" t="s">
        <v>74</v>
      </c>
      <c r="F172" t="s">
        <v>3158</v>
      </c>
      <c r="G172" t="s">
        <v>74</v>
      </c>
      <c r="H172" t="s">
        <v>74</v>
      </c>
      <c r="I172" t="s">
        <v>3159</v>
      </c>
      <c r="J172" t="s">
        <v>697</v>
      </c>
      <c r="K172" t="s">
        <v>74</v>
      </c>
      <c r="L172" t="s">
        <v>74</v>
      </c>
      <c r="M172" t="s">
        <v>78</v>
      </c>
      <c r="N172" t="s">
        <v>79</v>
      </c>
      <c r="O172" t="s">
        <v>74</v>
      </c>
      <c r="P172" t="s">
        <v>74</v>
      </c>
      <c r="Q172" t="s">
        <v>74</v>
      </c>
      <c r="R172" t="s">
        <v>74</v>
      </c>
      <c r="S172" t="s">
        <v>74</v>
      </c>
      <c r="T172" t="s">
        <v>3160</v>
      </c>
      <c r="U172" t="s">
        <v>3161</v>
      </c>
      <c r="V172" t="s">
        <v>3162</v>
      </c>
      <c r="W172" t="s">
        <v>3163</v>
      </c>
      <c r="X172" t="s">
        <v>3164</v>
      </c>
      <c r="Y172" t="s">
        <v>3165</v>
      </c>
      <c r="Z172" t="s">
        <v>3166</v>
      </c>
      <c r="AA172" t="s">
        <v>3167</v>
      </c>
      <c r="AB172" t="s">
        <v>3168</v>
      </c>
      <c r="AC172" t="s">
        <v>74</v>
      </c>
      <c r="AD172" t="s">
        <v>74</v>
      </c>
      <c r="AE172" t="s">
        <v>74</v>
      </c>
      <c r="AF172" t="s">
        <v>74</v>
      </c>
      <c r="AG172">
        <v>87</v>
      </c>
      <c r="AH172">
        <v>13</v>
      </c>
      <c r="AI172">
        <v>13</v>
      </c>
      <c r="AJ172">
        <v>1</v>
      </c>
      <c r="AK172">
        <v>20</v>
      </c>
      <c r="AL172" t="s">
        <v>707</v>
      </c>
      <c r="AM172" t="s">
        <v>246</v>
      </c>
      <c r="AN172" t="s">
        <v>708</v>
      </c>
      <c r="AO172" t="s">
        <v>709</v>
      </c>
      <c r="AP172" t="s">
        <v>710</v>
      </c>
      <c r="AQ172" t="s">
        <v>74</v>
      </c>
      <c r="AR172" t="s">
        <v>711</v>
      </c>
      <c r="AS172" t="s">
        <v>712</v>
      </c>
      <c r="AT172" t="s">
        <v>559</v>
      </c>
      <c r="AU172">
        <v>2020</v>
      </c>
      <c r="AV172">
        <v>144</v>
      </c>
      <c r="AW172" t="s">
        <v>74</v>
      </c>
      <c r="AX172" t="s">
        <v>74</v>
      </c>
      <c r="AY172" t="s">
        <v>74</v>
      </c>
      <c r="AZ172" t="s">
        <v>74</v>
      </c>
      <c r="BA172" t="s">
        <v>74</v>
      </c>
      <c r="BB172" t="s">
        <v>74</v>
      </c>
      <c r="BC172" t="s">
        <v>74</v>
      </c>
      <c r="BD172">
        <v>106436</v>
      </c>
      <c r="BE172" t="s">
        <v>3169</v>
      </c>
      <c r="BF172" t="str">
        <f>HYPERLINK("http://dx.doi.org/10.1016/j.cie.2020.106436","http://dx.doi.org/10.1016/j.cie.2020.106436")</f>
        <v>http://dx.doi.org/10.1016/j.cie.2020.106436</v>
      </c>
      <c r="BG172" t="s">
        <v>74</v>
      </c>
      <c r="BH172" t="s">
        <v>74</v>
      </c>
      <c r="BI172">
        <v>18</v>
      </c>
      <c r="BJ172" t="s">
        <v>715</v>
      </c>
      <c r="BK172" t="s">
        <v>149</v>
      </c>
      <c r="BL172" t="s">
        <v>716</v>
      </c>
      <c r="BM172" t="s">
        <v>3170</v>
      </c>
      <c r="BN172" t="s">
        <v>74</v>
      </c>
      <c r="BO172" t="s">
        <v>74</v>
      </c>
      <c r="BP172" t="s">
        <v>74</v>
      </c>
      <c r="BQ172" t="s">
        <v>74</v>
      </c>
      <c r="BR172" t="s">
        <v>104</v>
      </c>
      <c r="BS172" t="s">
        <v>3171</v>
      </c>
      <c r="BT172" t="str">
        <f>HYPERLINK("https%3A%2F%2Fwww.webofscience.com%2Fwos%2Fwoscc%2Ffull-record%2FWOS:000535972200010","View Full Record in Web of Science")</f>
        <v>View Full Record in Web of Science</v>
      </c>
    </row>
    <row r="173" spans="1:72" x14ac:dyDescent="0.25">
      <c r="A173" t="s">
        <v>72</v>
      </c>
      <c r="B173" t="s">
        <v>3172</v>
      </c>
      <c r="C173" t="s">
        <v>74</v>
      </c>
      <c r="D173" t="s">
        <v>74</v>
      </c>
      <c r="E173" t="s">
        <v>74</v>
      </c>
      <c r="F173" t="s">
        <v>3173</v>
      </c>
      <c r="G173" t="s">
        <v>74</v>
      </c>
      <c r="H173" t="s">
        <v>74</v>
      </c>
      <c r="I173" t="s">
        <v>3174</v>
      </c>
      <c r="J173" t="s">
        <v>128</v>
      </c>
      <c r="K173" t="s">
        <v>74</v>
      </c>
      <c r="L173" t="s">
        <v>74</v>
      </c>
      <c r="M173" t="s">
        <v>78</v>
      </c>
      <c r="N173" t="s">
        <v>79</v>
      </c>
      <c r="O173" t="s">
        <v>74</v>
      </c>
      <c r="P173" t="s">
        <v>74</v>
      </c>
      <c r="Q173" t="s">
        <v>74</v>
      </c>
      <c r="R173" t="s">
        <v>74</v>
      </c>
      <c r="S173" t="s">
        <v>74</v>
      </c>
      <c r="T173" t="s">
        <v>3175</v>
      </c>
      <c r="U173" t="s">
        <v>3176</v>
      </c>
      <c r="V173" t="s">
        <v>3177</v>
      </c>
      <c r="W173" t="s">
        <v>3178</v>
      </c>
      <c r="X173" t="s">
        <v>3179</v>
      </c>
      <c r="Y173" t="s">
        <v>3180</v>
      </c>
      <c r="Z173" t="s">
        <v>3181</v>
      </c>
      <c r="AA173" t="s">
        <v>3182</v>
      </c>
      <c r="AB173" t="s">
        <v>3183</v>
      </c>
      <c r="AC173" t="s">
        <v>3184</v>
      </c>
      <c r="AD173" t="s">
        <v>3185</v>
      </c>
      <c r="AE173" t="s">
        <v>3186</v>
      </c>
      <c r="AF173" t="s">
        <v>74</v>
      </c>
      <c r="AG173">
        <v>30</v>
      </c>
      <c r="AH173">
        <v>20</v>
      </c>
      <c r="AI173">
        <v>21</v>
      </c>
      <c r="AJ173">
        <v>4</v>
      </c>
      <c r="AK173">
        <v>27</v>
      </c>
      <c r="AL173" t="s">
        <v>138</v>
      </c>
      <c r="AM173" t="s">
        <v>246</v>
      </c>
      <c r="AN173" t="s">
        <v>247</v>
      </c>
      <c r="AO173" t="s">
        <v>141</v>
      </c>
      <c r="AP173" t="s">
        <v>142</v>
      </c>
      <c r="AQ173" t="s">
        <v>74</v>
      </c>
      <c r="AR173" t="s">
        <v>143</v>
      </c>
      <c r="AS173" t="s">
        <v>144</v>
      </c>
      <c r="AT173" t="s">
        <v>2225</v>
      </c>
      <c r="AU173">
        <v>2020</v>
      </c>
      <c r="AV173">
        <v>200</v>
      </c>
      <c r="AW173" t="s">
        <v>74</v>
      </c>
      <c r="AX173" t="s">
        <v>74</v>
      </c>
      <c r="AY173" t="s">
        <v>74</v>
      </c>
      <c r="AZ173" t="s">
        <v>74</v>
      </c>
      <c r="BA173" t="s">
        <v>74</v>
      </c>
      <c r="BB173" t="s">
        <v>74</v>
      </c>
      <c r="BC173" t="s">
        <v>74</v>
      </c>
      <c r="BD173">
        <v>106924</v>
      </c>
      <c r="BE173" t="s">
        <v>3187</v>
      </c>
      <c r="BF173" t="str">
        <f>HYPERLINK("http://dx.doi.org/10.1016/j.ress.2020.106924","http://dx.doi.org/10.1016/j.ress.2020.106924")</f>
        <v>http://dx.doi.org/10.1016/j.ress.2020.106924</v>
      </c>
      <c r="BG173" t="s">
        <v>74</v>
      </c>
      <c r="BH173" t="s">
        <v>74</v>
      </c>
      <c r="BI173">
        <v>13</v>
      </c>
      <c r="BJ173" t="s">
        <v>148</v>
      </c>
      <c r="BK173" t="s">
        <v>149</v>
      </c>
      <c r="BL173" t="s">
        <v>150</v>
      </c>
      <c r="BM173" t="s">
        <v>3188</v>
      </c>
      <c r="BN173" t="s">
        <v>74</v>
      </c>
      <c r="BO173" t="s">
        <v>758</v>
      </c>
      <c r="BP173" t="s">
        <v>74</v>
      </c>
      <c r="BQ173" t="s">
        <v>74</v>
      </c>
      <c r="BR173" t="s">
        <v>104</v>
      </c>
      <c r="BS173" t="s">
        <v>3189</v>
      </c>
      <c r="BT173" t="str">
        <f>HYPERLINK("https%3A%2F%2Fwww.webofscience.com%2Fwos%2Fwoscc%2Ffull-record%2FWOS:000531606400009","View Full Record in Web of Science")</f>
        <v>View Full Record in Web of Science</v>
      </c>
    </row>
    <row r="174" spans="1:72" x14ac:dyDescent="0.25">
      <c r="A174" t="s">
        <v>72</v>
      </c>
      <c r="B174" t="s">
        <v>3190</v>
      </c>
      <c r="C174" t="s">
        <v>74</v>
      </c>
      <c r="D174" t="s">
        <v>74</v>
      </c>
      <c r="E174" t="s">
        <v>74</v>
      </c>
      <c r="F174" t="s">
        <v>3191</v>
      </c>
      <c r="G174" t="s">
        <v>74</v>
      </c>
      <c r="H174" t="s">
        <v>74</v>
      </c>
      <c r="I174" t="s">
        <v>3192</v>
      </c>
      <c r="J174" t="s">
        <v>472</v>
      </c>
      <c r="K174" t="s">
        <v>74</v>
      </c>
      <c r="L174" t="s">
        <v>74</v>
      </c>
      <c r="M174" t="s">
        <v>78</v>
      </c>
      <c r="N174" t="s">
        <v>79</v>
      </c>
      <c r="O174" t="s">
        <v>74</v>
      </c>
      <c r="P174" t="s">
        <v>74</v>
      </c>
      <c r="Q174" t="s">
        <v>74</v>
      </c>
      <c r="R174" t="s">
        <v>74</v>
      </c>
      <c r="S174" t="s">
        <v>74</v>
      </c>
      <c r="T174" t="s">
        <v>3193</v>
      </c>
      <c r="U174" t="s">
        <v>3194</v>
      </c>
      <c r="V174" t="s">
        <v>3195</v>
      </c>
      <c r="W174" t="s">
        <v>3196</v>
      </c>
      <c r="X174" t="s">
        <v>3197</v>
      </c>
      <c r="Y174" t="s">
        <v>3198</v>
      </c>
      <c r="Z174" t="s">
        <v>3199</v>
      </c>
      <c r="AA174" t="s">
        <v>3200</v>
      </c>
      <c r="AB174" t="s">
        <v>3201</v>
      </c>
      <c r="AC174" t="s">
        <v>3202</v>
      </c>
      <c r="AD174" t="s">
        <v>482</v>
      </c>
      <c r="AE174" t="s">
        <v>3203</v>
      </c>
      <c r="AF174" t="s">
        <v>74</v>
      </c>
      <c r="AG174">
        <v>48</v>
      </c>
      <c r="AH174">
        <v>7</v>
      </c>
      <c r="AI174">
        <v>7</v>
      </c>
      <c r="AJ174">
        <v>6</v>
      </c>
      <c r="AK174">
        <v>36</v>
      </c>
      <c r="AL174" t="s">
        <v>484</v>
      </c>
      <c r="AM174" t="s">
        <v>485</v>
      </c>
      <c r="AN174" t="s">
        <v>486</v>
      </c>
      <c r="AO174" t="s">
        <v>487</v>
      </c>
      <c r="AP174" t="s">
        <v>488</v>
      </c>
      <c r="AQ174" t="s">
        <v>74</v>
      </c>
      <c r="AR174" t="s">
        <v>489</v>
      </c>
      <c r="AS174" t="s">
        <v>490</v>
      </c>
      <c r="AT174" t="s">
        <v>559</v>
      </c>
      <c r="AU174">
        <v>2020</v>
      </c>
      <c r="AV174">
        <v>36</v>
      </c>
      <c r="AW174">
        <v>4</v>
      </c>
      <c r="AX174" t="s">
        <v>74</v>
      </c>
      <c r="AY174" t="s">
        <v>74</v>
      </c>
      <c r="AZ174" t="s">
        <v>74</v>
      </c>
      <c r="BA174" t="s">
        <v>74</v>
      </c>
      <c r="BB174">
        <v>1364</v>
      </c>
      <c r="BC174">
        <v>1385</v>
      </c>
      <c r="BD174" t="s">
        <v>74</v>
      </c>
      <c r="BE174" t="s">
        <v>3204</v>
      </c>
      <c r="BF174" t="str">
        <f>HYPERLINK("http://dx.doi.org/10.1002/qre.2633","http://dx.doi.org/10.1002/qre.2633")</f>
        <v>http://dx.doi.org/10.1002/qre.2633</v>
      </c>
      <c r="BG174" t="s">
        <v>74</v>
      </c>
      <c r="BH174" t="s">
        <v>3205</v>
      </c>
      <c r="BI174">
        <v>22</v>
      </c>
      <c r="BJ174" t="s">
        <v>494</v>
      </c>
      <c r="BK174" t="s">
        <v>149</v>
      </c>
      <c r="BL174" t="s">
        <v>150</v>
      </c>
      <c r="BM174" t="s">
        <v>3206</v>
      </c>
      <c r="BN174" t="s">
        <v>74</v>
      </c>
      <c r="BO174" t="s">
        <v>74</v>
      </c>
      <c r="BP174" t="s">
        <v>74</v>
      </c>
      <c r="BQ174" t="s">
        <v>74</v>
      </c>
      <c r="BR174" t="s">
        <v>104</v>
      </c>
      <c r="BS174" t="s">
        <v>3207</v>
      </c>
      <c r="BT174" t="str">
        <f>HYPERLINK("https%3A%2F%2Fwww.webofscience.com%2Fwos%2Fwoscc%2Ffull-record%2FWOS:000510577300001","View Full Record in Web of Science")</f>
        <v>View Full Record in Web of Science</v>
      </c>
    </row>
    <row r="175" spans="1:72" x14ac:dyDescent="0.25">
      <c r="A175" t="s">
        <v>72</v>
      </c>
      <c r="B175" t="s">
        <v>3208</v>
      </c>
      <c r="C175" t="s">
        <v>74</v>
      </c>
      <c r="D175" t="s">
        <v>74</v>
      </c>
      <c r="E175" t="s">
        <v>74</v>
      </c>
      <c r="F175" t="s">
        <v>3209</v>
      </c>
      <c r="G175" t="s">
        <v>74</v>
      </c>
      <c r="H175" t="s">
        <v>74</v>
      </c>
      <c r="I175" t="s">
        <v>3210</v>
      </c>
      <c r="J175" t="s">
        <v>542</v>
      </c>
      <c r="K175" t="s">
        <v>74</v>
      </c>
      <c r="L175" t="s">
        <v>74</v>
      </c>
      <c r="M175" t="s">
        <v>78</v>
      </c>
      <c r="N175" t="s">
        <v>79</v>
      </c>
      <c r="O175" t="s">
        <v>74</v>
      </c>
      <c r="P175" t="s">
        <v>74</v>
      </c>
      <c r="Q175" t="s">
        <v>74</v>
      </c>
      <c r="R175" t="s">
        <v>74</v>
      </c>
      <c r="S175" t="s">
        <v>74</v>
      </c>
      <c r="T175" t="s">
        <v>3211</v>
      </c>
      <c r="U175" t="s">
        <v>3212</v>
      </c>
      <c r="V175" t="s">
        <v>3213</v>
      </c>
      <c r="W175" t="s">
        <v>3214</v>
      </c>
      <c r="X175" t="s">
        <v>3215</v>
      </c>
      <c r="Y175" t="s">
        <v>3216</v>
      </c>
      <c r="Z175" t="s">
        <v>3217</v>
      </c>
      <c r="AA175" t="s">
        <v>74</v>
      </c>
      <c r="AB175" t="s">
        <v>3218</v>
      </c>
      <c r="AC175" t="s">
        <v>3219</v>
      </c>
      <c r="AD175" t="s">
        <v>3220</v>
      </c>
      <c r="AE175" t="s">
        <v>3221</v>
      </c>
      <c r="AF175" t="s">
        <v>74</v>
      </c>
      <c r="AG175">
        <v>69</v>
      </c>
      <c r="AH175">
        <v>0</v>
      </c>
      <c r="AI175">
        <v>0</v>
      </c>
      <c r="AJ175">
        <v>2</v>
      </c>
      <c r="AK175">
        <v>7</v>
      </c>
      <c r="AL175" t="s">
        <v>552</v>
      </c>
      <c r="AM175" t="s">
        <v>553</v>
      </c>
      <c r="AN175" t="s">
        <v>554</v>
      </c>
      <c r="AO175" t="s">
        <v>555</v>
      </c>
      <c r="AP175" t="s">
        <v>556</v>
      </c>
      <c r="AQ175" t="s">
        <v>74</v>
      </c>
      <c r="AR175" t="s">
        <v>557</v>
      </c>
      <c r="AS175" t="s">
        <v>558</v>
      </c>
      <c r="AT175" t="s">
        <v>1076</v>
      </c>
      <c r="AU175">
        <v>2021</v>
      </c>
      <c r="AV175">
        <v>235</v>
      </c>
      <c r="AW175">
        <v>5</v>
      </c>
      <c r="AX175" t="s">
        <v>74</v>
      </c>
      <c r="AY175" t="s">
        <v>74</v>
      </c>
      <c r="AZ175" t="s">
        <v>74</v>
      </c>
      <c r="BA175" t="s">
        <v>74</v>
      </c>
      <c r="BB175">
        <v>941</v>
      </c>
      <c r="BC175">
        <v>958</v>
      </c>
      <c r="BD175" t="s">
        <v>3222</v>
      </c>
      <c r="BE175" t="s">
        <v>3223</v>
      </c>
      <c r="BF175" t="str">
        <f>HYPERLINK("http://dx.doi.org/10.1177/1748006X211001671","http://dx.doi.org/10.1177/1748006X211001671")</f>
        <v>http://dx.doi.org/10.1177/1748006X211001671</v>
      </c>
      <c r="BG175" t="s">
        <v>74</v>
      </c>
      <c r="BH175" t="s">
        <v>756</v>
      </c>
      <c r="BI175">
        <v>18</v>
      </c>
      <c r="BJ175" t="s">
        <v>494</v>
      </c>
      <c r="BK175" t="s">
        <v>322</v>
      </c>
      <c r="BL175" t="s">
        <v>150</v>
      </c>
      <c r="BM175" t="s">
        <v>3224</v>
      </c>
      <c r="BN175" t="s">
        <v>74</v>
      </c>
      <c r="BO175" t="s">
        <v>74</v>
      </c>
      <c r="BP175" t="s">
        <v>74</v>
      </c>
      <c r="BQ175" t="s">
        <v>74</v>
      </c>
      <c r="BR175" t="s">
        <v>104</v>
      </c>
      <c r="BS175" t="s">
        <v>3225</v>
      </c>
      <c r="BT175" t="str">
        <f>HYPERLINK("https%3A%2F%2Fwww.webofscience.com%2Fwos%2Fwoscc%2Ffull-record%2FWOS:000637150100001","View Full Record in Web of Science")</f>
        <v>View Full Record in Web of Science</v>
      </c>
    </row>
    <row r="176" spans="1:72" x14ac:dyDescent="0.25">
      <c r="A176" t="s">
        <v>72</v>
      </c>
      <c r="B176" t="s">
        <v>3226</v>
      </c>
      <c r="C176" t="s">
        <v>74</v>
      </c>
      <c r="D176" t="s">
        <v>74</v>
      </c>
      <c r="E176" t="s">
        <v>74</v>
      </c>
      <c r="F176" t="s">
        <v>3227</v>
      </c>
      <c r="G176" t="s">
        <v>74</v>
      </c>
      <c r="H176" t="s">
        <v>74</v>
      </c>
      <c r="I176" t="s">
        <v>3228</v>
      </c>
      <c r="J176" t="s">
        <v>697</v>
      </c>
      <c r="K176" t="s">
        <v>74</v>
      </c>
      <c r="L176" t="s">
        <v>74</v>
      </c>
      <c r="M176" t="s">
        <v>78</v>
      </c>
      <c r="N176" t="s">
        <v>79</v>
      </c>
      <c r="O176" t="s">
        <v>74</v>
      </c>
      <c r="P176" t="s">
        <v>74</v>
      </c>
      <c r="Q176" t="s">
        <v>74</v>
      </c>
      <c r="R176" t="s">
        <v>74</v>
      </c>
      <c r="S176" t="s">
        <v>74</v>
      </c>
      <c r="T176" t="s">
        <v>3229</v>
      </c>
      <c r="U176" t="s">
        <v>3230</v>
      </c>
      <c r="V176" t="s">
        <v>3231</v>
      </c>
      <c r="W176" t="s">
        <v>3232</v>
      </c>
      <c r="X176" t="s">
        <v>3233</v>
      </c>
      <c r="Y176" t="s">
        <v>3234</v>
      </c>
      <c r="Z176" t="s">
        <v>1315</v>
      </c>
      <c r="AA176" t="s">
        <v>3235</v>
      </c>
      <c r="AB176" t="s">
        <v>3236</v>
      </c>
      <c r="AC176" t="s">
        <v>3237</v>
      </c>
      <c r="AD176" t="s">
        <v>3238</v>
      </c>
      <c r="AE176" t="s">
        <v>3239</v>
      </c>
      <c r="AF176" t="s">
        <v>74</v>
      </c>
      <c r="AG176">
        <v>38</v>
      </c>
      <c r="AH176">
        <v>94</v>
      </c>
      <c r="AI176">
        <v>96</v>
      </c>
      <c r="AJ176">
        <v>14</v>
      </c>
      <c r="AK176">
        <v>106</v>
      </c>
      <c r="AL176" t="s">
        <v>707</v>
      </c>
      <c r="AM176" t="s">
        <v>246</v>
      </c>
      <c r="AN176" t="s">
        <v>708</v>
      </c>
      <c r="AO176" t="s">
        <v>709</v>
      </c>
      <c r="AP176" t="s">
        <v>710</v>
      </c>
      <c r="AQ176" t="s">
        <v>74</v>
      </c>
      <c r="AR176" t="s">
        <v>711</v>
      </c>
      <c r="AS176" t="s">
        <v>712</v>
      </c>
      <c r="AT176" t="s">
        <v>1202</v>
      </c>
      <c r="AU176">
        <v>2020</v>
      </c>
      <c r="AV176">
        <v>143</v>
      </c>
      <c r="AW176" t="s">
        <v>74</v>
      </c>
      <c r="AX176" t="s">
        <v>74</v>
      </c>
      <c r="AY176" t="s">
        <v>74</v>
      </c>
      <c r="AZ176" t="s">
        <v>74</v>
      </c>
      <c r="BA176" t="s">
        <v>74</v>
      </c>
      <c r="BB176" t="s">
        <v>74</v>
      </c>
      <c r="BC176" t="s">
        <v>74</v>
      </c>
      <c r="BD176">
        <v>106432</v>
      </c>
      <c r="BE176" t="s">
        <v>3240</v>
      </c>
      <c r="BF176" t="str">
        <f>HYPERLINK("http://dx.doi.org/10.1016/j.cie.2020.106432","http://dx.doi.org/10.1016/j.cie.2020.106432")</f>
        <v>http://dx.doi.org/10.1016/j.cie.2020.106432</v>
      </c>
      <c r="BG176" t="s">
        <v>74</v>
      </c>
      <c r="BH176" t="s">
        <v>74</v>
      </c>
      <c r="BI176">
        <v>15</v>
      </c>
      <c r="BJ176" t="s">
        <v>715</v>
      </c>
      <c r="BK176" t="s">
        <v>149</v>
      </c>
      <c r="BL176" t="s">
        <v>716</v>
      </c>
      <c r="BM176" t="s">
        <v>3241</v>
      </c>
      <c r="BN176" t="s">
        <v>74</v>
      </c>
      <c r="BO176" t="s">
        <v>74</v>
      </c>
      <c r="BP176" t="s">
        <v>74</v>
      </c>
      <c r="BQ176" t="s">
        <v>74</v>
      </c>
      <c r="BR176" t="s">
        <v>104</v>
      </c>
      <c r="BS176" t="s">
        <v>3242</v>
      </c>
      <c r="BT176" t="str">
        <f>HYPERLINK("https%3A%2F%2Fwww.webofscience.com%2Fwos%2Fwoscc%2Ffull-record%2FWOS:000525872600036","View Full Record in Web of Science")</f>
        <v>View Full Record in Web of Science</v>
      </c>
    </row>
    <row r="177" spans="1:72" x14ac:dyDescent="0.25">
      <c r="A177" t="s">
        <v>72</v>
      </c>
      <c r="B177" t="s">
        <v>3243</v>
      </c>
      <c r="C177" t="s">
        <v>74</v>
      </c>
      <c r="D177" t="s">
        <v>74</v>
      </c>
      <c r="E177" t="s">
        <v>74</v>
      </c>
      <c r="F177" t="s">
        <v>3244</v>
      </c>
      <c r="G177" t="s">
        <v>74</v>
      </c>
      <c r="H177" t="s">
        <v>74</v>
      </c>
      <c r="I177" t="s">
        <v>3245</v>
      </c>
      <c r="J177" t="s">
        <v>697</v>
      </c>
      <c r="K177" t="s">
        <v>74</v>
      </c>
      <c r="L177" t="s">
        <v>74</v>
      </c>
      <c r="M177" t="s">
        <v>78</v>
      </c>
      <c r="N177" t="s">
        <v>79</v>
      </c>
      <c r="O177" t="s">
        <v>74</v>
      </c>
      <c r="P177" t="s">
        <v>74</v>
      </c>
      <c r="Q177" t="s">
        <v>74</v>
      </c>
      <c r="R177" t="s">
        <v>74</v>
      </c>
      <c r="S177" t="s">
        <v>74</v>
      </c>
      <c r="T177" t="s">
        <v>3246</v>
      </c>
      <c r="U177" t="s">
        <v>3247</v>
      </c>
      <c r="V177" t="s">
        <v>3248</v>
      </c>
      <c r="W177" t="s">
        <v>3249</v>
      </c>
      <c r="X177" t="s">
        <v>3250</v>
      </c>
      <c r="Y177" t="s">
        <v>3251</v>
      </c>
      <c r="Z177" t="s">
        <v>3252</v>
      </c>
      <c r="AA177" t="s">
        <v>74</v>
      </c>
      <c r="AB177" t="s">
        <v>74</v>
      </c>
      <c r="AC177" t="s">
        <v>3253</v>
      </c>
      <c r="AD177" t="s">
        <v>482</v>
      </c>
      <c r="AE177" t="s">
        <v>3254</v>
      </c>
      <c r="AF177" t="s">
        <v>74</v>
      </c>
      <c r="AG177">
        <v>39</v>
      </c>
      <c r="AH177">
        <v>15</v>
      </c>
      <c r="AI177">
        <v>15</v>
      </c>
      <c r="AJ177">
        <v>7</v>
      </c>
      <c r="AK177">
        <v>38</v>
      </c>
      <c r="AL177" t="s">
        <v>707</v>
      </c>
      <c r="AM177" t="s">
        <v>246</v>
      </c>
      <c r="AN177" t="s">
        <v>708</v>
      </c>
      <c r="AO177" t="s">
        <v>709</v>
      </c>
      <c r="AP177" t="s">
        <v>710</v>
      </c>
      <c r="AQ177" t="s">
        <v>74</v>
      </c>
      <c r="AR177" t="s">
        <v>711</v>
      </c>
      <c r="AS177" t="s">
        <v>712</v>
      </c>
      <c r="AT177" t="s">
        <v>1202</v>
      </c>
      <c r="AU177">
        <v>2023</v>
      </c>
      <c r="AV177">
        <v>179</v>
      </c>
      <c r="AW177" t="s">
        <v>74</v>
      </c>
      <c r="AX177" t="s">
        <v>74</v>
      </c>
      <c r="AY177" t="s">
        <v>74</v>
      </c>
      <c r="AZ177" t="s">
        <v>74</v>
      </c>
      <c r="BA177" t="s">
        <v>74</v>
      </c>
      <c r="BB177" t="s">
        <v>74</v>
      </c>
      <c r="BC177" t="s">
        <v>74</v>
      </c>
      <c r="BD177">
        <v>109188</v>
      </c>
      <c r="BE177" t="s">
        <v>3255</v>
      </c>
      <c r="BF177" t="str">
        <f>HYPERLINK("http://dx.doi.org/10.1016/j.cie.2023.109188","http://dx.doi.org/10.1016/j.cie.2023.109188")</f>
        <v>http://dx.doi.org/10.1016/j.cie.2023.109188</v>
      </c>
      <c r="BG177" t="s">
        <v>74</v>
      </c>
      <c r="BH177" t="s">
        <v>1204</v>
      </c>
      <c r="BI177">
        <v>10</v>
      </c>
      <c r="BJ177" t="s">
        <v>715</v>
      </c>
      <c r="BK177" t="s">
        <v>149</v>
      </c>
      <c r="BL177" t="s">
        <v>716</v>
      </c>
      <c r="BM177" t="s">
        <v>3256</v>
      </c>
      <c r="BN177" t="s">
        <v>74</v>
      </c>
      <c r="BO177" t="s">
        <v>1578</v>
      </c>
      <c r="BP177" t="s">
        <v>74</v>
      </c>
      <c r="BQ177" t="s">
        <v>74</v>
      </c>
      <c r="BR177" t="s">
        <v>104</v>
      </c>
      <c r="BS177" t="s">
        <v>3257</v>
      </c>
      <c r="BT177" t="str">
        <f>HYPERLINK("https%3A%2F%2Fwww.webofscience.com%2Fwos%2Fwoscc%2Ffull-record%2FWOS:000969873900001","View Full Record in Web of Science")</f>
        <v>View Full Record in Web of Science</v>
      </c>
    </row>
    <row r="178" spans="1:72" x14ac:dyDescent="0.25">
      <c r="A178" t="s">
        <v>72</v>
      </c>
      <c r="B178" t="s">
        <v>3258</v>
      </c>
      <c r="C178" t="s">
        <v>74</v>
      </c>
      <c r="D178" t="s">
        <v>74</v>
      </c>
      <c r="E178" t="s">
        <v>74</v>
      </c>
      <c r="F178" t="s">
        <v>3259</v>
      </c>
      <c r="G178" t="s">
        <v>74</v>
      </c>
      <c r="H178" t="s">
        <v>74</v>
      </c>
      <c r="I178" t="s">
        <v>3260</v>
      </c>
      <c r="J178" t="s">
        <v>128</v>
      </c>
      <c r="K178" t="s">
        <v>74</v>
      </c>
      <c r="L178" t="s">
        <v>74</v>
      </c>
      <c r="M178" t="s">
        <v>78</v>
      </c>
      <c r="N178" t="s">
        <v>79</v>
      </c>
      <c r="O178" t="s">
        <v>74</v>
      </c>
      <c r="P178" t="s">
        <v>74</v>
      </c>
      <c r="Q178" t="s">
        <v>74</v>
      </c>
      <c r="R178" t="s">
        <v>74</v>
      </c>
      <c r="S178" t="s">
        <v>74</v>
      </c>
      <c r="T178" t="s">
        <v>3261</v>
      </c>
      <c r="U178" t="s">
        <v>3262</v>
      </c>
      <c r="V178" t="s">
        <v>3263</v>
      </c>
      <c r="W178" t="s">
        <v>3264</v>
      </c>
      <c r="X178" t="s">
        <v>3265</v>
      </c>
      <c r="Y178" t="s">
        <v>3266</v>
      </c>
      <c r="Z178" t="s">
        <v>3267</v>
      </c>
      <c r="AA178" t="s">
        <v>3268</v>
      </c>
      <c r="AB178" t="s">
        <v>706</v>
      </c>
      <c r="AC178" t="s">
        <v>3269</v>
      </c>
      <c r="AD178" t="s">
        <v>3270</v>
      </c>
      <c r="AE178" t="s">
        <v>3271</v>
      </c>
      <c r="AF178" t="s">
        <v>74</v>
      </c>
      <c r="AG178">
        <v>37</v>
      </c>
      <c r="AH178">
        <v>47</v>
      </c>
      <c r="AI178">
        <v>49</v>
      </c>
      <c r="AJ178">
        <v>4</v>
      </c>
      <c r="AK178">
        <v>48</v>
      </c>
      <c r="AL178" t="s">
        <v>138</v>
      </c>
      <c r="AM178" t="s">
        <v>246</v>
      </c>
      <c r="AN178" t="s">
        <v>247</v>
      </c>
      <c r="AO178" t="s">
        <v>141</v>
      </c>
      <c r="AP178" t="s">
        <v>142</v>
      </c>
      <c r="AQ178" t="s">
        <v>74</v>
      </c>
      <c r="AR178" t="s">
        <v>143</v>
      </c>
      <c r="AS178" t="s">
        <v>144</v>
      </c>
      <c r="AT178" t="s">
        <v>1076</v>
      </c>
      <c r="AU178">
        <v>2020</v>
      </c>
      <c r="AV178">
        <v>202</v>
      </c>
      <c r="AW178" t="s">
        <v>74</v>
      </c>
      <c r="AX178" t="s">
        <v>74</v>
      </c>
      <c r="AY178" t="s">
        <v>74</v>
      </c>
      <c r="AZ178" t="s">
        <v>74</v>
      </c>
      <c r="BA178" t="s">
        <v>74</v>
      </c>
      <c r="BB178" t="s">
        <v>74</v>
      </c>
      <c r="BC178" t="s">
        <v>74</v>
      </c>
      <c r="BD178">
        <v>106996</v>
      </c>
      <c r="BE178" t="s">
        <v>3272</v>
      </c>
      <c r="BF178" t="str">
        <f>HYPERLINK("http://dx.doi.org/10.1016/j.ress.2020.106996","http://dx.doi.org/10.1016/j.ress.2020.106996")</f>
        <v>http://dx.doi.org/10.1016/j.ress.2020.106996</v>
      </c>
      <c r="BG178" t="s">
        <v>74</v>
      </c>
      <c r="BH178" t="s">
        <v>74</v>
      </c>
      <c r="BI178">
        <v>15</v>
      </c>
      <c r="BJ178" t="s">
        <v>148</v>
      </c>
      <c r="BK178" t="s">
        <v>149</v>
      </c>
      <c r="BL178" t="s">
        <v>150</v>
      </c>
      <c r="BM178" t="s">
        <v>1633</v>
      </c>
      <c r="BN178" t="s">
        <v>74</v>
      </c>
      <c r="BO178" t="s">
        <v>400</v>
      </c>
      <c r="BP178" t="s">
        <v>74</v>
      </c>
      <c r="BQ178" t="s">
        <v>74</v>
      </c>
      <c r="BR178" t="s">
        <v>104</v>
      </c>
      <c r="BS178" t="s">
        <v>3273</v>
      </c>
      <c r="BT178" t="str">
        <f>HYPERLINK("https%3A%2F%2Fwww.webofscience.com%2Fwos%2Fwoscc%2Ffull-record%2FWOS:000564277900011","View Full Record in Web of Science")</f>
        <v>View Full Record in Web of Science</v>
      </c>
    </row>
    <row r="179" spans="1:72" x14ac:dyDescent="0.25">
      <c r="A179" t="s">
        <v>72</v>
      </c>
      <c r="B179" t="s">
        <v>3274</v>
      </c>
      <c r="C179" t="s">
        <v>74</v>
      </c>
      <c r="D179" t="s">
        <v>74</v>
      </c>
      <c r="E179" t="s">
        <v>74</v>
      </c>
      <c r="F179" t="s">
        <v>3275</v>
      </c>
      <c r="G179" t="s">
        <v>74</v>
      </c>
      <c r="H179" t="s">
        <v>74</v>
      </c>
      <c r="I179" t="s">
        <v>3276</v>
      </c>
      <c r="J179" t="s">
        <v>2160</v>
      </c>
      <c r="K179" t="s">
        <v>74</v>
      </c>
      <c r="L179" t="s">
        <v>74</v>
      </c>
      <c r="M179" t="s">
        <v>78</v>
      </c>
      <c r="N179" t="s">
        <v>79</v>
      </c>
      <c r="O179" t="s">
        <v>74</v>
      </c>
      <c r="P179" t="s">
        <v>74</v>
      </c>
      <c r="Q179" t="s">
        <v>74</v>
      </c>
      <c r="R179" t="s">
        <v>74</v>
      </c>
      <c r="S179" t="s">
        <v>74</v>
      </c>
      <c r="T179" t="s">
        <v>3277</v>
      </c>
      <c r="U179" t="s">
        <v>3278</v>
      </c>
      <c r="V179" t="s">
        <v>3279</v>
      </c>
      <c r="W179" t="s">
        <v>3280</v>
      </c>
      <c r="X179" t="s">
        <v>3281</v>
      </c>
      <c r="Y179" t="s">
        <v>3282</v>
      </c>
      <c r="Z179" t="s">
        <v>3283</v>
      </c>
      <c r="AA179" t="s">
        <v>1965</v>
      </c>
      <c r="AB179" t="s">
        <v>3284</v>
      </c>
      <c r="AC179" t="s">
        <v>3285</v>
      </c>
      <c r="AD179" t="s">
        <v>3286</v>
      </c>
      <c r="AE179" t="s">
        <v>3287</v>
      </c>
      <c r="AF179" t="s">
        <v>74</v>
      </c>
      <c r="AG179">
        <v>34</v>
      </c>
      <c r="AH179">
        <v>6</v>
      </c>
      <c r="AI179">
        <v>6</v>
      </c>
      <c r="AJ179">
        <v>2</v>
      </c>
      <c r="AK179">
        <v>17</v>
      </c>
      <c r="AL179" t="s">
        <v>220</v>
      </c>
      <c r="AM179" t="s">
        <v>221</v>
      </c>
      <c r="AN179" t="s">
        <v>222</v>
      </c>
      <c r="AO179" t="s">
        <v>2172</v>
      </c>
      <c r="AP179" t="s">
        <v>2173</v>
      </c>
      <c r="AQ179" t="s">
        <v>74</v>
      </c>
      <c r="AR179" t="s">
        <v>2174</v>
      </c>
      <c r="AS179" t="s">
        <v>2175</v>
      </c>
      <c r="AT179" t="s">
        <v>1202</v>
      </c>
      <c r="AU179">
        <v>2023</v>
      </c>
      <c r="AV179">
        <v>19</v>
      </c>
      <c r="AW179">
        <v>5</v>
      </c>
      <c r="AX179" t="s">
        <v>74</v>
      </c>
      <c r="AY179" t="s">
        <v>74</v>
      </c>
      <c r="AZ179" t="s">
        <v>74</v>
      </c>
      <c r="BA179" t="s">
        <v>74</v>
      </c>
      <c r="BB179">
        <v>6729</v>
      </c>
      <c r="BC179">
        <v>6740</v>
      </c>
      <c r="BD179" t="s">
        <v>74</v>
      </c>
      <c r="BE179" t="s">
        <v>3288</v>
      </c>
      <c r="BF179" t="str">
        <f>HYPERLINK("http://dx.doi.org/10.1109/TII.2022.3206311","http://dx.doi.org/10.1109/TII.2022.3206311")</f>
        <v>http://dx.doi.org/10.1109/TII.2022.3206311</v>
      </c>
      <c r="BG179" t="s">
        <v>74</v>
      </c>
      <c r="BH179" t="s">
        <v>74</v>
      </c>
      <c r="BI179">
        <v>12</v>
      </c>
      <c r="BJ179" t="s">
        <v>2177</v>
      </c>
      <c r="BK179" t="s">
        <v>149</v>
      </c>
      <c r="BL179" t="s">
        <v>1157</v>
      </c>
      <c r="BM179" t="s">
        <v>3289</v>
      </c>
      <c r="BN179" t="s">
        <v>74</v>
      </c>
      <c r="BO179" t="s">
        <v>74</v>
      </c>
      <c r="BP179" t="s">
        <v>74</v>
      </c>
      <c r="BQ179" t="s">
        <v>74</v>
      </c>
      <c r="BR179" t="s">
        <v>104</v>
      </c>
      <c r="BS179" t="s">
        <v>3290</v>
      </c>
      <c r="BT179" t="str">
        <f>HYPERLINK("https%3A%2F%2Fwww.webofscience.com%2Fwos%2Fwoscc%2Ffull-record%2FWOS:000982913400043","View Full Record in Web of Science")</f>
        <v>View Full Record in Web of Science</v>
      </c>
    </row>
    <row r="180" spans="1:72" x14ac:dyDescent="0.25">
      <c r="A180" t="s">
        <v>72</v>
      </c>
      <c r="B180" t="s">
        <v>3291</v>
      </c>
      <c r="C180" t="s">
        <v>74</v>
      </c>
      <c r="D180" t="s">
        <v>74</v>
      </c>
      <c r="E180" t="s">
        <v>74</v>
      </c>
      <c r="F180" t="s">
        <v>3292</v>
      </c>
      <c r="G180" t="s">
        <v>74</v>
      </c>
      <c r="H180" t="s">
        <v>74</v>
      </c>
      <c r="I180" t="s">
        <v>3293</v>
      </c>
      <c r="J180" t="s">
        <v>472</v>
      </c>
      <c r="K180" t="s">
        <v>74</v>
      </c>
      <c r="L180" t="s">
        <v>74</v>
      </c>
      <c r="M180" t="s">
        <v>78</v>
      </c>
      <c r="N180" t="s">
        <v>79</v>
      </c>
      <c r="O180" t="s">
        <v>74</v>
      </c>
      <c r="P180" t="s">
        <v>74</v>
      </c>
      <c r="Q180" t="s">
        <v>74</v>
      </c>
      <c r="R180" t="s">
        <v>74</v>
      </c>
      <c r="S180" t="s">
        <v>74</v>
      </c>
      <c r="T180" t="s">
        <v>3294</v>
      </c>
      <c r="U180" t="s">
        <v>3295</v>
      </c>
      <c r="V180" t="s">
        <v>3296</v>
      </c>
      <c r="W180" t="s">
        <v>3297</v>
      </c>
      <c r="X180" t="s">
        <v>3298</v>
      </c>
      <c r="Y180" t="s">
        <v>3299</v>
      </c>
      <c r="Z180" t="s">
        <v>3300</v>
      </c>
      <c r="AA180" t="s">
        <v>74</v>
      </c>
      <c r="AB180" t="s">
        <v>74</v>
      </c>
      <c r="AC180" t="s">
        <v>3301</v>
      </c>
      <c r="AD180" t="s">
        <v>3302</v>
      </c>
      <c r="AE180" t="s">
        <v>3303</v>
      </c>
      <c r="AF180" t="s">
        <v>74</v>
      </c>
      <c r="AG180">
        <v>55</v>
      </c>
      <c r="AH180">
        <v>0</v>
      </c>
      <c r="AI180">
        <v>0</v>
      </c>
      <c r="AJ180">
        <v>4</v>
      </c>
      <c r="AK180">
        <v>12</v>
      </c>
      <c r="AL180" t="s">
        <v>484</v>
      </c>
      <c r="AM180" t="s">
        <v>485</v>
      </c>
      <c r="AN180" t="s">
        <v>486</v>
      </c>
      <c r="AO180" t="s">
        <v>487</v>
      </c>
      <c r="AP180" t="s">
        <v>488</v>
      </c>
      <c r="AQ180" t="s">
        <v>74</v>
      </c>
      <c r="AR180" t="s">
        <v>489</v>
      </c>
      <c r="AS180" t="s">
        <v>490</v>
      </c>
      <c r="AT180" t="s">
        <v>248</v>
      </c>
      <c r="AU180">
        <v>2024</v>
      </c>
      <c r="AV180">
        <v>40</v>
      </c>
      <c r="AW180">
        <v>5</v>
      </c>
      <c r="AX180" t="s">
        <v>74</v>
      </c>
      <c r="AY180" t="s">
        <v>74</v>
      </c>
      <c r="AZ180" t="s">
        <v>74</v>
      </c>
      <c r="BA180" t="s">
        <v>74</v>
      </c>
      <c r="BB180">
        <v>2792</v>
      </c>
      <c r="BC180">
        <v>2821</v>
      </c>
      <c r="BD180" t="s">
        <v>74</v>
      </c>
      <c r="BE180" t="s">
        <v>3304</v>
      </c>
      <c r="BF180" t="str">
        <f>HYPERLINK("http://dx.doi.org/10.1002/qre.3549","http://dx.doi.org/10.1002/qre.3549")</f>
        <v>http://dx.doi.org/10.1002/qre.3549</v>
      </c>
      <c r="BG180" t="s">
        <v>74</v>
      </c>
      <c r="BH180" t="s">
        <v>2039</v>
      </c>
      <c r="BI180">
        <v>30</v>
      </c>
      <c r="BJ180" t="s">
        <v>494</v>
      </c>
      <c r="BK180" t="s">
        <v>149</v>
      </c>
      <c r="BL180" t="s">
        <v>150</v>
      </c>
      <c r="BM180" t="s">
        <v>3305</v>
      </c>
      <c r="BN180" t="s">
        <v>74</v>
      </c>
      <c r="BO180" t="s">
        <v>123</v>
      </c>
      <c r="BP180" t="s">
        <v>74</v>
      </c>
      <c r="BQ180" t="s">
        <v>74</v>
      </c>
      <c r="BR180" t="s">
        <v>104</v>
      </c>
      <c r="BS180" t="s">
        <v>3306</v>
      </c>
      <c r="BT180" t="str">
        <f>HYPERLINK("https%3A%2F%2Fwww.webofscience.com%2Fwos%2Fwoscc%2Ffull-record%2FWOS:001198823300001","View Full Record in Web of Science")</f>
        <v>View Full Record in Web of Science</v>
      </c>
    </row>
    <row r="181" spans="1:72" x14ac:dyDescent="0.25">
      <c r="A181" t="s">
        <v>72</v>
      </c>
      <c r="B181" t="s">
        <v>3307</v>
      </c>
      <c r="C181" t="s">
        <v>74</v>
      </c>
      <c r="D181" t="s">
        <v>74</v>
      </c>
      <c r="E181" t="s">
        <v>74</v>
      </c>
      <c r="F181" t="s">
        <v>3308</v>
      </c>
      <c r="G181" t="s">
        <v>74</v>
      </c>
      <c r="H181" t="s">
        <v>74</v>
      </c>
      <c r="I181" t="s">
        <v>3309</v>
      </c>
      <c r="J181" t="s">
        <v>128</v>
      </c>
      <c r="K181" t="s">
        <v>74</v>
      </c>
      <c r="L181" t="s">
        <v>74</v>
      </c>
      <c r="M181" t="s">
        <v>78</v>
      </c>
      <c r="N181" t="s">
        <v>79</v>
      </c>
      <c r="O181" t="s">
        <v>74</v>
      </c>
      <c r="P181" t="s">
        <v>74</v>
      </c>
      <c r="Q181" t="s">
        <v>74</v>
      </c>
      <c r="R181" t="s">
        <v>74</v>
      </c>
      <c r="S181" t="s">
        <v>74</v>
      </c>
      <c r="T181" t="s">
        <v>3310</v>
      </c>
      <c r="U181" t="s">
        <v>3311</v>
      </c>
      <c r="V181" t="s">
        <v>3312</v>
      </c>
      <c r="W181" t="s">
        <v>3313</v>
      </c>
      <c r="X181" t="s">
        <v>3314</v>
      </c>
      <c r="Y181" t="s">
        <v>3315</v>
      </c>
      <c r="Z181" t="s">
        <v>3316</v>
      </c>
      <c r="AA181" t="s">
        <v>74</v>
      </c>
      <c r="AB181" t="s">
        <v>3317</v>
      </c>
      <c r="AC181" t="s">
        <v>3318</v>
      </c>
      <c r="AD181" t="s">
        <v>3319</v>
      </c>
      <c r="AE181" t="s">
        <v>3320</v>
      </c>
      <c r="AF181" t="s">
        <v>74</v>
      </c>
      <c r="AG181">
        <v>26</v>
      </c>
      <c r="AH181">
        <v>15</v>
      </c>
      <c r="AI181">
        <v>15</v>
      </c>
      <c r="AJ181">
        <v>3</v>
      </c>
      <c r="AK181">
        <v>46</v>
      </c>
      <c r="AL181" t="s">
        <v>138</v>
      </c>
      <c r="AM181" t="s">
        <v>246</v>
      </c>
      <c r="AN181" t="s">
        <v>247</v>
      </c>
      <c r="AO181" t="s">
        <v>141</v>
      </c>
      <c r="AP181" t="s">
        <v>142</v>
      </c>
      <c r="AQ181" t="s">
        <v>74</v>
      </c>
      <c r="AR181" t="s">
        <v>143</v>
      </c>
      <c r="AS181" t="s">
        <v>144</v>
      </c>
      <c r="AT181" t="s">
        <v>491</v>
      </c>
      <c r="AU181">
        <v>2019</v>
      </c>
      <c r="AV181">
        <v>191</v>
      </c>
      <c r="AW181" t="s">
        <v>74</v>
      </c>
      <c r="AX181" t="s">
        <v>74</v>
      </c>
      <c r="AY181" t="s">
        <v>74</v>
      </c>
      <c r="AZ181" t="s">
        <v>74</v>
      </c>
      <c r="BA181" t="s">
        <v>74</v>
      </c>
      <c r="BB181" t="s">
        <v>74</v>
      </c>
      <c r="BC181" t="s">
        <v>74</v>
      </c>
      <c r="BD181">
        <v>106532</v>
      </c>
      <c r="BE181" t="s">
        <v>3321</v>
      </c>
      <c r="BF181" t="str">
        <f>HYPERLINK("http://dx.doi.org/10.1016/j.ress.2019.106532","http://dx.doi.org/10.1016/j.ress.2019.106532")</f>
        <v>http://dx.doi.org/10.1016/j.ress.2019.106532</v>
      </c>
      <c r="BG181" t="s">
        <v>74</v>
      </c>
      <c r="BH181" t="s">
        <v>74</v>
      </c>
      <c r="BI181">
        <v>12</v>
      </c>
      <c r="BJ181" t="s">
        <v>148</v>
      </c>
      <c r="BK181" t="s">
        <v>149</v>
      </c>
      <c r="BL181" t="s">
        <v>150</v>
      </c>
      <c r="BM181" t="s">
        <v>3322</v>
      </c>
      <c r="BN181" t="s">
        <v>74</v>
      </c>
      <c r="BO181" t="s">
        <v>74</v>
      </c>
      <c r="BP181" t="s">
        <v>74</v>
      </c>
      <c r="BQ181" t="s">
        <v>74</v>
      </c>
      <c r="BR181" t="s">
        <v>104</v>
      </c>
      <c r="BS181" t="s">
        <v>3323</v>
      </c>
      <c r="BT181" t="str">
        <f>HYPERLINK("https%3A%2F%2Fwww.webofscience.com%2Fwos%2Fwoscc%2Ffull-record%2FWOS:000491685000007","View Full Record in Web of Science")</f>
        <v>View Full Record in Web of Science</v>
      </c>
    </row>
    <row r="182" spans="1:72" x14ac:dyDescent="0.25">
      <c r="A182" t="s">
        <v>72</v>
      </c>
      <c r="B182" t="s">
        <v>3324</v>
      </c>
      <c r="C182" t="s">
        <v>74</v>
      </c>
      <c r="D182" t="s">
        <v>74</v>
      </c>
      <c r="E182" t="s">
        <v>74</v>
      </c>
      <c r="F182" t="s">
        <v>3325</v>
      </c>
      <c r="G182" t="s">
        <v>74</v>
      </c>
      <c r="H182" t="s">
        <v>74</v>
      </c>
      <c r="I182" t="s">
        <v>3326</v>
      </c>
      <c r="J182" t="s">
        <v>128</v>
      </c>
      <c r="K182" t="s">
        <v>74</v>
      </c>
      <c r="L182" t="s">
        <v>74</v>
      </c>
      <c r="M182" t="s">
        <v>78</v>
      </c>
      <c r="N182" t="s">
        <v>79</v>
      </c>
      <c r="O182" t="s">
        <v>74</v>
      </c>
      <c r="P182" t="s">
        <v>74</v>
      </c>
      <c r="Q182" t="s">
        <v>74</v>
      </c>
      <c r="R182" t="s">
        <v>74</v>
      </c>
      <c r="S182" t="s">
        <v>74</v>
      </c>
      <c r="T182" t="s">
        <v>3327</v>
      </c>
      <c r="U182" t="s">
        <v>3328</v>
      </c>
      <c r="V182" t="s">
        <v>3329</v>
      </c>
      <c r="W182" t="s">
        <v>3330</v>
      </c>
      <c r="X182" t="s">
        <v>3331</v>
      </c>
      <c r="Y182" t="s">
        <v>3332</v>
      </c>
      <c r="Z182" t="s">
        <v>3333</v>
      </c>
      <c r="AA182" t="s">
        <v>3334</v>
      </c>
      <c r="AB182" t="s">
        <v>3335</v>
      </c>
      <c r="AC182" t="s">
        <v>74</v>
      </c>
      <c r="AD182" t="s">
        <v>74</v>
      </c>
      <c r="AE182" t="s">
        <v>74</v>
      </c>
      <c r="AF182" t="s">
        <v>74</v>
      </c>
      <c r="AG182">
        <v>43</v>
      </c>
      <c r="AH182">
        <v>1</v>
      </c>
      <c r="AI182">
        <v>1</v>
      </c>
      <c r="AJ182">
        <v>8</v>
      </c>
      <c r="AK182">
        <v>21</v>
      </c>
      <c r="AL182" t="s">
        <v>138</v>
      </c>
      <c r="AM182" t="s">
        <v>139</v>
      </c>
      <c r="AN182" t="s">
        <v>140</v>
      </c>
      <c r="AO182" t="s">
        <v>141</v>
      </c>
      <c r="AP182" t="s">
        <v>142</v>
      </c>
      <c r="AQ182" t="s">
        <v>74</v>
      </c>
      <c r="AR182" t="s">
        <v>143</v>
      </c>
      <c r="AS182" t="s">
        <v>144</v>
      </c>
      <c r="AT182" t="s">
        <v>205</v>
      </c>
      <c r="AU182">
        <v>2024</v>
      </c>
      <c r="AV182">
        <v>249</v>
      </c>
      <c r="AW182" t="s">
        <v>74</v>
      </c>
      <c r="AX182" t="s">
        <v>74</v>
      </c>
      <c r="AY182" t="s">
        <v>74</v>
      </c>
      <c r="AZ182" t="s">
        <v>74</v>
      </c>
      <c r="BA182" t="s">
        <v>74</v>
      </c>
      <c r="BB182" t="s">
        <v>74</v>
      </c>
      <c r="BC182" t="s">
        <v>74</v>
      </c>
      <c r="BD182">
        <v>110233</v>
      </c>
      <c r="BE182" t="s">
        <v>3336</v>
      </c>
      <c r="BF182" t="str">
        <f>HYPERLINK("http://dx.doi.org/10.1016/j.ress.2024.110233","http://dx.doi.org/10.1016/j.ress.2024.110233")</f>
        <v>http://dx.doi.org/10.1016/j.ress.2024.110233</v>
      </c>
      <c r="BG182" t="s">
        <v>74</v>
      </c>
      <c r="BH182" t="s">
        <v>2072</v>
      </c>
      <c r="BI182">
        <v>13</v>
      </c>
      <c r="BJ182" t="s">
        <v>148</v>
      </c>
      <c r="BK182" t="s">
        <v>149</v>
      </c>
      <c r="BL182" t="s">
        <v>150</v>
      </c>
      <c r="BM182" t="s">
        <v>3337</v>
      </c>
      <c r="BN182" t="s">
        <v>74</v>
      </c>
      <c r="BO182" t="s">
        <v>74</v>
      </c>
      <c r="BP182" t="s">
        <v>74</v>
      </c>
      <c r="BQ182" t="s">
        <v>74</v>
      </c>
      <c r="BR182" t="s">
        <v>104</v>
      </c>
      <c r="BS182" t="s">
        <v>3338</v>
      </c>
      <c r="BT182" t="str">
        <f>HYPERLINK("https%3A%2F%2Fwww.webofscience.com%2Fwos%2Fwoscc%2Ffull-record%2FWOS:001248240600001","View Full Record in Web of Science")</f>
        <v>View Full Record in Web of Science</v>
      </c>
    </row>
    <row r="183" spans="1:72" x14ac:dyDescent="0.25">
      <c r="A183" t="s">
        <v>72</v>
      </c>
      <c r="B183" t="s">
        <v>3339</v>
      </c>
      <c r="C183" t="s">
        <v>74</v>
      </c>
      <c r="D183" t="s">
        <v>74</v>
      </c>
      <c r="E183" t="s">
        <v>74</v>
      </c>
      <c r="F183" t="s">
        <v>3340</v>
      </c>
      <c r="G183" t="s">
        <v>74</v>
      </c>
      <c r="H183" t="s">
        <v>74</v>
      </c>
      <c r="I183" t="s">
        <v>3341</v>
      </c>
      <c r="J183" t="s">
        <v>2408</v>
      </c>
      <c r="K183" t="s">
        <v>74</v>
      </c>
      <c r="L183" t="s">
        <v>74</v>
      </c>
      <c r="M183" t="s">
        <v>78</v>
      </c>
      <c r="N183" t="s">
        <v>79</v>
      </c>
      <c r="O183" t="s">
        <v>74</v>
      </c>
      <c r="P183" t="s">
        <v>74</v>
      </c>
      <c r="Q183" t="s">
        <v>74</v>
      </c>
      <c r="R183" t="s">
        <v>74</v>
      </c>
      <c r="S183" t="s">
        <v>74</v>
      </c>
      <c r="T183" t="s">
        <v>3342</v>
      </c>
      <c r="U183" t="s">
        <v>3343</v>
      </c>
      <c r="V183" t="s">
        <v>3344</v>
      </c>
      <c r="W183" t="s">
        <v>3345</v>
      </c>
      <c r="X183" t="s">
        <v>3346</v>
      </c>
      <c r="Y183" t="s">
        <v>3347</v>
      </c>
      <c r="Z183" t="s">
        <v>3348</v>
      </c>
      <c r="AA183" t="s">
        <v>3349</v>
      </c>
      <c r="AB183" t="s">
        <v>3350</v>
      </c>
      <c r="AC183" t="s">
        <v>74</v>
      </c>
      <c r="AD183" t="s">
        <v>74</v>
      </c>
      <c r="AE183" t="s">
        <v>74</v>
      </c>
      <c r="AF183" t="s">
        <v>74</v>
      </c>
      <c r="AG183">
        <v>56</v>
      </c>
      <c r="AH183">
        <v>31</v>
      </c>
      <c r="AI183">
        <v>31</v>
      </c>
      <c r="AJ183">
        <v>1</v>
      </c>
      <c r="AK183">
        <v>32</v>
      </c>
      <c r="AL183" t="s">
        <v>2421</v>
      </c>
      <c r="AM183" t="s">
        <v>2422</v>
      </c>
      <c r="AN183" t="s">
        <v>2423</v>
      </c>
      <c r="AO183" t="s">
        <v>2424</v>
      </c>
      <c r="AP183" t="s">
        <v>2425</v>
      </c>
      <c r="AQ183" t="s">
        <v>74</v>
      </c>
      <c r="AR183" t="s">
        <v>2426</v>
      </c>
      <c r="AS183" t="s">
        <v>2427</v>
      </c>
      <c r="AT183" t="s">
        <v>1008</v>
      </c>
      <c r="AU183">
        <v>2020</v>
      </c>
      <c r="AV183">
        <v>31</v>
      </c>
      <c r="AW183">
        <v>1</v>
      </c>
      <c r="AX183" t="s">
        <v>74</v>
      </c>
      <c r="AY183" t="s">
        <v>74</v>
      </c>
      <c r="AZ183" t="s">
        <v>74</v>
      </c>
      <c r="BA183" t="s">
        <v>74</v>
      </c>
      <c r="BB183">
        <v>53</v>
      </c>
      <c r="BC183">
        <v>72</v>
      </c>
      <c r="BD183" t="s">
        <v>74</v>
      </c>
      <c r="BE183" t="s">
        <v>3351</v>
      </c>
      <c r="BF183" t="str">
        <f>HYPERLINK("http://dx.doi.org/10.1007/s10845-018-1434-7","http://dx.doi.org/10.1007/s10845-018-1434-7")</f>
        <v>http://dx.doi.org/10.1007/s10845-018-1434-7</v>
      </c>
      <c r="BG183" t="s">
        <v>74</v>
      </c>
      <c r="BH183" t="s">
        <v>74</v>
      </c>
      <c r="BI183">
        <v>20</v>
      </c>
      <c r="BJ183" t="s">
        <v>2429</v>
      </c>
      <c r="BK183" t="s">
        <v>149</v>
      </c>
      <c r="BL183" t="s">
        <v>716</v>
      </c>
      <c r="BM183" t="s">
        <v>3352</v>
      </c>
      <c r="BN183" t="s">
        <v>74</v>
      </c>
      <c r="BO183" t="s">
        <v>74</v>
      </c>
      <c r="BP183" t="s">
        <v>74</v>
      </c>
      <c r="BQ183" t="s">
        <v>74</v>
      </c>
      <c r="BR183" t="s">
        <v>104</v>
      </c>
      <c r="BS183" t="s">
        <v>3353</v>
      </c>
      <c r="BT183" t="str">
        <f>HYPERLINK("https%3A%2F%2Fwww.webofscience.com%2Fwos%2Fwoscc%2Ffull-record%2FWOS:000512004500005","View Full Record in Web of Science")</f>
        <v>View Full Record in Web of Science</v>
      </c>
    </row>
    <row r="184" spans="1:72" x14ac:dyDescent="0.25">
      <c r="A184" t="s">
        <v>72</v>
      </c>
      <c r="B184" t="s">
        <v>3354</v>
      </c>
      <c r="C184" t="s">
        <v>74</v>
      </c>
      <c r="D184" t="s">
        <v>74</v>
      </c>
      <c r="E184" t="s">
        <v>74</v>
      </c>
      <c r="F184" t="s">
        <v>3355</v>
      </c>
      <c r="G184" t="s">
        <v>74</v>
      </c>
      <c r="H184" t="s">
        <v>74</v>
      </c>
      <c r="I184" t="s">
        <v>3356</v>
      </c>
      <c r="J184" t="s">
        <v>1932</v>
      </c>
      <c r="K184" t="s">
        <v>74</v>
      </c>
      <c r="L184" t="s">
        <v>74</v>
      </c>
      <c r="M184" t="s">
        <v>78</v>
      </c>
      <c r="N184" t="s">
        <v>79</v>
      </c>
      <c r="O184" t="s">
        <v>74</v>
      </c>
      <c r="P184" t="s">
        <v>74</v>
      </c>
      <c r="Q184" t="s">
        <v>74</v>
      </c>
      <c r="R184" t="s">
        <v>74</v>
      </c>
      <c r="S184" t="s">
        <v>74</v>
      </c>
      <c r="T184" t="s">
        <v>3357</v>
      </c>
      <c r="U184" t="s">
        <v>3358</v>
      </c>
      <c r="V184" t="s">
        <v>3359</v>
      </c>
      <c r="W184" t="s">
        <v>3360</v>
      </c>
      <c r="X184" t="s">
        <v>3361</v>
      </c>
      <c r="Y184" t="s">
        <v>3362</v>
      </c>
      <c r="Z184" t="s">
        <v>3363</v>
      </c>
      <c r="AA184" t="s">
        <v>3364</v>
      </c>
      <c r="AB184" t="s">
        <v>1299</v>
      </c>
      <c r="AC184" t="s">
        <v>3365</v>
      </c>
      <c r="AD184" t="s">
        <v>482</v>
      </c>
      <c r="AE184" t="s">
        <v>3366</v>
      </c>
      <c r="AF184" t="s">
        <v>74</v>
      </c>
      <c r="AG184">
        <v>51</v>
      </c>
      <c r="AH184">
        <v>25</v>
      </c>
      <c r="AI184">
        <v>25</v>
      </c>
      <c r="AJ184">
        <v>1</v>
      </c>
      <c r="AK184">
        <v>41</v>
      </c>
      <c r="AL184" t="s">
        <v>1942</v>
      </c>
      <c r="AM184" t="s">
        <v>1943</v>
      </c>
      <c r="AN184" t="s">
        <v>1944</v>
      </c>
      <c r="AO184" t="s">
        <v>1945</v>
      </c>
      <c r="AP184" t="s">
        <v>1946</v>
      </c>
      <c r="AQ184" t="s">
        <v>74</v>
      </c>
      <c r="AR184" t="s">
        <v>1947</v>
      </c>
      <c r="AS184" t="s">
        <v>1948</v>
      </c>
      <c r="AT184" t="s">
        <v>3367</v>
      </c>
      <c r="AU184">
        <v>2019</v>
      </c>
      <c r="AV184">
        <v>16</v>
      </c>
      <c r="AW184">
        <v>4</v>
      </c>
      <c r="AX184" t="s">
        <v>74</v>
      </c>
      <c r="AY184" t="s">
        <v>74</v>
      </c>
      <c r="AZ184" t="s">
        <v>74</v>
      </c>
      <c r="BA184" t="s">
        <v>74</v>
      </c>
      <c r="BB184">
        <v>478</v>
      </c>
      <c r="BC184">
        <v>495</v>
      </c>
      <c r="BD184" t="s">
        <v>74</v>
      </c>
      <c r="BE184" t="s">
        <v>3368</v>
      </c>
      <c r="BF184" t="str">
        <f>HYPERLINK("http://dx.doi.org/10.1080/16843703.2018.1465228","http://dx.doi.org/10.1080/16843703.2018.1465228")</f>
        <v>http://dx.doi.org/10.1080/16843703.2018.1465228</v>
      </c>
      <c r="BG184" t="s">
        <v>74</v>
      </c>
      <c r="BH184" t="s">
        <v>74</v>
      </c>
      <c r="BI184">
        <v>18</v>
      </c>
      <c r="BJ184" t="s">
        <v>1951</v>
      </c>
      <c r="BK184" t="s">
        <v>149</v>
      </c>
      <c r="BL184" t="s">
        <v>1952</v>
      </c>
      <c r="BM184" t="s">
        <v>3369</v>
      </c>
      <c r="BN184" t="s">
        <v>74</v>
      </c>
      <c r="BO184" t="s">
        <v>74</v>
      </c>
      <c r="BP184" t="s">
        <v>74</v>
      </c>
      <c r="BQ184" t="s">
        <v>74</v>
      </c>
      <c r="BR184" t="s">
        <v>104</v>
      </c>
      <c r="BS184" t="s">
        <v>3370</v>
      </c>
      <c r="BT184" t="str">
        <f>HYPERLINK("https%3A%2F%2Fwww.webofscience.com%2Fwos%2Fwoscc%2Ffull-record%2FWOS:000469975400007","View Full Record in Web of Science")</f>
        <v>View Full Record in Web of Science</v>
      </c>
    </row>
    <row r="185" spans="1:72" x14ac:dyDescent="0.25">
      <c r="A185" t="s">
        <v>72</v>
      </c>
      <c r="B185" t="s">
        <v>3371</v>
      </c>
      <c r="C185" t="s">
        <v>74</v>
      </c>
      <c r="D185" t="s">
        <v>74</v>
      </c>
      <c r="E185" t="s">
        <v>74</v>
      </c>
      <c r="F185" t="s">
        <v>3372</v>
      </c>
      <c r="G185" t="s">
        <v>74</v>
      </c>
      <c r="H185" t="s">
        <v>74</v>
      </c>
      <c r="I185" t="s">
        <v>3373</v>
      </c>
      <c r="J185" t="s">
        <v>697</v>
      </c>
      <c r="K185" t="s">
        <v>74</v>
      </c>
      <c r="L185" t="s">
        <v>74</v>
      </c>
      <c r="M185" t="s">
        <v>78</v>
      </c>
      <c r="N185" t="s">
        <v>79</v>
      </c>
      <c r="O185" t="s">
        <v>74</v>
      </c>
      <c r="P185" t="s">
        <v>74</v>
      </c>
      <c r="Q185" t="s">
        <v>74</v>
      </c>
      <c r="R185" t="s">
        <v>74</v>
      </c>
      <c r="S185" t="s">
        <v>74</v>
      </c>
      <c r="T185" t="s">
        <v>3374</v>
      </c>
      <c r="U185" t="s">
        <v>3375</v>
      </c>
      <c r="V185" t="s">
        <v>3376</v>
      </c>
      <c r="W185" t="s">
        <v>3377</v>
      </c>
      <c r="X185" t="s">
        <v>1433</v>
      </c>
      <c r="Y185" t="s">
        <v>3378</v>
      </c>
      <c r="Z185" t="s">
        <v>3379</v>
      </c>
      <c r="AA185" t="s">
        <v>3380</v>
      </c>
      <c r="AB185" t="s">
        <v>3381</v>
      </c>
      <c r="AC185" t="s">
        <v>74</v>
      </c>
      <c r="AD185" t="s">
        <v>74</v>
      </c>
      <c r="AE185" t="s">
        <v>74</v>
      </c>
      <c r="AF185" t="s">
        <v>74</v>
      </c>
      <c r="AG185">
        <v>65</v>
      </c>
      <c r="AH185">
        <v>49</v>
      </c>
      <c r="AI185">
        <v>52</v>
      </c>
      <c r="AJ185">
        <v>1</v>
      </c>
      <c r="AK185">
        <v>36</v>
      </c>
      <c r="AL185" t="s">
        <v>707</v>
      </c>
      <c r="AM185" t="s">
        <v>246</v>
      </c>
      <c r="AN185" t="s">
        <v>708</v>
      </c>
      <c r="AO185" t="s">
        <v>709</v>
      </c>
      <c r="AP185" t="s">
        <v>710</v>
      </c>
      <c r="AQ185" t="s">
        <v>74</v>
      </c>
      <c r="AR185" t="s">
        <v>711</v>
      </c>
      <c r="AS185" t="s">
        <v>712</v>
      </c>
      <c r="AT185" t="s">
        <v>491</v>
      </c>
      <c r="AU185">
        <v>2019</v>
      </c>
      <c r="AV185">
        <v>137</v>
      </c>
      <c r="AW185" t="s">
        <v>74</v>
      </c>
      <c r="AX185" t="s">
        <v>74</v>
      </c>
      <c r="AY185" t="s">
        <v>74</v>
      </c>
      <c r="AZ185" t="s">
        <v>74</v>
      </c>
      <c r="BA185" t="s">
        <v>74</v>
      </c>
      <c r="BB185" t="s">
        <v>74</v>
      </c>
      <c r="BC185" t="s">
        <v>74</v>
      </c>
      <c r="BD185">
        <v>106007</v>
      </c>
      <c r="BE185" t="s">
        <v>3382</v>
      </c>
      <c r="BF185" t="str">
        <f>HYPERLINK("http://dx.doi.org/10.1016/j.cie.2019.106007","http://dx.doi.org/10.1016/j.cie.2019.106007")</f>
        <v>http://dx.doi.org/10.1016/j.cie.2019.106007</v>
      </c>
      <c r="BG185" t="s">
        <v>74</v>
      </c>
      <c r="BH185" t="s">
        <v>74</v>
      </c>
      <c r="BI185">
        <v>11</v>
      </c>
      <c r="BJ185" t="s">
        <v>715</v>
      </c>
      <c r="BK185" t="s">
        <v>149</v>
      </c>
      <c r="BL185" t="s">
        <v>716</v>
      </c>
      <c r="BM185" t="s">
        <v>3383</v>
      </c>
      <c r="BN185" t="s">
        <v>74</v>
      </c>
      <c r="BO185" t="s">
        <v>74</v>
      </c>
      <c r="BP185" t="s">
        <v>74</v>
      </c>
      <c r="BQ185" t="s">
        <v>74</v>
      </c>
      <c r="BR185" t="s">
        <v>104</v>
      </c>
      <c r="BS185" t="s">
        <v>3384</v>
      </c>
      <c r="BT185" t="str">
        <f>HYPERLINK("https%3A%2F%2Fwww.webofscience.com%2Fwos%2Fwoscc%2Ffull-record%2FWOS:000500376700003","View Full Record in Web of Science")</f>
        <v>View Full Record in Web of Science</v>
      </c>
    </row>
    <row r="186" spans="1:72" x14ac:dyDescent="0.25">
      <c r="A186" t="s">
        <v>72</v>
      </c>
      <c r="B186" t="s">
        <v>3385</v>
      </c>
      <c r="C186" t="s">
        <v>74</v>
      </c>
      <c r="D186" t="s">
        <v>74</v>
      </c>
      <c r="E186" t="s">
        <v>74</v>
      </c>
      <c r="F186" t="s">
        <v>3386</v>
      </c>
      <c r="G186" t="s">
        <v>74</v>
      </c>
      <c r="H186" t="s">
        <v>74</v>
      </c>
      <c r="I186" t="s">
        <v>3387</v>
      </c>
      <c r="J186" t="s">
        <v>128</v>
      </c>
      <c r="K186" t="s">
        <v>74</v>
      </c>
      <c r="L186" t="s">
        <v>74</v>
      </c>
      <c r="M186" t="s">
        <v>78</v>
      </c>
      <c r="N186" t="s">
        <v>79</v>
      </c>
      <c r="O186" t="s">
        <v>74</v>
      </c>
      <c r="P186" t="s">
        <v>74</v>
      </c>
      <c r="Q186" t="s">
        <v>74</v>
      </c>
      <c r="R186" t="s">
        <v>74</v>
      </c>
      <c r="S186" t="s">
        <v>74</v>
      </c>
      <c r="T186" t="s">
        <v>3388</v>
      </c>
      <c r="U186" t="s">
        <v>3389</v>
      </c>
      <c r="V186" t="s">
        <v>3390</v>
      </c>
      <c r="W186" t="s">
        <v>3391</v>
      </c>
      <c r="X186" t="s">
        <v>1480</v>
      </c>
      <c r="Y186" t="s">
        <v>3392</v>
      </c>
      <c r="Z186" t="s">
        <v>3393</v>
      </c>
      <c r="AA186" t="s">
        <v>3394</v>
      </c>
      <c r="AB186" t="s">
        <v>3395</v>
      </c>
      <c r="AC186" t="s">
        <v>3396</v>
      </c>
      <c r="AD186" t="s">
        <v>3397</v>
      </c>
      <c r="AE186" t="s">
        <v>3398</v>
      </c>
      <c r="AF186" t="s">
        <v>74</v>
      </c>
      <c r="AG186">
        <v>23</v>
      </c>
      <c r="AH186">
        <v>11</v>
      </c>
      <c r="AI186">
        <v>11</v>
      </c>
      <c r="AJ186">
        <v>5</v>
      </c>
      <c r="AK186">
        <v>33</v>
      </c>
      <c r="AL186" t="s">
        <v>138</v>
      </c>
      <c r="AM186" t="s">
        <v>246</v>
      </c>
      <c r="AN186" t="s">
        <v>247</v>
      </c>
      <c r="AO186" t="s">
        <v>141</v>
      </c>
      <c r="AP186" t="s">
        <v>142</v>
      </c>
      <c r="AQ186" t="s">
        <v>74</v>
      </c>
      <c r="AR186" t="s">
        <v>143</v>
      </c>
      <c r="AS186" t="s">
        <v>144</v>
      </c>
      <c r="AT186" t="s">
        <v>491</v>
      </c>
      <c r="AU186">
        <v>2021</v>
      </c>
      <c r="AV186">
        <v>215</v>
      </c>
      <c r="AW186" t="s">
        <v>74</v>
      </c>
      <c r="AX186" t="s">
        <v>74</v>
      </c>
      <c r="AY186" t="s">
        <v>74</v>
      </c>
      <c r="AZ186" t="s">
        <v>74</v>
      </c>
      <c r="BA186" t="s">
        <v>74</v>
      </c>
      <c r="BB186" t="s">
        <v>74</v>
      </c>
      <c r="BC186" t="s">
        <v>74</v>
      </c>
      <c r="BD186">
        <v>107894</v>
      </c>
      <c r="BE186" t="s">
        <v>3399</v>
      </c>
      <c r="BF186" t="str">
        <f>HYPERLINK("http://dx.doi.org/10.1016/j.ress.2021.107894","http://dx.doi.org/10.1016/j.ress.2021.107894")</f>
        <v>http://dx.doi.org/10.1016/j.ress.2021.107894</v>
      </c>
      <c r="BG186" t="s">
        <v>74</v>
      </c>
      <c r="BH186" t="s">
        <v>1059</v>
      </c>
      <c r="BI186">
        <v>10</v>
      </c>
      <c r="BJ186" t="s">
        <v>148</v>
      </c>
      <c r="BK186" t="s">
        <v>149</v>
      </c>
      <c r="BL186" t="s">
        <v>150</v>
      </c>
      <c r="BM186" t="s">
        <v>2260</v>
      </c>
      <c r="BN186" t="s">
        <v>74</v>
      </c>
      <c r="BO186" t="s">
        <v>74</v>
      </c>
      <c r="BP186" t="s">
        <v>74</v>
      </c>
      <c r="BQ186" t="s">
        <v>74</v>
      </c>
      <c r="BR186" t="s">
        <v>104</v>
      </c>
      <c r="BS186" t="s">
        <v>3400</v>
      </c>
      <c r="BT186" t="str">
        <f>HYPERLINK("https%3A%2F%2Fwww.webofscience.com%2Fwos%2Fwoscc%2Ffull-record%2FWOS:000690283800079","View Full Record in Web of Science")</f>
        <v>View Full Record in Web of Science</v>
      </c>
    </row>
    <row r="187" spans="1:72" x14ac:dyDescent="0.25">
      <c r="A187" t="s">
        <v>72</v>
      </c>
      <c r="B187" t="s">
        <v>3401</v>
      </c>
      <c r="C187" t="s">
        <v>74</v>
      </c>
      <c r="D187" t="s">
        <v>74</v>
      </c>
      <c r="E187" t="s">
        <v>74</v>
      </c>
      <c r="F187" t="s">
        <v>3402</v>
      </c>
      <c r="G187" t="s">
        <v>74</v>
      </c>
      <c r="H187" t="s">
        <v>74</v>
      </c>
      <c r="I187" t="s">
        <v>3403</v>
      </c>
      <c r="J187" t="s">
        <v>128</v>
      </c>
      <c r="K187" t="s">
        <v>74</v>
      </c>
      <c r="L187" t="s">
        <v>74</v>
      </c>
      <c r="M187" t="s">
        <v>78</v>
      </c>
      <c r="N187" t="s">
        <v>79</v>
      </c>
      <c r="O187" t="s">
        <v>74</v>
      </c>
      <c r="P187" t="s">
        <v>74</v>
      </c>
      <c r="Q187" t="s">
        <v>74</v>
      </c>
      <c r="R187" t="s">
        <v>74</v>
      </c>
      <c r="S187" t="s">
        <v>74</v>
      </c>
      <c r="T187" t="s">
        <v>3404</v>
      </c>
      <c r="U187" t="s">
        <v>3405</v>
      </c>
      <c r="V187" t="s">
        <v>3406</v>
      </c>
      <c r="W187" t="s">
        <v>3407</v>
      </c>
      <c r="X187" t="s">
        <v>3408</v>
      </c>
      <c r="Y187" t="s">
        <v>2613</v>
      </c>
      <c r="Z187" t="s">
        <v>2614</v>
      </c>
      <c r="AA187" t="s">
        <v>2332</v>
      </c>
      <c r="AB187" t="s">
        <v>3409</v>
      </c>
      <c r="AC187" t="s">
        <v>3410</v>
      </c>
      <c r="AD187" t="s">
        <v>3411</v>
      </c>
      <c r="AE187" t="s">
        <v>3412</v>
      </c>
      <c r="AF187" t="s">
        <v>74</v>
      </c>
      <c r="AG187">
        <v>59</v>
      </c>
      <c r="AH187">
        <v>8</v>
      </c>
      <c r="AI187">
        <v>8</v>
      </c>
      <c r="AJ187">
        <v>32</v>
      </c>
      <c r="AK187">
        <v>49</v>
      </c>
      <c r="AL187" t="s">
        <v>138</v>
      </c>
      <c r="AM187" t="s">
        <v>139</v>
      </c>
      <c r="AN187" t="s">
        <v>140</v>
      </c>
      <c r="AO187" t="s">
        <v>141</v>
      </c>
      <c r="AP187" t="s">
        <v>142</v>
      </c>
      <c r="AQ187" t="s">
        <v>74</v>
      </c>
      <c r="AR187" t="s">
        <v>143</v>
      </c>
      <c r="AS187" t="s">
        <v>144</v>
      </c>
      <c r="AT187" t="s">
        <v>559</v>
      </c>
      <c r="AU187">
        <v>2024</v>
      </c>
      <c r="AV187">
        <v>246</v>
      </c>
      <c r="AW187" t="s">
        <v>74</v>
      </c>
      <c r="AX187" t="s">
        <v>74</v>
      </c>
      <c r="AY187" t="s">
        <v>74</v>
      </c>
      <c r="AZ187" t="s">
        <v>74</v>
      </c>
      <c r="BA187" t="s">
        <v>74</v>
      </c>
      <c r="BB187" t="s">
        <v>74</v>
      </c>
      <c r="BC187" t="s">
        <v>74</v>
      </c>
      <c r="BD187">
        <v>110072</v>
      </c>
      <c r="BE187" t="s">
        <v>3413</v>
      </c>
      <c r="BF187" t="str">
        <f>HYPERLINK("http://dx.doi.org/10.1016/j.ress.2024.110072","http://dx.doi.org/10.1016/j.ress.2024.110072")</f>
        <v>http://dx.doi.org/10.1016/j.ress.2024.110072</v>
      </c>
      <c r="BG187" t="s">
        <v>74</v>
      </c>
      <c r="BH187" t="s">
        <v>2003</v>
      </c>
      <c r="BI187">
        <v>13</v>
      </c>
      <c r="BJ187" t="s">
        <v>148</v>
      </c>
      <c r="BK187" t="s">
        <v>149</v>
      </c>
      <c r="BL187" t="s">
        <v>150</v>
      </c>
      <c r="BM187" t="s">
        <v>3414</v>
      </c>
      <c r="BN187" t="s">
        <v>74</v>
      </c>
      <c r="BO187" t="s">
        <v>74</v>
      </c>
      <c r="BP187" t="s">
        <v>74</v>
      </c>
      <c r="BQ187" t="s">
        <v>74</v>
      </c>
      <c r="BR187" t="s">
        <v>104</v>
      </c>
      <c r="BS187" t="s">
        <v>3415</v>
      </c>
      <c r="BT187" t="str">
        <f>HYPERLINK("https%3A%2F%2Fwww.webofscience.com%2Fwos%2Fwoscc%2Ffull-record%2FWOS:001207551500001","View Full Record in Web of Science")</f>
        <v>View Full Record in Web of Science</v>
      </c>
    </row>
    <row r="188" spans="1:72" x14ac:dyDescent="0.25">
      <c r="A188" t="s">
        <v>72</v>
      </c>
      <c r="B188" t="s">
        <v>3416</v>
      </c>
      <c r="C188" t="s">
        <v>74</v>
      </c>
      <c r="D188" t="s">
        <v>74</v>
      </c>
      <c r="E188" t="s">
        <v>74</v>
      </c>
      <c r="F188" t="s">
        <v>3417</v>
      </c>
      <c r="G188" t="s">
        <v>74</v>
      </c>
      <c r="H188" t="s">
        <v>74</v>
      </c>
      <c r="I188" t="s">
        <v>3418</v>
      </c>
      <c r="J188" t="s">
        <v>542</v>
      </c>
      <c r="K188" t="s">
        <v>74</v>
      </c>
      <c r="L188" t="s">
        <v>74</v>
      </c>
      <c r="M188" t="s">
        <v>78</v>
      </c>
      <c r="N188" t="s">
        <v>79</v>
      </c>
      <c r="O188" t="s">
        <v>74</v>
      </c>
      <c r="P188" t="s">
        <v>74</v>
      </c>
      <c r="Q188" t="s">
        <v>74</v>
      </c>
      <c r="R188" t="s">
        <v>74</v>
      </c>
      <c r="S188" t="s">
        <v>74</v>
      </c>
      <c r="T188" t="s">
        <v>3419</v>
      </c>
      <c r="U188" t="s">
        <v>3420</v>
      </c>
      <c r="V188" t="s">
        <v>3421</v>
      </c>
      <c r="W188" t="s">
        <v>3422</v>
      </c>
      <c r="X188" t="s">
        <v>3361</v>
      </c>
      <c r="Y188" t="s">
        <v>3423</v>
      </c>
      <c r="Z188" t="s">
        <v>3424</v>
      </c>
      <c r="AA188" t="s">
        <v>74</v>
      </c>
      <c r="AB188" t="s">
        <v>74</v>
      </c>
      <c r="AC188" t="s">
        <v>3425</v>
      </c>
      <c r="AD188" t="s">
        <v>482</v>
      </c>
      <c r="AE188" t="s">
        <v>3426</v>
      </c>
      <c r="AF188" t="s">
        <v>74</v>
      </c>
      <c r="AG188">
        <v>37</v>
      </c>
      <c r="AH188">
        <v>9</v>
      </c>
      <c r="AI188">
        <v>10</v>
      </c>
      <c r="AJ188">
        <v>1</v>
      </c>
      <c r="AK188">
        <v>35</v>
      </c>
      <c r="AL188" t="s">
        <v>552</v>
      </c>
      <c r="AM188" t="s">
        <v>553</v>
      </c>
      <c r="AN188" t="s">
        <v>554</v>
      </c>
      <c r="AO188" t="s">
        <v>555</v>
      </c>
      <c r="AP188" t="s">
        <v>556</v>
      </c>
      <c r="AQ188" t="s">
        <v>74</v>
      </c>
      <c r="AR188" t="s">
        <v>557</v>
      </c>
      <c r="AS188" t="s">
        <v>558</v>
      </c>
      <c r="AT188" t="s">
        <v>1867</v>
      </c>
      <c r="AU188">
        <v>2020</v>
      </c>
      <c r="AV188">
        <v>234</v>
      </c>
      <c r="AW188">
        <v>2</v>
      </c>
      <c r="AX188" t="s">
        <v>74</v>
      </c>
      <c r="AY188" t="s">
        <v>74</v>
      </c>
      <c r="AZ188" t="s">
        <v>74</v>
      </c>
      <c r="BA188" t="s">
        <v>74</v>
      </c>
      <c r="BB188">
        <v>221</v>
      </c>
      <c r="BC188">
        <v>234</v>
      </c>
      <c r="BD188" t="s">
        <v>3427</v>
      </c>
      <c r="BE188" t="s">
        <v>3428</v>
      </c>
      <c r="BF188" t="str">
        <f>HYPERLINK("http://dx.doi.org/10.1177/1748006X19890739","http://dx.doi.org/10.1177/1748006X19890739")</f>
        <v>http://dx.doi.org/10.1177/1748006X19890739</v>
      </c>
      <c r="BG188" t="s">
        <v>74</v>
      </c>
      <c r="BH188" t="s">
        <v>1704</v>
      </c>
      <c r="BI188">
        <v>14</v>
      </c>
      <c r="BJ188" t="s">
        <v>494</v>
      </c>
      <c r="BK188" t="s">
        <v>149</v>
      </c>
      <c r="BL188" t="s">
        <v>150</v>
      </c>
      <c r="BM188" t="s">
        <v>3429</v>
      </c>
      <c r="BN188" t="s">
        <v>74</v>
      </c>
      <c r="BO188" t="s">
        <v>74</v>
      </c>
      <c r="BP188" t="s">
        <v>74</v>
      </c>
      <c r="BQ188" t="s">
        <v>74</v>
      </c>
      <c r="BR188" t="s">
        <v>104</v>
      </c>
      <c r="BS188" t="s">
        <v>3430</v>
      </c>
      <c r="BT188" t="str">
        <f>HYPERLINK("https%3A%2F%2Fwww.webofscience.com%2Fwos%2Fwoscc%2Ffull-record%2FWOS:000502289300001","View Full Record in Web of Science")</f>
        <v>View Full Record in Web of Science</v>
      </c>
    </row>
    <row r="189" spans="1:72" x14ac:dyDescent="0.25">
      <c r="A189" t="s">
        <v>72</v>
      </c>
      <c r="B189" t="s">
        <v>3431</v>
      </c>
      <c r="C189" t="s">
        <v>74</v>
      </c>
      <c r="D189" t="s">
        <v>74</v>
      </c>
      <c r="E189" t="s">
        <v>74</v>
      </c>
      <c r="F189" t="s">
        <v>3432</v>
      </c>
      <c r="G189" t="s">
        <v>74</v>
      </c>
      <c r="H189" t="s">
        <v>74</v>
      </c>
      <c r="I189" t="s">
        <v>3433</v>
      </c>
      <c r="J189" t="s">
        <v>542</v>
      </c>
      <c r="K189" t="s">
        <v>74</v>
      </c>
      <c r="L189" t="s">
        <v>74</v>
      </c>
      <c r="M189" t="s">
        <v>78</v>
      </c>
      <c r="N189" t="s">
        <v>79</v>
      </c>
      <c r="O189" t="s">
        <v>74</v>
      </c>
      <c r="P189" t="s">
        <v>74</v>
      </c>
      <c r="Q189" t="s">
        <v>74</v>
      </c>
      <c r="R189" t="s">
        <v>74</v>
      </c>
      <c r="S189" t="s">
        <v>74</v>
      </c>
      <c r="T189" t="s">
        <v>3434</v>
      </c>
      <c r="U189" t="s">
        <v>3435</v>
      </c>
      <c r="V189" t="s">
        <v>3436</v>
      </c>
      <c r="W189" t="s">
        <v>3437</v>
      </c>
      <c r="X189" t="s">
        <v>3438</v>
      </c>
      <c r="Y189" t="s">
        <v>3439</v>
      </c>
      <c r="Z189" t="s">
        <v>3440</v>
      </c>
      <c r="AA189" t="s">
        <v>3441</v>
      </c>
      <c r="AB189" t="s">
        <v>3442</v>
      </c>
      <c r="AC189" t="s">
        <v>3443</v>
      </c>
      <c r="AD189" t="s">
        <v>3444</v>
      </c>
      <c r="AE189" t="s">
        <v>3445</v>
      </c>
      <c r="AF189" t="s">
        <v>74</v>
      </c>
      <c r="AG189">
        <v>58</v>
      </c>
      <c r="AH189">
        <v>33</v>
      </c>
      <c r="AI189">
        <v>33</v>
      </c>
      <c r="AJ189">
        <v>5</v>
      </c>
      <c r="AK189">
        <v>53</v>
      </c>
      <c r="AL189" t="s">
        <v>552</v>
      </c>
      <c r="AM189" t="s">
        <v>553</v>
      </c>
      <c r="AN189" t="s">
        <v>554</v>
      </c>
      <c r="AO189" t="s">
        <v>555</v>
      </c>
      <c r="AP189" t="s">
        <v>556</v>
      </c>
      <c r="AQ189" t="s">
        <v>74</v>
      </c>
      <c r="AR189" t="s">
        <v>557</v>
      </c>
      <c r="AS189" t="s">
        <v>558</v>
      </c>
      <c r="AT189" t="s">
        <v>145</v>
      </c>
      <c r="AU189">
        <v>2021</v>
      </c>
      <c r="AV189">
        <v>235</v>
      </c>
      <c r="AW189">
        <v>6</v>
      </c>
      <c r="AX189" t="s">
        <v>74</v>
      </c>
      <c r="AY189" t="s">
        <v>74</v>
      </c>
      <c r="AZ189" t="s">
        <v>74</v>
      </c>
      <c r="BA189" t="s">
        <v>74</v>
      </c>
      <c r="BB189">
        <v>982</v>
      </c>
      <c r="BC189">
        <v>997</v>
      </c>
      <c r="BD189" t="s">
        <v>3446</v>
      </c>
      <c r="BE189" t="s">
        <v>3447</v>
      </c>
      <c r="BF189" t="str">
        <f>HYPERLINK("http://dx.doi.org/10.1177/1748006X211012792","http://dx.doi.org/10.1177/1748006X211012792")</f>
        <v>http://dx.doi.org/10.1177/1748006X211012792</v>
      </c>
      <c r="BG189" t="s">
        <v>74</v>
      </c>
      <c r="BH189" t="s">
        <v>1614</v>
      </c>
      <c r="BI189">
        <v>16</v>
      </c>
      <c r="BJ189" t="s">
        <v>494</v>
      </c>
      <c r="BK189" t="s">
        <v>149</v>
      </c>
      <c r="BL189" t="s">
        <v>150</v>
      </c>
      <c r="BM189" t="s">
        <v>3448</v>
      </c>
      <c r="BN189" t="s">
        <v>74</v>
      </c>
      <c r="BO189" t="s">
        <v>74</v>
      </c>
      <c r="BP189" t="s">
        <v>74</v>
      </c>
      <c r="BQ189" t="s">
        <v>74</v>
      </c>
      <c r="BR189" t="s">
        <v>104</v>
      </c>
      <c r="BS189" t="s">
        <v>3449</v>
      </c>
      <c r="BT189" t="str">
        <f>HYPERLINK("https%3A%2F%2Fwww.webofscience.com%2Fwos%2Fwoscc%2Ffull-record%2FWOS:000651166400001","View Full Record in Web of Science")</f>
        <v>View Full Record in Web of Science</v>
      </c>
    </row>
    <row r="190" spans="1:72" x14ac:dyDescent="0.25">
      <c r="A190" t="s">
        <v>72</v>
      </c>
      <c r="B190" t="s">
        <v>3450</v>
      </c>
      <c r="C190" t="s">
        <v>74</v>
      </c>
      <c r="D190" t="s">
        <v>74</v>
      </c>
      <c r="E190" t="s">
        <v>74</v>
      </c>
      <c r="F190" t="s">
        <v>3451</v>
      </c>
      <c r="G190" t="s">
        <v>74</v>
      </c>
      <c r="H190" t="s">
        <v>74</v>
      </c>
      <c r="I190" t="s">
        <v>3452</v>
      </c>
      <c r="J190" t="s">
        <v>697</v>
      </c>
      <c r="K190" t="s">
        <v>74</v>
      </c>
      <c r="L190" t="s">
        <v>74</v>
      </c>
      <c r="M190" t="s">
        <v>78</v>
      </c>
      <c r="N190" t="s">
        <v>79</v>
      </c>
      <c r="O190" t="s">
        <v>74</v>
      </c>
      <c r="P190" t="s">
        <v>74</v>
      </c>
      <c r="Q190" t="s">
        <v>74</v>
      </c>
      <c r="R190" t="s">
        <v>74</v>
      </c>
      <c r="S190" t="s">
        <v>74</v>
      </c>
      <c r="T190" t="s">
        <v>3453</v>
      </c>
      <c r="U190" t="s">
        <v>3454</v>
      </c>
      <c r="V190" t="s">
        <v>3455</v>
      </c>
      <c r="W190" t="s">
        <v>3456</v>
      </c>
      <c r="X190" t="s">
        <v>3457</v>
      </c>
      <c r="Y190" t="s">
        <v>3458</v>
      </c>
      <c r="Z190" t="s">
        <v>3459</v>
      </c>
      <c r="AA190" t="s">
        <v>74</v>
      </c>
      <c r="AB190" t="s">
        <v>74</v>
      </c>
      <c r="AC190" t="s">
        <v>74</v>
      </c>
      <c r="AD190" t="s">
        <v>74</v>
      </c>
      <c r="AE190" t="s">
        <v>74</v>
      </c>
      <c r="AF190" t="s">
        <v>74</v>
      </c>
      <c r="AG190">
        <v>59</v>
      </c>
      <c r="AH190">
        <v>3</v>
      </c>
      <c r="AI190">
        <v>3</v>
      </c>
      <c r="AJ190">
        <v>1</v>
      </c>
      <c r="AK190">
        <v>11</v>
      </c>
      <c r="AL190" t="s">
        <v>707</v>
      </c>
      <c r="AM190" t="s">
        <v>246</v>
      </c>
      <c r="AN190" t="s">
        <v>708</v>
      </c>
      <c r="AO190" t="s">
        <v>709</v>
      </c>
      <c r="AP190" t="s">
        <v>710</v>
      </c>
      <c r="AQ190" t="s">
        <v>74</v>
      </c>
      <c r="AR190" t="s">
        <v>711</v>
      </c>
      <c r="AS190" t="s">
        <v>712</v>
      </c>
      <c r="AT190" t="s">
        <v>248</v>
      </c>
      <c r="AU190">
        <v>2022</v>
      </c>
      <c r="AV190">
        <v>169</v>
      </c>
      <c r="AW190" t="s">
        <v>74</v>
      </c>
      <c r="AX190" t="s">
        <v>74</v>
      </c>
      <c r="AY190" t="s">
        <v>74</v>
      </c>
      <c r="AZ190" t="s">
        <v>74</v>
      </c>
      <c r="BA190" t="s">
        <v>74</v>
      </c>
      <c r="BB190" t="s">
        <v>74</v>
      </c>
      <c r="BC190" t="s">
        <v>74</v>
      </c>
      <c r="BD190">
        <v>108230</v>
      </c>
      <c r="BE190" t="s">
        <v>3460</v>
      </c>
      <c r="BF190" t="str">
        <f>HYPERLINK("http://dx.doi.org/10.1016/j.cie.2022.108230","http://dx.doi.org/10.1016/j.cie.2022.108230")</f>
        <v>http://dx.doi.org/10.1016/j.cie.2022.108230</v>
      </c>
      <c r="BG190" t="s">
        <v>74</v>
      </c>
      <c r="BH190" t="s">
        <v>581</v>
      </c>
      <c r="BI190">
        <v>13</v>
      </c>
      <c r="BJ190" t="s">
        <v>715</v>
      </c>
      <c r="BK190" t="s">
        <v>149</v>
      </c>
      <c r="BL190" t="s">
        <v>716</v>
      </c>
      <c r="BM190" t="s">
        <v>3461</v>
      </c>
      <c r="BN190" t="s">
        <v>74</v>
      </c>
      <c r="BO190" t="s">
        <v>74</v>
      </c>
      <c r="BP190" t="s">
        <v>74</v>
      </c>
      <c r="BQ190" t="s">
        <v>74</v>
      </c>
      <c r="BR190" t="s">
        <v>104</v>
      </c>
      <c r="BS190" t="s">
        <v>3462</v>
      </c>
      <c r="BT190" t="str">
        <f>HYPERLINK("https%3A%2F%2Fwww.webofscience.com%2Fwos%2Fwoscc%2Ffull-record%2FWOS:000806821500005","View Full Record in Web of Science")</f>
        <v>View Full Record in Web of Science</v>
      </c>
    </row>
    <row r="191" spans="1:72" x14ac:dyDescent="0.25">
      <c r="A191" t="s">
        <v>72</v>
      </c>
      <c r="B191" t="s">
        <v>3463</v>
      </c>
      <c r="C191" t="s">
        <v>74</v>
      </c>
      <c r="D191" t="s">
        <v>74</v>
      </c>
      <c r="E191" t="s">
        <v>74</v>
      </c>
      <c r="F191" t="s">
        <v>3464</v>
      </c>
      <c r="G191" t="s">
        <v>74</v>
      </c>
      <c r="H191" t="s">
        <v>74</v>
      </c>
      <c r="I191" t="s">
        <v>3465</v>
      </c>
      <c r="J191" t="s">
        <v>3466</v>
      </c>
      <c r="K191" t="s">
        <v>74</v>
      </c>
      <c r="L191" t="s">
        <v>74</v>
      </c>
      <c r="M191" t="s">
        <v>78</v>
      </c>
      <c r="N191" t="s">
        <v>79</v>
      </c>
      <c r="O191" t="s">
        <v>74</v>
      </c>
      <c r="P191" t="s">
        <v>74</v>
      </c>
      <c r="Q191" t="s">
        <v>74</v>
      </c>
      <c r="R191" t="s">
        <v>74</v>
      </c>
      <c r="S191" t="s">
        <v>74</v>
      </c>
      <c r="T191" t="s">
        <v>3467</v>
      </c>
      <c r="U191" t="s">
        <v>3468</v>
      </c>
      <c r="V191" t="s">
        <v>3469</v>
      </c>
      <c r="W191" t="s">
        <v>3470</v>
      </c>
      <c r="X191" t="s">
        <v>3471</v>
      </c>
      <c r="Y191" t="s">
        <v>3472</v>
      </c>
      <c r="Z191" t="s">
        <v>3473</v>
      </c>
      <c r="AA191" t="s">
        <v>74</v>
      </c>
      <c r="AB191" t="s">
        <v>3474</v>
      </c>
      <c r="AC191" t="s">
        <v>3475</v>
      </c>
      <c r="AD191" t="s">
        <v>3476</v>
      </c>
      <c r="AE191" t="s">
        <v>3477</v>
      </c>
      <c r="AF191" t="s">
        <v>74</v>
      </c>
      <c r="AG191">
        <v>46</v>
      </c>
      <c r="AH191">
        <v>2</v>
      </c>
      <c r="AI191">
        <v>2</v>
      </c>
      <c r="AJ191">
        <v>4</v>
      </c>
      <c r="AK191">
        <v>7</v>
      </c>
      <c r="AL191" t="s">
        <v>311</v>
      </c>
      <c r="AM191" t="s">
        <v>312</v>
      </c>
      <c r="AN191" t="s">
        <v>313</v>
      </c>
      <c r="AO191" t="s">
        <v>74</v>
      </c>
      <c r="AP191" t="s">
        <v>3478</v>
      </c>
      <c r="AQ191" t="s">
        <v>74</v>
      </c>
      <c r="AR191" t="s">
        <v>3479</v>
      </c>
      <c r="AS191" t="s">
        <v>3480</v>
      </c>
      <c r="AT191" t="s">
        <v>2449</v>
      </c>
      <c r="AU191">
        <v>2024</v>
      </c>
      <c r="AV191">
        <v>12</v>
      </c>
      <c r="AW191">
        <v>1</v>
      </c>
      <c r="AX191" t="s">
        <v>74</v>
      </c>
      <c r="AY191" t="s">
        <v>74</v>
      </c>
      <c r="AZ191" t="s">
        <v>74</v>
      </c>
      <c r="BA191" t="s">
        <v>74</v>
      </c>
      <c r="BB191" t="s">
        <v>74</v>
      </c>
      <c r="BC191" t="s">
        <v>74</v>
      </c>
      <c r="BD191">
        <v>2380723</v>
      </c>
      <c r="BE191" t="s">
        <v>3481</v>
      </c>
      <c r="BF191" t="str">
        <f>HYPERLINK("http://dx.doi.org/10.1080/21693277.2024.2380723","http://dx.doi.org/10.1080/21693277.2024.2380723")</f>
        <v>http://dx.doi.org/10.1080/21693277.2024.2380723</v>
      </c>
      <c r="BG191" t="s">
        <v>74</v>
      </c>
      <c r="BH191" t="s">
        <v>74</v>
      </c>
      <c r="BI191">
        <v>25</v>
      </c>
      <c r="BJ191" t="s">
        <v>100</v>
      </c>
      <c r="BK191" t="s">
        <v>101</v>
      </c>
      <c r="BL191" t="s">
        <v>102</v>
      </c>
      <c r="BM191" t="s">
        <v>3482</v>
      </c>
      <c r="BN191" t="s">
        <v>74</v>
      </c>
      <c r="BO191" t="s">
        <v>208</v>
      </c>
      <c r="BP191" t="s">
        <v>74</v>
      </c>
      <c r="BQ191" t="s">
        <v>74</v>
      </c>
      <c r="BR191" t="s">
        <v>104</v>
      </c>
      <c r="BS191" t="s">
        <v>3483</v>
      </c>
      <c r="BT191" t="str">
        <f>HYPERLINK("https%3A%2F%2Fwww.webofscience.com%2Fwos%2Fwoscc%2Ffull-record%2FWOS:001278654500001","View Full Record in Web of Science")</f>
        <v>View Full Record in Web of Science</v>
      </c>
    </row>
    <row r="192" spans="1:72" x14ac:dyDescent="0.25">
      <c r="A192" t="s">
        <v>72</v>
      </c>
      <c r="B192" t="s">
        <v>3484</v>
      </c>
      <c r="C192" t="s">
        <v>74</v>
      </c>
      <c r="D192" t="s">
        <v>74</v>
      </c>
      <c r="E192" t="s">
        <v>74</v>
      </c>
      <c r="F192" t="s">
        <v>3485</v>
      </c>
      <c r="G192" t="s">
        <v>74</v>
      </c>
      <c r="H192" t="s">
        <v>74</v>
      </c>
      <c r="I192" t="s">
        <v>3486</v>
      </c>
      <c r="J192" t="s">
        <v>1557</v>
      </c>
      <c r="K192" t="s">
        <v>74</v>
      </c>
      <c r="L192" t="s">
        <v>74</v>
      </c>
      <c r="M192" t="s">
        <v>78</v>
      </c>
      <c r="N192" t="s">
        <v>79</v>
      </c>
      <c r="O192" t="s">
        <v>74</v>
      </c>
      <c r="P192" t="s">
        <v>74</v>
      </c>
      <c r="Q192" t="s">
        <v>74</v>
      </c>
      <c r="R192" t="s">
        <v>74</v>
      </c>
      <c r="S192" t="s">
        <v>74</v>
      </c>
      <c r="T192" t="s">
        <v>3487</v>
      </c>
      <c r="U192" t="s">
        <v>3488</v>
      </c>
      <c r="V192" t="s">
        <v>3489</v>
      </c>
      <c r="W192" t="s">
        <v>3490</v>
      </c>
      <c r="X192" t="s">
        <v>3491</v>
      </c>
      <c r="Y192" t="s">
        <v>3492</v>
      </c>
      <c r="Z192" t="s">
        <v>3493</v>
      </c>
      <c r="AA192" t="s">
        <v>74</v>
      </c>
      <c r="AB192" t="s">
        <v>3494</v>
      </c>
      <c r="AC192" t="s">
        <v>74</v>
      </c>
      <c r="AD192" t="s">
        <v>74</v>
      </c>
      <c r="AE192" t="s">
        <v>74</v>
      </c>
      <c r="AF192" t="s">
        <v>74</v>
      </c>
      <c r="AG192">
        <v>58</v>
      </c>
      <c r="AH192">
        <v>8</v>
      </c>
      <c r="AI192">
        <v>8</v>
      </c>
      <c r="AJ192">
        <v>6</v>
      </c>
      <c r="AK192">
        <v>29</v>
      </c>
      <c r="AL192" t="s">
        <v>707</v>
      </c>
      <c r="AM192" t="s">
        <v>246</v>
      </c>
      <c r="AN192" t="s">
        <v>708</v>
      </c>
      <c r="AO192" t="s">
        <v>1569</v>
      </c>
      <c r="AP192" t="s">
        <v>1570</v>
      </c>
      <c r="AQ192" t="s">
        <v>74</v>
      </c>
      <c r="AR192" t="s">
        <v>1571</v>
      </c>
      <c r="AS192" t="s">
        <v>1572</v>
      </c>
      <c r="AT192" t="s">
        <v>318</v>
      </c>
      <c r="AU192">
        <v>2023</v>
      </c>
      <c r="AV192">
        <v>232</v>
      </c>
      <c r="AW192" t="s">
        <v>74</v>
      </c>
      <c r="AX192" t="s">
        <v>74</v>
      </c>
      <c r="AY192" t="s">
        <v>74</v>
      </c>
      <c r="AZ192" t="s">
        <v>74</v>
      </c>
      <c r="BA192" t="s">
        <v>74</v>
      </c>
      <c r="BB192" t="s">
        <v>74</v>
      </c>
      <c r="BC192" t="s">
        <v>74</v>
      </c>
      <c r="BD192">
        <v>120899</v>
      </c>
      <c r="BE192" t="s">
        <v>3495</v>
      </c>
      <c r="BF192" t="str">
        <f>HYPERLINK("http://dx.doi.org/10.1016/j.eswa.2023.120899","http://dx.doi.org/10.1016/j.eswa.2023.120899")</f>
        <v>http://dx.doi.org/10.1016/j.eswa.2023.120899</v>
      </c>
      <c r="BG192" t="s">
        <v>74</v>
      </c>
      <c r="BH192" t="s">
        <v>1155</v>
      </c>
      <c r="BI192">
        <v>12</v>
      </c>
      <c r="BJ192" t="s">
        <v>1575</v>
      </c>
      <c r="BK192" t="s">
        <v>149</v>
      </c>
      <c r="BL192" t="s">
        <v>1576</v>
      </c>
      <c r="BM192" t="s">
        <v>3496</v>
      </c>
      <c r="BN192" t="s">
        <v>74</v>
      </c>
      <c r="BO192" t="s">
        <v>74</v>
      </c>
      <c r="BP192" t="s">
        <v>74</v>
      </c>
      <c r="BQ192" t="s">
        <v>74</v>
      </c>
      <c r="BR192" t="s">
        <v>104</v>
      </c>
      <c r="BS192" t="s">
        <v>3497</v>
      </c>
      <c r="BT192" t="str">
        <f>HYPERLINK("https%3A%2F%2Fwww.webofscience.com%2Fwos%2Fwoscc%2Ffull-record%2FWOS:001037063300001","View Full Record in Web of Science")</f>
        <v>View Full Record in Web of Science</v>
      </c>
    </row>
    <row r="193" spans="1:72" x14ac:dyDescent="0.25">
      <c r="A193" t="s">
        <v>72</v>
      </c>
      <c r="B193" t="s">
        <v>3498</v>
      </c>
      <c r="C193" t="s">
        <v>74</v>
      </c>
      <c r="D193" t="s">
        <v>74</v>
      </c>
      <c r="E193" t="s">
        <v>74</v>
      </c>
      <c r="F193" t="s">
        <v>3499</v>
      </c>
      <c r="G193" t="s">
        <v>74</v>
      </c>
      <c r="H193" t="s">
        <v>74</v>
      </c>
      <c r="I193" t="s">
        <v>3500</v>
      </c>
      <c r="J193" t="s">
        <v>77</v>
      </c>
      <c r="K193" t="s">
        <v>74</v>
      </c>
      <c r="L193" t="s">
        <v>74</v>
      </c>
      <c r="M193" t="s">
        <v>78</v>
      </c>
      <c r="N193" t="s">
        <v>79</v>
      </c>
      <c r="O193" t="s">
        <v>74</v>
      </c>
      <c r="P193" t="s">
        <v>74</v>
      </c>
      <c r="Q193" t="s">
        <v>74</v>
      </c>
      <c r="R193" t="s">
        <v>74</v>
      </c>
      <c r="S193" t="s">
        <v>74</v>
      </c>
      <c r="T193" t="s">
        <v>3501</v>
      </c>
      <c r="U193" t="s">
        <v>3502</v>
      </c>
      <c r="V193" t="s">
        <v>3503</v>
      </c>
      <c r="W193" t="s">
        <v>3504</v>
      </c>
      <c r="X193" t="s">
        <v>3505</v>
      </c>
      <c r="Y193" t="s">
        <v>3506</v>
      </c>
      <c r="Z193" t="s">
        <v>3507</v>
      </c>
      <c r="AA193" t="s">
        <v>3508</v>
      </c>
      <c r="AB193" t="s">
        <v>3509</v>
      </c>
      <c r="AC193" t="s">
        <v>74</v>
      </c>
      <c r="AD193" t="s">
        <v>74</v>
      </c>
      <c r="AE193" t="s">
        <v>74</v>
      </c>
      <c r="AF193" t="s">
        <v>74</v>
      </c>
      <c r="AG193">
        <v>32</v>
      </c>
      <c r="AH193">
        <v>1</v>
      </c>
      <c r="AI193">
        <v>1</v>
      </c>
      <c r="AJ193">
        <v>1</v>
      </c>
      <c r="AK193">
        <v>15</v>
      </c>
      <c r="AL193" t="s">
        <v>90</v>
      </c>
      <c r="AM193" t="s">
        <v>118</v>
      </c>
      <c r="AN193" t="s">
        <v>119</v>
      </c>
      <c r="AO193" t="s">
        <v>93</v>
      </c>
      <c r="AP193" t="s">
        <v>94</v>
      </c>
      <c r="AQ193" t="s">
        <v>74</v>
      </c>
      <c r="AR193" t="s">
        <v>95</v>
      </c>
      <c r="AS193" t="s">
        <v>96</v>
      </c>
      <c r="AT193" t="s">
        <v>292</v>
      </c>
      <c r="AU193">
        <v>2020</v>
      </c>
      <c r="AV193">
        <v>26</v>
      </c>
      <c r="AW193">
        <v>2</v>
      </c>
      <c r="AX193" t="s">
        <v>74</v>
      </c>
      <c r="AY193" t="s">
        <v>74</v>
      </c>
      <c r="AZ193" t="s">
        <v>74</v>
      </c>
      <c r="BA193" t="s">
        <v>74</v>
      </c>
      <c r="BB193">
        <v>198</v>
      </c>
      <c r="BC193">
        <v>212</v>
      </c>
      <c r="BD193" t="s">
        <v>74</v>
      </c>
      <c r="BE193" t="s">
        <v>3510</v>
      </c>
      <c r="BF193" t="str">
        <f>HYPERLINK("http://dx.doi.org/10.1108/JQME-12-2016-0084","http://dx.doi.org/10.1108/JQME-12-2016-0084")</f>
        <v>http://dx.doi.org/10.1108/JQME-12-2016-0084</v>
      </c>
      <c r="BG193" t="s">
        <v>74</v>
      </c>
      <c r="BH193" t="s">
        <v>74</v>
      </c>
      <c r="BI193">
        <v>15</v>
      </c>
      <c r="BJ193" t="s">
        <v>100</v>
      </c>
      <c r="BK193" t="s">
        <v>101</v>
      </c>
      <c r="BL193" t="s">
        <v>102</v>
      </c>
      <c r="BM193" t="s">
        <v>294</v>
      </c>
      <c r="BN193" t="s">
        <v>74</v>
      </c>
      <c r="BO193" t="s">
        <v>74</v>
      </c>
      <c r="BP193" t="s">
        <v>74</v>
      </c>
      <c r="BQ193" t="s">
        <v>74</v>
      </c>
      <c r="BR193" t="s">
        <v>104</v>
      </c>
      <c r="BS193" t="s">
        <v>3511</v>
      </c>
      <c r="BT193" t="str">
        <f>HYPERLINK("https%3A%2F%2Fwww.webofscience.com%2Fwos%2Fwoscc%2Ffull-record%2FWOS:000524879900002","View Full Record in Web of Science")</f>
        <v>View Full Record in Web of Science</v>
      </c>
    </row>
    <row r="194" spans="1:72" x14ac:dyDescent="0.25">
      <c r="A194" t="s">
        <v>72</v>
      </c>
      <c r="B194" t="s">
        <v>3512</v>
      </c>
      <c r="C194" t="s">
        <v>74</v>
      </c>
      <c r="D194" t="s">
        <v>74</v>
      </c>
      <c r="E194" t="s">
        <v>74</v>
      </c>
      <c r="F194" t="s">
        <v>3513</v>
      </c>
      <c r="G194" t="s">
        <v>74</v>
      </c>
      <c r="H194" t="s">
        <v>74</v>
      </c>
      <c r="I194" t="s">
        <v>3514</v>
      </c>
      <c r="J194" t="s">
        <v>128</v>
      </c>
      <c r="K194" t="s">
        <v>74</v>
      </c>
      <c r="L194" t="s">
        <v>74</v>
      </c>
      <c r="M194" t="s">
        <v>78</v>
      </c>
      <c r="N194" t="s">
        <v>79</v>
      </c>
      <c r="O194" t="s">
        <v>74</v>
      </c>
      <c r="P194" t="s">
        <v>74</v>
      </c>
      <c r="Q194" t="s">
        <v>74</v>
      </c>
      <c r="R194" t="s">
        <v>74</v>
      </c>
      <c r="S194" t="s">
        <v>74</v>
      </c>
      <c r="T194" t="s">
        <v>3515</v>
      </c>
      <c r="U194" t="s">
        <v>3516</v>
      </c>
      <c r="V194" t="s">
        <v>3517</v>
      </c>
      <c r="W194" t="s">
        <v>3518</v>
      </c>
      <c r="X194" t="s">
        <v>3519</v>
      </c>
      <c r="Y194" t="s">
        <v>3520</v>
      </c>
      <c r="Z194" t="s">
        <v>806</v>
      </c>
      <c r="AA194" t="s">
        <v>807</v>
      </c>
      <c r="AB194" t="s">
        <v>74</v>
      </c>
      <c r="AC194" t="s">
        <v>3521</v>
      </c>
      <c r="AD194" t="s">
        <v>482</v>
      </c>
      <c r="AE194" t="s">
        <v>3522</v>
      </c>
      <c r="AF194" t="s">
        <v>74</v>
      </c>
      <c r="AG194">
        <v>44</v>
      </c>
      <c r="AH194">
        <v>3</v>
      </c>
      <c r="AI194">
        <v>3</v>
      </c>
      <c r="AJ194">
        <v>7</v>
      </c>
      <c r="AK194">
        <v>10</v>
      </c>
      <c r="AL194" t="s">
        <v>138</v>
      </c>
      <c r="AM194" t="s">
        <v>139</v>
      </c>
      <c r="AN194" t="s">
        <v>140</v>
      </c>
      <c r="AO194" t="s">
        <v>141</v>
      </c>
      <c r="AP194" t="s">
        <v>142</v>
      </c>
      <c r="AQ194" t="s">
        <v>74</v>
      </c>
      <c r="AR194" t="s">
        <v>143</v>
      </c>
      <c r="AS194" t="s">
        <v>144</v>
      </c>
      <c r="AT194" t="s">
        <v>491</v>
      </c>
      <c r="AU194">
        <v>2024</v>
      </c>
      <c r="AV194">
        <v>251</v>
      </c>
      <c r="AW194" t="s">
        <v>74</v>
      </c>
      <c r="AX194" t="s">
        <v>74</v>
      </c>
      <c r="AY194" t="s">
        <v>74</v>
      </c>
      <c r="AZ194" t="s">
        <v>74</v>
      </c>
      <c r="BA194" t="s">
        <v>74</v>
      </c>
      <c r="BB194" t="s">
        <v>74</v>
      </c>
      <c r="BC194" t="s">
        <v>74</v>
      </c>
      <c r="BD194">
        <v>110370</v>
      </c>
      <c r="BE194" t="s">
        <v>3523</v>
      </c>
      <c r="BF194" t="str">
        <f>HYPERLINK("http://dx.doi.org/10.1016/j.ress.2024.110370","http://dx.doi.org/10.1016/j.ress.2024.110370")</f>
        <v>http://dx.doi.org/10.1016/j.ress.2024.110370</v>
      </c>
      <c r="BG194" t="s">
        <v>74</v>
      </c>
      <c r="BH194" t="s">
        <v>493</v>
      </c>
      <c r="BI194">
        <v>13</v>
      </c>
      <c r="BJ194" t="s">
        <v>148</v>
      </c>
      <c r="BK194" t="s">
        <v>149</v>
      </c>
      <c r="BL194" t="s">
        <v>150</v>
      </c>
      <c r="BM194" t="s">
        <v>3524</v>
      </c>
      <c r="BN194" t="s">
        <v>74</v>
      </c>
      <c r="BO194" t="s">
        <v>74</v>
      </c>
      <c r="BP194" t="s">
        <v>74</v>
      </c>
      <c r="BQ194" t="s">
        <v>74</v>
      </c>
      <c r="BR194" t="s">
        <v>104</v>
      </c>
      <c r="BS194" t="s">
        <v>3525</v>
      </c>
      <c r="BT194" t="str">
        <f>HYPERLINK("https%3A%2F%2Fwww.webofscience.com%2Fwos%2Fwoscc%2Ffull-record%2FWOS:001276064000001","View Full Record in Web of Science")</f>
        <v>View Full Record in Web of Science</v>
      </c>
    </row>
    <row r="195" spans="1:72" x14ac:dyDescent="0.25">
      <c r="A195" t="s">
        <v>72</v>
      </c>
      <c r="B195" t="s">
        <v>3526</v>
      </c>
      <c r="C195" t="s">
        <v>74</v>
      </c>
      <c r="D195" t="s">
        <v>74</v>
      </c>
      <c r="E195" t="s">
        <v>74</v>
      </c>
      <c r="F195" t="s">
        <v>3527</v>
      </c>
      <c r="G195" t="s">
        <v>74</v>
      </c>
      <c r="H195" t="s">
        <v>74</v>
      </c>
      <c r="I195" t="s">
        <v>3528</v>
      </c>
      <c r="J195" t="s">
        <v>3529</v>
      </c>
      <c r="K195" t="s">
        <v>74</v>
      </c>
      <c r="L195" t="s">
        <v>74</v>
      </c>
      <c r="M195" t="s">
        <v>78</v>
      </c>
      <c r="N195" t="s">
        <v>79</v>
      </c>
      <c r="O195" t="s">
        <v>74</v>
      </c>
      <c r="P195" t="s">
        <v>74</v>
      </c>
      <c r="Q195" t="s">
        <v>74</v>
      </c>
      <c r="R195" t="s">
        <v>74</v>
      </c>
      <c r="S195" t="s">
        <v>74</v>
      </c>
      <c r="T195" t="s">
        <v>3530</v>
      </c>
      <c r="U195" t="s">
        <v>3531</v>
      </c>
      <c r="V195" t="s">
        <v>3532</v>
      </c>
      <c r="W195" t="s">
        <v>3533</v>
      </c>
      <c r="X195" t="s">
        <v>3534</v>
      </c>
      <c r="Y195" t="s">
        <v>3535</v>
      </c>
      <c r="Z195" t="s">
        <v>3536</v>
      </c>
      <c r="AA195" t="s">
        <v>3537</v>
      </c>
      <c r="AB195" t="s">
        <v>74</v>
      </c>
      <c r="AC195" t="s">
        <v>74</v>
      </c>
      <c r="AD195" t="s">
        <v>74</v>
      </c>
      <c r="AE195" t="s">
        <v>74</v>
      </c>
      <c r="AF195" t="s">
        <v>74</v>
      </c>
      <c r="AG195">
        <v>19</v>
      </c>
      <c r="AH195">
        <v>2</v>
      </c>
      <c r="AI195">
        <v>2</v>
      </c>
      <c r="AJ195">
        <v>1</v>
      </c>
      <c r="AK195">
        <v>4</v>
      </c>
      <c r="AL195" t="s">
        <v>3538</v>
      </c>
      <c r="AM195" t="s">
        <v>3539</v>
      </c>
      <c r="AN195" t="s">
        <v>3540</v>
      </c>
      <c r="AO195" t="s">
        <v>74</v>
      </c>
      <c r="AP195" t="s">
        <v>3541</v>
      </c>
      <c r="AQ195" t="s">
        <v>74</v>
      </c>
      <c r="AR195" t="s">
        <v>3542</v>
      </c>
      <c r="AS195" t="s">
        <v>3543</v>
      </c>
      <c r="AT195" t="s">
        <v>74</v>
      </c>
      <c r="AU195">
        <v>2021</v>
      </c>
      <c r="AV195">
        <v>28</v>
      </c>
      <c r="AW195">
        <v>6</v>
      </c>
      <c r="AX195" t="s">
        <v>74</v>
      </c>
      <c r="AY195" t="s">
        <v>74</v>
      </c>
      <c r="AZ195" t="s">
        <v>74</v>
      </c>
      <c r="BA195" t="s">
        <v>74</v>
      </c>
      <c r="BB195">
        <v>608</v>
      </c>
      <c r="BC195">
        <v>630</v>
      </c>
      <c r="BD195" t="s">
        <v>74</v>
      </c>
      <c r="BE195" t="s">
        <v>74</v>
      </c>
      <c r="BF195" t="s">
        <v>74</v>
      </c>
      <c r="BG195" t="s">
        <v>74</v>
      </c>
      <c r="BH195" t="s">
        <v>74</v>
      </c>
      <c r="BI195">
        <v>23</v>
      </c>
      <c r="BJ195" t="s">
        <v>3544</v>
      </c>
      <c r="BK195" t="s">
        <v>149</v>
      </c>
      <c r="BL195" t="s">
        <v>102</v>
      </c>
      <c r="BM195" t="s">
        <v>3545</v>
      </c>
      <c r="BN195" t="s">
        <v>74</v>
      </c>
      <c r="BO195" t="s">
        <v>74</v>
      </c>
      <c r="BP195" t="s">
        <v>74</v>
      </c>
      <c r="BQ195" t="s">
        <v>74</v>
      </c>
      <c r="BR195" t="s">
        <v>104</v>
      </c>
      <c r="BS195" t="s">
        <v>3546</v>
      </c>
      <c r="BT195" t="str">
        <f>HYPERLINK("https%3A%2F%2Fwww.webofscience.com%2Fwos%2Fwoscc%2Ffull-record%2FWOS:000752942000001","View Full Record in Web of Science")</f>
        <v>View Full Record in Web of Science</v>
      </c>
    </row>
    <row r="196" spans="1:72" x14ac:dyDescent="0.25">
      <c r="A196" t="s">
        <v>72</v>
      </c>
      <c r="B196" t="s">
        <v>3547</v>
      </c>
      <c r="C196" t="s">
        <v>74</v>
      </c>
      <c r="D196" t="s">
        <v>74</v>
      </c>
      <c r="E196" t="s">
        <v>74</v>
      </c>
      <c r="F196" t="s">
        <v>3548</v>
      </c>
      <c r="G196" t="s">
        <v>74</v>
      </c>
      <c r="H196" t="s">
        <v>74</v>
      </c>
      <c r="I196" t="s">
        <v>3549</v>
      </c>
      <c r="J196" t="s">
        <v>697</v>
      </c>
      <c r="K196" t="s">
        <v>74</v>
      </c>
      <c r="L196" t="s">
        <v>74</v>
      </c>
      <c r="M196" t="s">
        <v>78</v>
      </c>
      <c r="N196" t="s">
        <v>79</v>
      </c>
      <c r="O196" t="s">
        <v>74</v>
      </c>
      <c r="P196" t="s">
        <v>74</v>
      </c>
      <c r="Q196" t="s">
        <v>74</v>
      </c>
      <c r="R196" t="s">
        <v>74</v>
      </c>
      <c r="S196" t="s">
        <v>74</v>
      </c>
      <c r="T196" t="s">
        <v>3550</v>
      </c>
      <c r="U196" t="s">
        <v>3551</v>
      </c>
      <c r="V196" t="s">
        <v>3552</v>
      </c>
      <c r="W196" t="s">
        <v>3553</v>
      </c>
      <c r="X196" t="s">
        <v>3554</v>
      </c>
      <c r="Y196" t="s">
        <v>3555</v>
      </c>
      <c r="Z196" t="s">
        <v>2614</v>
      </c>
      <c r="AA196" t="s">
        <v>74</v>
      </c>
      <c r="AB196" t="s">
        <v>74</v>
      </c>
      <c r="AC196" t="s">
        <v>3556</v>
      </c>
      <c r="AD196" t="s">
        <v>3557</v>
      </c>
      <c r="AE196" t="s">
        <v>3558</v>
      </c>
      <c r="AF196" t="s">
        <v>74</v>
      </c>
      <c r="AG196">
        <v>42</v>
      </c>
      <c r="AH196">
        <v>0</v>
      </c>
      <c r="AI196">
        <v>0</v>
      </c>
      <c r="AJ196">
        <v>21</v>
      </c>
      <c r="AK196">
        <v>26</v>
      </c>
      <c r="AL196" t="s">
        <v>707</v>
      </c>
      <c r="AM196" t="s">
        <v>246</v>
      </c>
      <c r="AN196" t="s">
        <v>708</v>
      </c>
      <c r="AO196" t="s">
        <v>709</v>
      </c>
      <c r="AP196" t="s">
        <v>710</v>
      </c>
      <c r="AQ196" t="s">
        <v>74</v>
      </c>
      <c r="AR196" t="s">
        <v>711</v>
      </c>
      <c r="AS196" t="s">
        <v>712</v>
      </c>
      <c r="AT196" t="s">
        <v>248</v>
      </c>
      <c r="AU196">
        <v>2024</v>
      </c>
      <c r="AV196">
        <v>193</v>
      </c>
      <c r="AW196" t="s">
        <v>74</v>
      </c>
      <c r="AX196" t="s">
        <v>74</v>
      </c>
      <c r="AY196" t="s">
        <v>74</v>
      </c>
      <c r="AZ196" t="s">
        <v>74</v>
      </c>
      <c r="BA196" t="s">
        <v>74</v>
      </c>
      <c r="BB196" t="s">
        <v>74</v>
      </c>
      <c r="BC196" t="s">
        <v>74</v>
      </c>
      <c r="BD196">
        <v>110287</v>
      </c>
      <c r="BE196" t="s">
        <v>3559</v>
      </c>
      <c r="BF196" t="str">
        <f>HYPERLINK("http://dx.doi.org/10.1016/j.cie.2024.110287","http://dx.doi.org/10.1016/j.cie.2024.110287")</f>
        <v>http://dx.doi.org/10.1016/j.cie.2024.110287</v>
      </c>
      <c r="BG196" t="s">
        <v>74</v>
      </c>
      <c r="BH196" t="s">
        <v>361</v>
      </c>
      <c r="BI196">
        <v>19</v>
      </c>
      <c r="BJ196" t="s">
        <v>715</v>
      </c>
      <c r="BK196" t="s">
        <v>149</v>
      </c>
      <c r="BL196" t="s">
        <v>716</v>
      </c>
      <c r="BM196" t="s">
        <v>3560</v>
      </c>
      <c r="BN196" t="s">
        <v>74</v>
      </c>
      <c r="BO196" t="s">
        <v>74</v>
      </c>
      <c r="BP196" t="s">
        <v>74</v>
      </c>
      <c r="BQ196" t="s">
        <v>74</v>
      </c>
      <c r="BR196" t="s">
        <v>104</v>
      </c>
      <c r="BS196" t="s">
        <v>3561</v>
      </c>
      <c r="BT196" t="str">
        <f>HYPERLINK("https%3A%2F%2Fwww.webofscience.com%2Fwos%2Fwoscc%2Ffull-record%2FWOS:001259724100001","View Full Record in Web of Science")</f>
        <v>View Full Record in Web of Science</v>
      </c>
    </row>
    <row r="197" spans="1:72" x14ac:dyDescent="0.25">
      <c r="A197" t="s">
        <v>72</v>
      </c>
      <c r="B197" t="s">
        <v>3562</v>
      </c>
      <c r="C197" t="s">
        <v>74</v>
      </c>
      <c r="D197" t="s">
        <v>74</v>
      </c>
      <c r="E197" t="s">
        <v>74</v>
      </c>
      <c r="F197" t="s">
        <v>3563</v>
      </c>
      <c r="G197" t="s">
        <v>74</v>
      </c>
      <c r="H197" t="s">
        <v>74</v>
      </c>
      <c r="I197" t="s">
        <v>3564</v>
      </c>
      <c r="J197" t="s">
        <v>3565</v>
      </c>
      <c r="K197" t="s">
        <v>74</v>
      </c>
      <c r="L197" t="s">
        <v>74</v>
      </c>
      <c r="M197" t="s">
        <v>78</v>
      </c>
      <c r="N197" t="s">
        <v>1083</v>
      </c>
      <c r="O197" t="s">
        <v>74</v>
      </c>
      <c r="P197" t="s">
        <v>74</v>
      </c>
      <c r="Q197" t="s">
        <v>74</v>
      </c>
      <c r="R197" t="s">
        <v>74</v>
      </c>
      <c r="S197" t="s">
        <v>74</v>
      </c>
      <c r="T197" t="s">
        <v>3566</v>
      </c>
      <c r="U197" t="s">
        <v>3567</v>
      </c>
      <c r="V197" t="s">
        <v>3568</v>
      </c>
      <c r="W197" t="s">
        <v>3569</v>
      </c>
      <c r="X197" t="s">
        <v>3570</v>
      </c>
      <c r="Y197" t="s">
        <v>3571</v>
      </c>
      <c r="Z197" t="s">
        <v>3572</v>
      </c>
      <c r="AA197" t="s">
        <v>3573</v>
      </c>
      <c r="AB197" t="s">
        <v>3574</v>
      </c>
      <c r="AC197" t="s">
        <v>3575</v>
      </c>
      <c r="AD197" t="s">
        <v>3576</v>
      </c>
      <c r="AE197" t="s">
        <v>3577</v>
      </c>
      <c r="AF197" t="s">
        <v>74</v>
      </c>
      <c r="AG197">
        <v>46</v>
      </c>
      <c r="AH197">
        <v>1</v>
      </c>
      <c r="AI197">
        <v>1</v>
      </c>
      <c r="AJ197">
        <v>2</v>
      </c>
      <c r="AK197">
        <v>5</v>
      </c>
      <c r="AL197" t="s">
        <v>2421</v>
      </c>
      <c r="AM197" t="s">
        <v>2422</v>
      </c>
      <c r="AN197" t="s">
        <v>2423</v>
      </c>
      <c r="AO197" t="s">
        <v>3578</v>
      </c>
      <c r="AP197" t="s">
        <v>3579</v>
      </c>
      <c r="AQ197" t="s">
        <v>74</v>
      </c>
      <c r="AR197" t="s">
        <v>3580</v>
      </c>
      <c r="AS197" t="s">
        <v>3581</v>
      </c>
      <c r="AT197" t="s">
        <v>3582</v>
      </c>
      <c r="AU197">
        <v>2024</v>
      </c>
      <c r="AV197" t="s">
        <v>74</v>
      </c>
      <c r="AW197" t="s">
        <v>74</v>
      </c>
      <c r="AX197" t="s">
        <v>74</v>
      </c>
      <c r="AY197" t="s">
        <v>74</v>
      </c>
      <c r="AZ197" t="s">
        <v>74</v>
      </c>
      <c r="BA197" t="s">
        <v>74</v>
      </c>
      <c r="BB197" t="s">
        <v>74</v>
      </c>
      <c r="BC197" t="s">
        <v>74</v>
      </c>
      <c r="BD197" t="s">
        <v>74</v>
      </c>
      <c r="BE197" t="s">
        <v>3583</v>
      </c>
      <c r="BF197" t="str">
        <f>HYPERLINK("http://dx.doi.org/10.1007/s10696-024-09544-y","http://dx.doi.org/10.1007/s10696-024-09544-y")</f>
        <v>http://dx.doi.org/10.1007/s10696-024-09544-y</v>
      </c>
      <c r="BG197" t="s">
        <v>74</v>
      </c>
      <c r="BH197" t="s">
        <v>361</v>
      </c>
      <c r="BI197">
        <v>29</v>
      </c>
      <c r="BJ197" t="s">
        <v>321</v>
      </c>
      <c r="BK197" t="s">
        <v>149</v>
      </c>
      <c r="BL197" t="s">
        <v>150</v>
      </c>
      <c r="BM197" t="s">
        <v>3584</v>
      </c>
      <c r="BN197" t="s">
        <v>74</v>
      </c>
      <c r="BO197" t="s">
        <v>123</v>
      </c>
      <c r="BP197" t="s">
        <v>74</v>
      </c>
      <c r="BQ197" t="s">
        <v>74</v>
      </c>
      <c r="BR197" t="s">
        <v>104</v>
      </c>
      <c r="BS197" t="s">
        <v>3585</v>
      </c>
      <c r="BT197" t="str">
        <f>HYPERLINK("https%3A%2F%2Fwww.webofscience.com%2Fwos%2Fwoscc%2Ffull-record%2FWOS:001245992600003","View Full Record in Web of Science")</f>
        <v>View Full Record in Web of Science</v>
      </c>
    </row>
    <row r="198" spans="1:72" x14ac:dyDescent="0.25">
      <c r="A198" t="s">
        <v>72</v>
      </c>
      <c r="B198" t="s">
        <v>3586</v>
      </c>
      <c r="C198" t="s">
        <v>74</v>
      </c>
      <c r="D198" t="s">
        <v>74</v>
      </c>
      <c r="E198" t="s">
        <v>74</v>
      </c>
      <c r="F198" t="s">
        <v>3587</v>
      </c>
      <c r="G198" t="s">
        <v>74</v>
      </c>
      <c r="H198" t="s">
        <v>74</v>
      </c>
      <c r="I198" t="s">
        <v>3588</v>
      </c>
      <c r="J198" t="s">
        <v>128</v>
      </c>
      <c r="K198" t="s">
        <v>74</v>
      </c>
      <c r="L198" t="s">
        <v>74</v>
      </c>
      <c r="M198" t="s">
        <v>78</v>
      </c>
      <c r="N198" t="s">
        <v>79</v>
      </c>
      <c r="O198" t="s">
        <v>74</v>
      </c>
      <c r="P198" t="s">
        <v>74</v>
      </c>
      <c r="Q198" t="s">
        <v>74</v>
      </c>
      <c r="R198" t="s">
        <v>74</v>
      </c>
      <c r="S198" t="s">
        <v>74</v>
      </c>
      <c r="T198" t="s">
        <v>3589</v>
      </c>
      <c r="U198" t="s">
        <v>3590</v>
      </c>
      <c r="V198" t="s">
        <v>3591</v>
      </c>
      <c r="W198" t="s">
        <v>3592</v>
      </c>
      <c r="X198" t="s">
        <v>3593</v>
      </c>
      <c r="Y198" t="s">
        <v>3594</v>
      </c>
      <c r="Z198" t="s">
        <v>3595</v>
      </c>
      <c r="AA198" t="s">
        <v>74</v>
      </c>
      <c r="AB198" t="s">
        <v>74</v>
      </c>
      <c r="AC198" t="s">
        <v>74</v>
      </c>
      <c r="AD198" t="s">
        <v>74</v>
      </c>
      <c r="AE198" t="s">
        <v>74</v>
      </c>
      <c r="AF198" t="s">
        <v>74</v>
      </c>
      <c r="AG198">
        <v>68</v>
      </c>
      <c r="AH198">
        <v>33</v>
      </c>
      <c r="AI198">
        <v>33</v>
      </c>
      <c r="AJ198">
        <v>8</v>
      </c>
      <c r="AK198">
        <v>72</v>
      </c>
      <c r="AL198" t="s">
        <v>138</v>
      </c>
      <c r="AM198" t="s">
        <v>246</v>
      </c>
      <c r="AN198" t="s">
        <v>247</v>
      </c>
      <c r="AO198" t="s">
        <v>141</v>
      </c>
      <c r="AP198" t="s">
        <v>142</v>
      </c>
      <c r="AQ198" t="s">
        <v>74</v>
      </c>
      <c r="AR198" t="s">
        <v>143</v>
      </c>
      <c r="AS198" t="s">
        <v>144</v>
      </c>
      <c r="AT198" t="s">
        <v>1076</v>
      </c>
      <c r="AU198">
        <v>2022</v>
      </c>
      <c r="AV198">
        <v>226</v>
      </c>
      <c r="AW198" t="s">
        <v>74</v>
      </c>
      <c r="AX198" t="s">
        <v>74</v>
      </c>
      <c r="AY198" t="s">
        <v>74</v>
      </c>
      <c r="AZ198" t="s">
        <v>74</v>
      </c>
      <c r="BA198" t="s">
        <v>74</v>
      </c>
      <c r="BB198" t="s">
        <v>74</v>
      </c>
      <c r="BC198" t="s">
        <v>74</v>
      </c>
      <c r="BD198">
        <v>108681</v>
      </c>
      <c r="BE198" t="s">
        <v>3596</v>
      </c>
      <c r="BF198" t="str">
        <f>HYPERLINK("http://dx.doi.org/10.1016/j.ress.2022.108681","http://dx.doi.org/10.1016/j.ress.2022.108681")</f>
        <v>http://dx.doi.org/10.1016/j.ress.2022.108681</v>
      </c>
      <c r="BG198" t="s">
        <v>74</v>
      </c>
      <c r="BH198" t="s">
        <v>3597</v>
      </c>
      <c r="BI198">
        <v>22</v>
      </c>
      <c r="BJ198" t="s">
        <v>148</v>
      </c>
      <c r="BK198" t="s">
        <v>149</v>
      </c>
      <c r="BL198" t="s">
        <v>150</v>
      </c>
      <c r="BM198" t="s">
        <v>3598</v>
      </c>
      <c r="BN198" t="s">
        <v>74</v>
      </c>
      <c r="BO198" t="s">
        <v>74</v>
      </c>
      <c r="BP198" t="s">
        <v>74</v>
      </c>
      <c r="BQ198" t="s">
        <v>74</v>
      </c>
      <c r="BR198" t="s">
        <v>104</v>
      </c>
      <c r="BS198" t="s">
        <v>3599</v>
      </c>
      <c r="BT198" t="str">
        <f>HYPERLINK("https%3A%2F%2Fwww.webofscience.com%2Fwos%2Fwoscc%2Ffull-record%2FWOS:000829034400001","View Full Record in Web of Science")</f>
        <v>View Full Record in Web of Science</v>
      </c>
    </row>
    <row r="199" spans="1:72" x14ac:dyDescent="0.25">
      <c r="A199" t="s">
        <v>72</v>
      </c>
      <c r="B199" t="s">
        <v>3600</v>
      </c>
      <c r="C199" t="s">
        <v>74</v>
      </c>
      <c r="D199" t="s">
        <v>74</v>
      </c>
      <c r="E199" t="s">
        <v>74</v>
      </c>
      <c r="F199" t="s">
        <v>3601</v>
      </c>
      <c r="G199" t="s">
        <v>74</v>
      </c>
      <c r="H199" t="s">
        <v>74</v>
      </c>
      <c r="I199" t="s">
        <v>3602</v>
      </c>
      <c r="J199" t="s">
        <v>1814</v>
      </c>
      <c r="K199" t="s">
        <v>74</v>
      </c>
      <c r="L199" t="s">
        <v>74</v>
      </c>
      <c r="M199" t="s">
        <v>78</v>
      </c>
      <c r="N199" t="s">
        <v>79</v>
      </c>
      <c r="O199" t="s">
        <v>74</v>
      </c>
      <c r="P199" t="s">
        <v>74</v>
      </c>
      <c r="Q199" t="s">
        <v>74</v>
      </c>
      <c r="R199" t="s">
        <v>74</v>
      </c>
      <c r="S199" t="s">
        <v>74</v>
      </c>
      <c r="T199" t="s">
        <v>3603</v>
      </c>
      <c r="U199" t="s">
        <v>3604</v>
      </c>
      <c r="V199" t="s">
        <v>3605</v>
      </c>
      <c r="W199" t="s">
        <v>3606</v>
      </c>
      <c r="X199" t="s">
        <v>3607</v>
      </c>
      <c r="Y199" t="s">
        <v>3608</v>
      </c>
      <c r="Z199" t="s">
        <v>3609</v>
      </c>
      <c r="AA199" t="s">
        <v>3610</v>
      </c>
      <c r="AB199" t="s">
        <v>3611</v>
      </c>
      <c r="AC199" t="s">
        <v>3612</v>
      </c>
      <c r="AD199" t="s">
        <v>3613</v>
      </c>
      <c r="AE199" t="s">
        <v>3614</v>
      </c>
      <c r="AF199" t="s">
        <v>74</v>
      </c>
      <c r="AG199">
        <v>89</v>
      </c>
      <c r="AH199">
        <v>25</v>
      </c>
      <c r="AI199">
        <v>30</v>
      </c>
      <c r="AJ199">
        <v>3</v>
      </c>
      <c r="AK199">
        <v>64</v>
      </c>
      <c r="AL199" t="s">
        <v>509</v>
      </c>
      <c r="AM199" t="s">
        <v>510</v>
      </c>
      <c r="AN199" t="s">
        <v>511</v>
      </c>
      <c r="AO199" t="s">
        <v>1824</v>
      </c>
      <c r="AP199" t="s">
        <v>1825</v>
      </c>
      <c r="AQ199" t="s">
        <v>74</v>
      </c>
      <c r="AR199" t="s">
        <v>1826</v>
      </c>
      <c r="AS199" t="s">
        <v>1827</v>
      </c>
      <c r="AT199" t="s">
        <v>145</v>
      </c>
      <c r="AU199">
        <v>2019</v>
      </c>
      <c r="AV199">
        <v>218</v>
      </c>
      <c r="AW199" t="s">
        <v>74</v>
      </c>
      <c r="AX199" t="s">
        <v>74</v>
      </c>
      <c r="AY199" t="s">
        <v>74</v>
      </c>
      <c r="AZ199" t="s">
        <v>74</v>
      </c>
      <c r="BA199" t="s">
        <v>74</v>
      </c>
      <c r="BB199">
        <v>1</v>
      </c>
      <c r="BC199">
        <v>15</v>
      </c>
      <c r="BD199" t="s">
        <v>74</v>
      </c>
      <c r="BE199" t="s">
        <v>3615</v>
      </c>
      <c r="BF199" t="str">
        <f>HYPERLINK("http://dx.doi.org/10.1016/j.ijpe.2019.04.029","http://dx.doi.org/10.1016/j.ijpe.2019.04.029")</f>
        <v>http://dx.doi.org/10.1016/j.ijpe.2019.04.029</v>
      </c>
      <c r="BG199" t="s">
        <v>74</v>
      </c>
      <c r="BH199" t="s">
        <v>74</v>
      </c>
      <c r="BI199">
        <v>15</v>
      </c>
      <c r="BJ199" t="s">
        <v>321</v>
      </c>
      <c r="BK199" t="s">
        <v>322</v>
      </c>
      <c r="BL199" t="s">
        <v>150</v>
      </c>
      <c r="BM199" t="s">
        <v>3616</v>
      </c>
      <c r="BN199" t="s">
        <v>74</v>
      </c>
      <c r="BO199" t="s">
        <v>1578</v>
      </c>
      <c r="BP199" t="s">
        <v>74</v>
      </c>
      <c r="BQ199" t="s">
        <v>74</v>
      </c>
      <c r="BR199" t="s">
        <v>104</v>
      </c>
      <c r="BS199" t="s">
        <v>3617</v>
      </c>
      <c r="BT199" t="str">
        <f>HYPERLINK("https%3A%2F%2Fwww.webofscience.com%2Fwos%2Fwoscc%2Ffull-record%2FWOS:000500377000001","View Full Record in Web of Science")</f>
        <v>View Full Record in Web of Science</v>
      </c>
    </row>
    <row r="200" spans="1:72" x14ac:dyDescent="0.25">
      <c r="A200" t="s">
        <v>72</v>
      </c>
      <c r="B200" t="s">
        <v>3618</v>
      </c>
      <c r="C200" t="s">
        <v>74</v>
      </c>
      <c r="D200" t="s">
        <v>74</v>
      </c>
      <c r="E200" t="s">
        <v>74</v>
      </c>
      <c r="F200" t="s">
        <v>3619</v>
      </c>
      <c r="G200" t="s">
        <v>74</v>
      </c>
      <c r="H200" t="s">
        <v>74</v>
      </c>
      <c r="I200" t="s">
        <v>3620</v>
      </c>
      <c r="J200" t="s">
        <v>3621</v>
      </c>
      <c r="K200" t="s">
        <v>74</v>
      </c>
      <c r="L200" t="s">
        <v>74</v>
      </c>
      <c r="M200" t="s">
        <v>78</v>
      </c>
      <c r="N200" t="s">
        <v>79</v>
      </c>
      <c r="O200" t="s">
        <v>74</v>
      </c>
      <c r="P200" t="s">
        <v>74</v>
      </c>
      <c r="Q200" t="s">
        <v>74</v>
      </c>
      <c r="R200" t="s">
        <v>74</v>
      </c>
      <c r="S200" t="s">
        <v>74</v>
      </c>
      <c r="T200" t="s">
        <v>3622</v>
      </c>
      <c r="U200" t="s">
        <v>3623</v>
      </c>
      <c r="V200" t="s">
        <v>3624</v>
      </c>
      <c r="W200" t="s">
        <v>3625</v>
      </c>
      <c r="X200" t="s">
        <v>3626</v>
      </c>
      <c r="Y200" t="s">
        <v>3627</v>
      </c>
      <c r="Z200" t="s">
        <v>3628</v>
      </c>
      <c r="AA200" t="s">
        <v>3629</v>
      </c>
      <c r="AB200" t="s">
        <v>3630</v>
      </c>
      <c r="AC200" t="s">
        <v>74</v>
      </c>
      <c r="AD200" t="s">
        <v>74</v>
      </c>
      <c r="AE200" t="s">
        <v>74</v>
      </c>
      <c r="AF200" t="s">
        <v>74</v>
      </c>
      <c r="AG200">
        <v>62</v>
      </c>
      <c r="AH200">
        <v>1</v>
      </c>
      <c r="AI200">
        <v>2</v>
      </c>
      <c r="AJ200">
        <v>7</v>
      </c>
      <c r="AK200">
        <v>24</v>
      </c>
      <c r="AL200" t="s">
        <v>3631</v>
      </c>
      <c r="AM200" t="s">
        <v>3632</v>
      </c>
      <c r="AN200" t="s">
        <v>3633</v>
      </c>
      <c r="AO200" t="s">
        <v>3634</v>
      </c>
      <c r="AP200" t="s">
        <v>3635</v>
      </c>
      <c r="AQ200" t="s">
        <v>74</v>
      </c>
      <c r="AR200" t="s">
        <v>3636</v>
      </c>
      <c r="AS200" t="s">
        <v>3637</v>
      </c>
      <c r="AT200" t="s">
        <v>248</v>
      </c>
      <c r="AU200">
        <v>2023</v>
      </c>
      <c r="AV200">
        <v>25</v>
      </c>
      <c r="AW200">
        <v>5</v>
      </c>
      <c r="AX200" t="s">
        <v>74</v>
      </c>
      <c r="AY200" t="s">
        <v>74</v>
      </c>
      <c r="AZ200" t="s">
        <v>74</v>
      </c>
      <c r="BA200" t="s">
        <v>74</v>
      </c>
      <c r="BB200">
        <v>1795</v>
      </c>
      <c r="BC200">
        <v>1817</v>
      </c>
      <c r="BD200" t="s">
        <v>74</v>
      </c>
      <c r="BE200" t="s">
        <v>3638</v>
      </c>
      <c r="BF200" t="str">
        <f>HYPERLINK("http://dx.doi.org/10.1007/s40815-023-01476-3","http://dx.doi.org/10.1007/s40815-023-01476-3")</f>
        <v>http://dx.doi.org/10.1007/s40815-023-01476-3</v>
      </c>
      <c r="BG200" t="s">
        <v>74</v>
      </c>
      <c r="BH200" t="s">
        <v>1685</v>
      </c>
      <c r="BI200">
        <v>23</v>
      </c>
      <c r="BJ200" t="s">
        <v>3639</v>
      </c>
      <c r="BK200" t="s">
        <v>149</v>
      </c>
      <c r="BL200" t="s">
        <v>3640</v>
      </c>
      <c r="BM200" t="s">
        <v>3641</v>
      </c>
      <c r="BN200" t="s">
        <v>74</v>
      </c>
      <c r="BO200" t="s">
        <v>74</v>
      </c>
      <c r="BP200" t="s">
        <v>74</v>
      </c>
      <c r="BQ200" t="s">
        <v>74</v>
      </c>
      <c r="BR200" t="s">
        <v>104</v>
      </c>
      <c r="BS200" t="s">
        <v>3642</v>
      </c>
      <c r="BT200" t="str">
        <f>HYPERLINK("https%3A%2F%2Fwww.webofscience.com%2Fwos%2Fwoscc%2Ffull-record%2FWOS:000953709200004","View Full Record in Web of Science")</f>
        <v>View Full Record in Web of Science</v>
      </c>
    </row>
    <row r="201" spans="1:72" x14ac:dyDescent="0.25">
      <c r="A201" t="s">
        <v>72</v>
      </c>
      <c r="B201" t="s">
        <v>3643</v>
      </c>
      <c r="C201" t="s">
        <v>74</v>
      </c>
      <c r="D201" t="s">
        <v>74</v>
      </c>
      <c r="E201" t="s">
        <v>74</v>
      </c>
      <c r="F201" t="s">
        <v>3644</v>
      </c>
      <c r="G201" t="s">
        <v>74</v>
      </c>
      <c r="H201" t="s">
        <v>74</v>
      </c>
      <c r="I201" t="s">
        <v>3645</v>
      </c>
      <c r="J201" t="s">
        <v>2969</v>
      </c>
      <c r="K201" t="s">
        <v>74</v>
      </c>
      <c r="L201" t="s">
        <v>74</v>
      </c>
      <c r="M201" t="s">
        <v>78</v>
      </c>
      <c r="N201" t="s">
        <v>79</v>
      </c>
      <c r="O201" t="s">
        <v>74</v>
      </c>
      <c r="P201" t="s">
        <v>74</v>
      </c>
      <c r="Q201" t="s">
        <v>74</v>
      </c>
      <c r="R201" t="s">
        <v>74</v>
      </c>
      <c r="S201" t="s">
        <v>74</v>
      </c>
      <c r="T201" t="s">
        <v>3646</v>
      </c>
      <c r="U201" t="s">
        <v>3647</v>
      </c>
      <c r="V201" t="s">
        <v>3648</v>
      </c>
      <c r="W201" t="s">
        <v>3649</v>
      </c>
      <c r="X201" t="s">
        <v>3650</v>
      </c>
      <c r="Y201" t="s">
        <v>3651</v>
      </c>
      <c r="Z201" t="s">
        <v>3652</v>
      </c>
      <c r="AA201" t="s">
        <v>3653</v>
      </c>
      <c r="AB201" t="s">
        <v>3654</v>
      </c>
      <c r="AC201" t="s">
        <v>74</v>
      </c>
      <c r="AD201" t="s">
        <v>74</v>
      </c>
      <c r="AE201" t="s">
        <v>74</v>
      </c>
      <c r="AF201" t="s">
        <v>74</v>
      </c>
      <c r="AG201">
        <v>67</v>
      </c>
      <c r="AH201">
        <v>19</v>
      </c>
      <c r="AI201">
        <v>19</v>
      </c>
      <c r="AJ201">
        <v>2</v>
      </c>
      <c r="AK201">
        <v>25</v>
      </c>
      <c r="AL201" t="s">
        <v>707</v>
      </c>
      <c r="AM201" t="s">
        <v>246</v>
      </c>
      <c r="AN201" t="s">
        <v>708</v>
      </c>
      <c r="AO201" t="s">
        <v>2979</v>
      </c>
      <c r="AP201" t="s">
        <v>2980</v>
      </c>
      <c r="AQ201" t="s">
        <v>74</v>
      </c>
      <c r="AR201" t="s">
        <v>2981</v>
      </c>
      <c r="AS201" t="s">
        <v>2982</v>
      </c>
      <c r="AT201" t="s">
        <v>248</v>
      </c>
      <c r="AU201">
        <v>2020</v>
      </c>
      <c r="AV201">
        <v>119</v>
      </c>
      <c r="AW201" t="s">
        <v>74</v>
      </c>
      <c r="AX201" t="s">
        <v>74</v>
      </c>
      <c r="AY201" t="s">
        <v>74</v>
      </c>
      <c r="AZ201" t="s">
        <v>74</v>
      </c>
      <c r="BA201" t="s">
        <v>74</v>
      </c>
      <c r="BB201" t="s">
        <v>74</v>
      </c>
      <c r="BC201" t="s">
        <v>74</v>
      </c>
      <c r="BD201">
        <v>104927</v>
      </c>
      <c r="BE201" t="s">
        <v>3655</v>
      </c>
      <c r="BF201" t="str">
        <f>HYPERLINK("http://dx.doi.org/10.1016/j.cor.2020.104927","http://dx.doi.org/10.1016/j.cor.2020.104927")</f>
        <v>http://dx.doi.org/10.1016/j.cor.2020.104927</v>
      </c>
      <c r="BG201" t="s">
        <v>74</v>
      </c>
      <c r="BH201" t="s">
        <v>74</v>
      </c>
      <c r="BI201">
        <v>15</v>
      </c>
      <c r="BJ201" t="s">
        <v>2985</v>
      </c>
      <c r="BK201" t="s">
        <v>149</v>
      </c>
      <c r="BL201" t="s">
        <v>1576</v>
      </c>
      <c r="BM201" t="s">
        <v>3656</v>
      </c>
      <c r="BN201" t="s">
        <v>74</v>
      </c>
      <c r="BO201" t="s">
        <v>400</v>
      </c>
      <c r="BP201" t="s">
        <v>74</v>
      </c>
      <c r="BQ201" t="s">
        <v>74</v>
      </c>
      <c r="BR201" t="s">
        <v>104</v>
      </c>
      <c r="BS201" t="s">
        <v>3657</v>
      </c>
      <c r="BT201" t="str">
        <f>HYPERLINK("https%3A%2F%2Fwww.webofscience.com%2Fwos%2Fwoscc%2Ffull-record%2FWOS:000526116900012","View Full Record in Web of Science")</f>
        <v>View Full Record in Web of Science</v>
      </c>
    </row>
    <row r="202" spans="1:72" x14ac:dyDescent="0.25">
      <c r="A202" t="s">
        <v>72</v>
      </c>
      <c r="B202" t="s">
        <v>3658</v>
      </c>
      <c r="C202" t="s">
        <v>74</v>
      </c>
      <c r="D202" t="s">
        <v>74</v>
      </c>
      <c r="E202" t="s">
        <v>74</v>
      </c>
      <c r="F202" t="s">
        <v>3659</v>
      </c>
      <c r="G202" t="s">
        <v>74</v>
      </c>
      <c r="H202" t="s">
        <v>74</v>
      </c>
      <c r="I202" t="s">
        <v>3660</v>
      </c>
      <c r="J202" t="s">
        <v>1557</v>
      </c>
      <c r="K202" t="s">
        <v>74</v>
      </c>
      <c r="L202" t="s">
        <v>74</v>
      </c>
      <c r="M202" t="s">
        <v>78</v>
      </c>
      <c r="N202" t="s">
        <v>79</v>
      </c>
      <c r="O202" t="s">
        <v>74</v>
      </c>
      <c r="P202" t="s">
        <v>74</v>
      </c>
      <c r="Q202" t="s">
        <v>74</v>
      </c>
      <c r="R202" t="s">
        <v>74</v>
      </c>
      <c r="S202" t="s">
        <v>74</v>
      </c>
      <c r="T202" t="s">
        <v>3661</v>
      </c>
      <c r="U202" t="s">
        <v>3662</v>
      </c>
      <c r="V202" t="s">
        <v>3663</v>
      </c>
      <c r="W202" t="s">
        <v>3664</v>
      </c>
      <c r="X202" t="s">
        <v>3665</v>
      </c>
      <c r="Y202" t="s">
        <v>3666</v>
      </c>
      <c r="Z202" t="s">
        <v>3667</v>
      </c>
      <c r="AA202" t="s">
        <v>3668</v>
      </c>
      <c r="AB202" t="s">
        <v>3669</v>
      </c>
      <c r="AC202" t="s">
        <v>74</v>
      </c>
      <c r="AD202" t="s">
        <v>74</v>
      </c>
      <c r="AE202" t="s">
        <v>74</v>
      </c>
      <c r="AF202" t="s">
        <v>74</v>
      </c>
      <c r="AG202">
        <v>72</v>
      </c>
      <c r="AH202">
        <v>1</v>
      </c>
      <c r="AI202">
        <v>1</v>
      </c>
      <c r="AJ202">
        <v>1</v>
      </c>
      <c r="AK202">
        <v>18</v>
      </c>
      <c r="AL202" t="s">
        <v>707</v>
      </c>
      <c r="AM202" t="s">
        <v>246</v>
      </c>
      <c r="AN202" t="s">
        <v>708</v>
      </c>
      <c r="AO202" t="s">
        <v>1569</v>
      </c>
      <c r="AP202" t="s">
        <v>1570</v>
      </c>
      <c r="AQ202" t="s">
        <v>74</v>
      </c>
      <c r="AR202" t="s">
        <v>1571</v>
      </c>
      <c r="AS202" t="s">
        <v>1572</v>
      </c>
      <c r="AT202" t="s">
        <v>3670</v>
      </c>
      <c r="AU202">
        <v>2021</v>
      </c>
      <c r="AV202">
        <v>180</v>
      </c>
      <c r="AW202" t="s">
        <v>74</v>
      </c>
      <c r="AX202" t="s">
        <v>74</v>
      </c>
      <c r="AY202" t="s">
        <v>74</v>
      </c>
      <c r="AZ202" t="s">
        <v>74</v>
      </c>
      <c r="BA202" t="s">
        <v>74</v>
      </c>
      <c r="BB202" t="s">
        <v>74</v>
      </c>
      <c r="BC202" t="s">
        <v>74</v>
      </c>
      <c r="BD202">
        <v>114846</v>
      </c>
      <c r="BE202" t="s">
        <v>3671</v>
      </c>
      <c r="BF202" t="str">
        <f>HYPERLINK("http://dx.doi.org/10.1016/j.eswa.2021.114846","http://dx.doi.org/10.1016/j.eswa.2021.114846")</f>
        <v>http://dx.doi.org/10.1016/j.eswa.2021.114846</v>
      </c>
      <c r="BG202" t="s">
        <v>74</v>
      </c>
      <c r="BH202" t="s">
        <v>1614</v>
      </c>
      <c r="BI202">
        <v>25</v>
      </c>
      <c r="BJ202" t="s">
        <v>1575</v>
      </c>
      <c r="BK202" t="s">
        <v>322</v>
      </c>
      <c r="BL202" t="s">
        <v>1576</v>
      </c>
      <c r="BM202" t="s">
        <v>3672</v>
      </c>
      <c r="BN202" t="s">
        <v>74</v>
      </c>
      <c r="BO202" t="s">
        <v>74</v>
      </c>
      <c r="BP202" t="s">
        <v>74</v>
      </c>
      <c r="BQ202" t="s">
        <v>74</v>
      </c>
      <c r="BR202" t="s">
        <v>104</v>
      </c>
      <c r="BS202" t="s">
        <v>3673</v>
      </c>
      <c r="BT202" t="str">
        <f>HYPERLINK("https%3A%2F%2Fwww.webofscience.com%2Fwos%2Fwoscc%2Ffull-record%2FWOS:000732710500010","View Full Record in Web of Science")</f>
        <v>View Full Record in Web of Science</v>
      </c>
    </row>
    <row r="203" spans="1:72" x14ac:dyDescent="0.25">
      <c r="A203" t="s">
        <v>72</v>
      </c>
      <c r="B203" t="s">
        <v>3674</v>
      </c>
      <c r="C203" t="s">
        <v>74</v>
      </c>
      <c r="D203" t="s">
        <v>74</v>
      </c>
      <c r="E203" t="s">
        <v>74</v>
      </c>
      <c r="F203" t="s">
        <v>3675</v>
      </c>
      <c r="G203" t="s">
        <v>74</v>
      </c>
      <c r="H203" t="s">
        <v>74</v>
      </c>
      <c r="I203" t="s">
        <v>3676</v>
      </c>
      <c r="J203" t="s">
        <v>697</v>
      </c>
      <c r="K203" t="s">
        <v>74</v>
      </c>
      <c r="L203" t="s">
        <v>74</v>
      </c>
      <c r="M203" t="s">
        <v>78</v>
      </c>
      <c r="N203" t="s">
        <v>79</v>
      </c>
      <c r="O203" t="s">
        <v>74</v>
      </c>
      <c r="P203" t="s">
        <v>74</v>
      </c>
      <c r="Q203" t="s">
        <v>74</v>
      </c>
      <c r="R203" t="s">
        <v>74</v>
      </c>
      <c r="S203" t="s">
        <v>74</v>
      </c>
      <c r="T203" t="s">
        <v>3677</v>
      </c>
      <c r="U203" t="s">
        <v>3678</v>
      </c>
      <c r="V203" t="s">
        <v>3679</v>
      </c>
      <c r="W203" t="s">
        <v>3680</v>
      </c>
      <c r="X203" t="s">
        <v>3681</v>
      </c>
      <c r="Y203" t="s">
        <v>3332</v>
      </c>
      <c r="Z203" t="s">
        <v>3682</v>
      </c>
      <c r="AA203" t="s">
        <v>3683</v>
      </c>
      <c r="AB203" t="s">
        <v>3684</v>
      </c>
      <c r="AC203" t="s">
        <v>3685</v>
      </c>
      <c r="AD203" t="s">
        <v>3686</v>
      </c>
      <c r="AE203" t="s">
        <v>3687</v>
      </c>
      <c r="AF203" t="s">
        <v>74</v>
      </c>
      <c r="AG203">
        <v>44</v>
      </c>
      <c r="AH203">
        <v>3</v>
      </c>
      <c r="AI203">
        <v>3</v>
      </c>
      <c r="AJ203">
        <v>12</v>
      </c>
      <c r="AK203">
        <v>21</v>
      </c>
      <c r="AL203" t="s">
        <v>707</v>
      </c>
      <c r="AM203" t="s">
        <v>246</v>
      </c>
      <c r="AN203" t="s">
        <v>708</v>
      </c>
      <c r="AO203" t="s">
        <v>709</v>
      </c>
      <c r="AP203" t="s">
        <v>710</v>
      </c>
      <c r="AQ203" t="s">
        <v>74</v>
      </c>
      <c r="AR203" t="s">
        <v>711</v>
      </c>
      <c r="AS203" t="s">
        <v>712</v>
      </c>
      <c r="AT203" t="s">
        <v>1202</v>
      </c>
      <c r="AU203">
        <v>2024</v>
      </c>
      <c r="AV203">
        <v>191</v>
      </c>
      <c r="AW203" t="s">
        <v>74</v>
      </c>
      <c r="AX203" t="s">
        <v>74</v>
      </c>
      <c r="AY203" t="s">
        <v>74</v>
      </c>
      <c r="AZ203" t="s">
        <v>74</v>
      </c>
      <c r="BA203" t="s">
        <v>74</v>
      </c>
      <c r="BB203" t="s">
        <v>74</v>
      </c>
      <c r="BC203" t="s">
        <v>74</v>
      </c>
      <c r="BD203">
        <v>110118</v>
      </c>
      <c r="BE203" t="s">
        <v>3688</v>
      </c>
      <c r="BF203" t="str">
        <f>HYPERLINK("http://dx.doi.org/10.1016/j.cie.2024.110118","http://dx.doi.org/10.1016/j.cie.2024.110118")</f>
        <v>http://dx.doi.org/10.1016/j.cie.2024.110118</v>
      </c>
      <c r="BG203" t="s">
        <v>74</v>
      </c>
      <c r="BH203" t="s">
        <v>2039</v>
      </c>
      <c r="BI203">
        <v>21</v>
      </c>
      <c r="BJ203" t="s">
        <v>715</v>
      </c>
      <c r="BK203" t="s">
        <v>149</v>
      </c>
      <c r="BL203" t="s">
        <v>716</v>
      </c>
      <c r="BM203" t="s">
        <v>3689</v>
      </c>
      <c r="BN203" t="s">
        <v>74</v>
      </c>
      <c r="BO203" t="s">
        <v>74</v>
      </c>
      <c r="BP203" t="s">
        <v>74</v>
      </c>
      <c r="BQ203" t="s">
        <v>74</v>
      </c>
      <c r="BR203" t="s">
        <v>104</v>
      </c>
      <c r="BS203" t="s">
        <v>3690</v>
      </c>
      <c r="BT203" t="str">
        <f>HYPERLINK("https%3A%2F%2Fwww.webofscience.com%2Fwos%2Fwoscc%2Ffull-record%2FWOS:001227344000001","View Full Record in Web of Science")</f>
        <v>View Full Record in Web of Science</v>
      </c>
    </row>
    <row r="204" spans="1:72" x14ac:dyDescent="0.25">
      <c r="A204" t="s">
        <v>72</v>
      </c>
      <c r="B204" t="s">
        <v>3691</v>
      </c>
      <c r="C204" t="s">
        <v>74</v>
      </c>
      <c r="D204" t="s">
        <v>74</v>
      </c>
      <c r="E204" t="s">
        <v>74</v>
      </c>
      <c r="F204" t="s">
        <v>3692</v>
      </c>
      <c r="G204" t="s">
        <v>74</v>
      </c>
      <c r="H204" t="s">
        <v>74</v>
      </c>
      <c r="I204" t="s">
        <v>3693</v>
      </c>
      <c r="J204" t="s">
        <v>1894</v>
      </c>
      <c r="K204" t="s">
        <v>74</v>
      </c>
      <c r="L204" t="s">
        <v>74</v>
      </c>
      <c r="M204" t="s">
        <v>78</v>
      </c>
      <c r="N204" t="s">
        <v>79</v>
      </c>
      <c r="O204" t="s">
        <v>74</v>
      </c>
      <c r="P204" t="s">
        <v>74</v>
      </c>
      <c r="Q204" t="s">
        <v>74</v>
      </c>
      <c r="R204" t="s">
        <v>74</v>
      </c>
      <c r="S204" t="s">
        <v>74</v>
      </c>
      <c r="T204" t="s">
        <v>3694</v>
      </c>
      <c r="U204" t="s">
        <v>3695</v>
      </c>
      <c r="V204" t="s">
        <v>3696</v>
      </c>
      <c r="W204" t="s">
        <v>3697</v>
      </c>
      <c r="X204" t="s">
        <v>3698</v>
      </c>
      <c r="Y204" t="s">
        <v>3699</v>
      </c>
      <c r="Z204" t="s">
        <v>3700</v>
      </c>
      <c r="AA204" t="s">
        <v>3701</v>
      </c>
      <c r="AB204" t="s">
        <v>3702</v>
      </c>
      <c r="AC204" t="s">
        <v>3703</v>
      </c>
      <c r="AD204" t="s">
        <v>3704</v>
      </c>
      <c r="AE204" t="s">
        <v>3705</v>
      </c>
      <c r="AF204" t="s">
        <v>74</v>
      </c>
      <c r="AG204">
        <v>39</v>
      </c>
      <c r="AH204">
        <v>22</v>
      </c>
      <c r="AI204">
        <v>23</v>
      </c>
      <c r="AJ204">
        <v>4</v>
      </c>
      <c r="AK204">
        <v>35</v>
      </c>
      <c r="AL204" t="s">
        <v>138</v>
      </c>
      <c r="AM204" t="s">
        <v>246</v>
      </c>
      <c r="AN204" t="s">
        <v>247</v>
      </c>
      <c r="AO204" t="s">
        <v>1903</v>
      </c>
      <c r="AP204" t="s">
        <v>1904</v>
      </c>
      <c r="AQ204" t="s">
        <v>74</v>
      </c>
      <c r="AR204" t="s">
        <v>1905</v>
      </c>
      <c r="AS204" t="s">
        <v>1906</v>
      </c>
      <c r="AT204" t="s">
        <v>248</v>
      </c>
      <c r="AU204">
        <v>2021</v>
      </c>
      <c r="AV204">
        <v>60</v>
      </c>
      <c r="AW204" t="s">
        <v>74</v>
      </c>
      <c r="AX204" t="s">
        <v>74</v>
      </c>
      <c r="AY204" t="s">
        <v>74</v>
      </c>
      <c r="AZ204" t="s">
        <v>74</v>
      </c>
      <c r="BA204" t="s">
        <v>74</v>
      </c>
      <c r="BB204">
        <v>585</v>
      </c>
      <c r="BC204">
        <v>607</v>
      </c>
      <c r="BD204" t="s">
        <v>74</v>
      </c>
      <c r="BE204" t="s">
        <v>3706</v>
      </c>
      <c r="BF204" t="str">
        <f>HYPERLINK("http://dx.doi.org/10.1016/j.jmsy.2021.07.018","http://dx.doi.org/10.1016/j.jmsy.2021.07.018")</f>
        <v>http://dx.doi.org/10.1016/j.jmsy.2021.07.018</v>
      </c>
      <c r="BG204" t="s">
        <v>74</v>
      </c>
      <c r="BH204" t="s">
        <v>1059</v>
      </c>
      <c r="BI204">
        <v>23</v>
      </c>
      <c r="BJ204" t="s">
        <v>321</v>
      </c>
      <c r="BK204" t="s">
        <v>149</v>
      </c>
      <c r="BL204" t="s">
        <v>150</v>
      </c>
      <c r="BM204" t="s">
        <v>3707</v>
      </c>
      <c r="BN204" t="s">
        <v>74</v>
      </c>
      <c r="BO204" t="s">
        <v>74</v>
      </c>
      <c r="BP204" t="s">
        <v>74</v>
      </c>
      <c r="BQ204" t="s">
        <v>74</v>
      </c>
      <c r="BR204" t="s">
        <v>104</v>
      </c>
      <c r="BS204" t="s">
        <v>3708</v>
      </c>
      <c r="BT204" t="str">
        <f>HYPERLINK("https%3A%2F%2Fwww.webofscience.com%2Fwos%2Fwoscc%2Ffull-record%2FWOS:000690869100003","View Full Record in Web of Science")</f>
        <v>View Full Record in Web of Science</v>
      </c>
    </row>
    <row r="205" spans="1:72" x14ac:dyDescent="0.25">
      <c r="A205" t="s">
        <v>72</v>
      </c>
      <c r="B205" t="s">
        <v>3709</v>
      </c>
      <c r="C205" t="s">
        <v>74</v>
      </c>
      <c r="D205" t="s">
        <v>74</v>
      </c>
      <c r="E205" t="s">
        <v>74</v>
      </c>
      <c r="F205" t="s">
        <v>3710</v>
      </c>
      <c r="G205" t="s">
        <v>74</v>
      </c>
      <c r="H205" t="s">
        <v>74</v>
      </c>
      <c r="I205" t="s">
        <v>3711</v>
      </c>
      <c r="J205" t="s">
        <v>128</v>
      </c>
      <c r="K205" t="s">
        <v>74</v>
      </c>
      <c r="L205" t="s">
        <v>74</v>
      </c>
      <c r="M205" t="s">
        <v>78</v>
      </c>
      <c r="N205" t="s">
        <v>79</v>
      </c>
      <c r="O205" t="s">
        <v>74</v>
      </c>
      <c r="P205" t="s">
        <v>74</v>
      </c>
      <c r="Q205" t="s">
        <v>74</v>
      </c>
      <c r="R205" t="s">
        <v>74</v>
      </c>
      <c r="S205" t="s">
        <v>74</v>
      </c>
      <c r="T205" t="s">
        <v>3712</v>
      </c>
      <c r="U205" t="s">
        <v>74</v>
      </c>
      <c r="V205" t="s">
        <v>3713</v>
      </c>
      <c r="W205" t="s">
        <v>3714</v>
      </c>
      <c r="X205" t="s">
        <v>3715</v>
      </c>
      <c r="Y205" t="s">
        <v>3716</v>
      </c>
      <c r="Z205" t="s">
        <v>3717</v>
      </c>
      <c r="AA205" t="s">
        <v>74</v>
      </c>
      <c r="AB205" t="s">
        <v>3718</v>
      </c>
      <c r="AC205" t="s">
        <v>3719</v>
      </c>
      <c r="AD205" t="s">
        <v>3720</v>
      </c>
      <c r="AE205" t="s">
        <v>3721</v>
      </c>
      <c r="AF205" t="s">
        <v>74</v>
      </c>
      <c r="AG205">
        <v>37</v>
      </c>
      <c r="AH205">
        <v>2</v>
      </c>
      <c r="AI205">
        <v>2</v>
      </c>
      <c r="AJ205">
        <v>14</v>
      </c>
      <c r="AK205">
        <v>21</v>
      </c>
      <c r="AL205" t="s">
        <v>138</v>
      </c>
      <c r="AM205" t="s">
        <v>139</v>
      </c>
      <c r="AN205" t="s">
        <v>140</v>
      </c>
      <c r="AO205" t="s">
        <v>141</v>
      </c>
      <c r="AP205" t="s">
        <v>142</v>
      </c>
      <c r="AQ205" t="s">
        <v>74</v>
      </c>
      <c r="AR205" t="s">
        <v>143</v>
      </c>
      <c r="AS205" t="s">
        <v>144</v>
      </c>
      <c r="AT205" t="s">
        <v>491</v>
      </c>
      <c r="AU205">
        <v>2024</v>
      </c>
      <c r="AV205">
        <v>251</v>
      </c>
      <c r="AW205" t="s">
        <v>74</v>
      </c>
      <c r="AX205" t="s">
        <v>74</v>
      </c>
      <c r="AY205" t="s">
        <v>74</v>
      </c>
      <c r="AZ205" t="s">
        <v>74</v>
      </c>
      <c r="BA205" t="s">
        <v>74</v>
      </c>
      <c r="BB205" t="s">
        <v>74</v>
      </c>
      <c r="BC205" t="s">
        <v>74</v>
      </c>
      <c r="BD205">
        <v>110402</v>
      </c>
      <c r="BE205" t="s">
        <v>3722</v>
      </c>
      <c r="BF205" t="str">
        <f>HYPERLINK("http://dx.doi.org/10.1016/j.ress.2024.110402","http://dx.doi.org/10.1016/j.ress.2024.110402")</f>
        <v>http://dx.doi.org/10.1016/j.ress.2024.110402</v>
      </c>
      <c r="BG205" t="s">
        <v>74</v>
      </c>
      <c r="BH205" t="s">
        <v>989</v>
      </c>
      <c r="BI205">
        <v>13</v>
      </c>
      <c r="BJ205" t="s">
        <v>148</v>
      </c>
      <c r="BK205" t="s">
        <v>149</v>
      </c>
      <c r="BL205" t="s">
        <v>150</v>
      </c>
      <c r="BM205" t="s">
        <v>3723</v>
      </c>
      <c r="BN205" t="s">
        <v>74</v>
      </c>
      <c r="BO205" t="s">
        <v>74</v>
      </c>
      <c r="BP205" t="s">
        <v>74</v>
      </c>
      <c r="BQ205" t="s">
        <v>74</v>
      </c>
      <c r="BR205" t="s">
        <v>104</v>
      </c>
      <c r="BS205" t="s">
        <v>3724</v>
      </c>
      <c r="BT205" t="str">
        <f>HYPERLINK("https%3A%2F%2Fwww.webofscience.com%2Fwos%2Fwoscc%2Ffull-record%2FWOS:001288009100001","View Full Record in Web of Science")</f>
        <v>View Full Record in Web of Science</v>
      </c>
    </row>
    <row r="206" spans="1:72" x14ac:dyDescent="0.25">
      <c r="A206" t="s">
        <v>72</v>
      </c>
      <c r="B206" t="s">
        <v>3725</v>
      </c>
      <c r="C206" t="s">
        <v>74</v>
      </c>
      <c r="D206" t="s">
        <v>74</v>
      </c>
      <c r="E206" t="s">
        <v>74</v>
      </c>
      <c r="F206" t="s">
        <v>3726</v>
      </c>
      <c r="G206" t="s">
        <v>74</v>
      </c>
      <c r="H206" t="s">
        <v>74</v>
      </c>
      <c r="I206" t="s">
        <v>3727</v>
      </c>
      <c r="J206" t="s">
        <v>128</v>
      </c>
      <c r="K206" t="s">
        <v>74</v>
      </c>
      <c r="L206" t="s">
        <v>74</v>
      </c>
      <c r="M206" t="s">
        <v>78</v>
      </c>
      <c r="N206" t="s">
        <v>79</v>
      </c>
      <c r="O206" t="s">
        <v>74</v>
      </c>
      <c r="P206" t="s">
        <v>74</v>
      </c>
      <c r="Q206" t="s">
        <v>74</v>
      </c>
      <c r="R206" t="s">
        <v>74</v>
      </c>
      <c r="S206" t="s">
        <v>74</v>
      </c>
      <c r="T206" t="s">
        <v>3728</v>
      </c>
      <c r="U206" t="s">
        <v>3729</v>
      </c>
      <c r="V206" t="s">
        <v>3730</v>
      </c>
      <c r="W206" t="s">
        <v>3731</v>
      </c>
      <c r="X206" t="s">
        <v>3732</v>
      </c>
      <c r="Y206" t="s">
        <v>2810</v>
      </c>
      <c r="Z206" t="s">
        <v>2811</v>
      </c>
      <c r="AA206" t="s">
        <v>3733</v>
      </c>
      <c r="AB206" t="s">
        <v>3734</v>
      </c>
      <c r="AC206" t="s">
        <v>74</v>
      </c>
      <c r="AD206" t="s">
        <v>74</v>
      </c>
      <c r="AE206" t="s">
        <v>74</v>
      </c>
      <c r="AF206" t="s">
        <v>74</v>
      </c>
      <c r="AG206">
        <v>41</v>
      </c>
      <c r="AH206">
        <v>12</v>
      </c>
      <c r="AI206">
        <v>12</v>
      </c>
      <c r="AJ206">
        <v>16</v>
      </c>
      <c r="AK206">
        <v>50</v>
      </c>
      <c r="AL206" t="s">
        <v>138</v>
      </c>
      <c r="AM206" t="s">
        <v>139</v>
      </c>
      <c r="AN206" t="s">
        <v>140</v>
      </c>
      <c r="AO206" t="s">
        <v>141</v>
      </c>
      <c r="AP206" t="s">
        <v>142</v>
      </c>
      <c r="AQ206" t="s">
        <v>74</v>
      </c>
      <c r="AR206" t="s">
        <v>143</v>
      </c>
      <c r="AS206" t="s">
        <v>144</v>
      </c>
      <c r="AT206" t="s">
        <v>1008</v>
      </c>
      <c r="AU206">
        <v>2024</v>
      </c>
      <c r="AV206">
        <v>241</v>
      </c>
      <c r="AW206" t="s">
        <v>74</v>
      </c>
      <c r="AX206" t="s">
        <v>74</v>
      </c>
      <c r="AY206" t="s">
        <v>74</v>
      </c>
      <c r="AZ206" t="s">
        <v>74</v>
      </c>
      <c r="BA206" t="s">
        <v>74</v>
      </c>
      <c r="BB206" t="s">
        <v>74</v>
      </c>
      <c r="BC206" t="s">
        <v>74</v>
      </c>
      <c r="BD206">
        <v>109694</v>
      </c>
      <c r="BE206" t="s">
        <v>3735</v>
      </c>
      <c r="BF206" t="str">
        <f>HYPERLINK("http://dx.doi.org/10.1016/j.ress.2023.109694","http://dx.doi.org/10.1016/j.ress.2023.109694")</f>
        <v>http://dx.doi.org/10.1016/j.ress.2023.109694</v>
      </c>
      <c r="BG206" t="s">
        <v>74</v>
      </c>
      <c r="BH206" t="s">
        <v>846</v>
      </c>
      <c r="BI206">
        <v>9</v>
      </c>
      <c r="BJ206" t="s">
        <v>148</v>
      </c>
      <c r="BK206" t="s">
        <v>149</v>
      </c>
      <c r="BL206" t="s">
        <v>150</v>
      </c>
      <c r="BM206" t="s">
        <v>3736</v>
      </c>
      <c r="BN206" t="s">
        <v>74</v>
      </c>
      <c r="BO206" t="s">
        <v>74</v>
      </c>
      <c r="BP206" t="s">
        <v>74</v>
      </c>
      <c r="BQ206" t="s">
        <v>74</v>
      </c>
      <c r="BR206" t="s">
        <v>104</v>
      </c>
      <c r="BS206" t="s">
        <v>3737</v>
      </c>
      <c r="BT206" t="str">
        <f>HYPERLINK("https%3A%2F%2Fwww.webofscience.com%2Fwos%2Fwoscc%2Ffull-record%2FWOS:001159085600001","View Full Record in Web of Science")</f>
        <v>View Full Record in Web of Science</v>
      </c>
    </row>
    <row r="207" spans="1:72" x14ac:dyDescent="0.25">
      <c r="A207" t="s">
        <v>72</v>
      </c>
      <c r="B207" t="s">
        <v>3738</v>
      </c>
      <c r="C207" t="s">
        <v>74</v>
      </c>
      <c r="D207" t="s">
        <v>74</v>
      </c>
      <c r="E207" t="s">
        <v>74</v>
      </c>
      <c r="F207" t="s">
        <v>3739</v>
      </c>
      <c r="G207" t="s">
        <v>74</v>
      </c>
      <c r="H207" t="s">
        <v>74</v>
      </c>
      <c r="I207" t="s">
        <v>3740</v>
      </c>
      <c r="J207" t="s">
        <v>1894</v>
      </c>
      <c r="K207" t="s">
        <v>74</v>
      </c>
      <c r="L207" t="s">
        <v>74</v>
      </c>
      <c r="M207" t="s">
        <v>78</v>
      </c>
      <c r="N207" t="s">
        <v>79</v>
      </c>
      <c r="O207" t="s">
        <v>74</v>
      </c>
      <c r="P207" t="s">
        <v>74</v>
      </c>
      <c r="Q207" t="s">
        <v>74</v>
      </c>
      <c r="R207" t="s">
        <v>74</v>
      </c>
      <c r="S207" t="s">
        <v>74</v>
      </c>
      <c r="T207" t="s">
        <v>3741</v>
      </c>
      <c r="U207" t="s">
        <v>3742</v>
      </c>
      <c r="V207" t="s">
        <v>3743</v>
      </c>
      <c r="W207" t="s">
        <v>3744</v>
      </c>
      <c r="X207" t="s">
        <v>2564</v>
      </c>
      <c r="Y207" t="s">
        <v>2583</v>
      </c>
      <c r="Z207" t="s">
        <v>2584</v>
      </c>
      <c r="AA207" t="s">
        <v>2567</v>
      </c>
      <c r="AB207" t="s">
        <v>2514</v>
      </c>
      <c r="AC207" t="s">
        <v>3745</v>
      </c>
      <c r="AD207" t="s">
        <v>3746</v>
      </c>
      <c r="AE207" t="s">
        <v>3747</v>
      </c>
      <c r="AF207" t="s">
        <v>74</v>
      </c>
      <c r="AG207">
        <v>50</v>
      </c>
      <c r="AH207">
        <v>39</v>
      </c>
      <c r="AI207">
        <v>41</v>
      </c>
      <c r="AJ207">
        <v>4</v>
      </c>
      <c r="AK207">
        <v>59</v>
      </c>
      <c r="AL207" t="s">
        <v>138</v>
      </c>
      <c r="AM207" t="s">
        <v>246</v>
      </c>
      <c r="AN207" t="s">
        <v>247</v>
      </c>
      <c r="AO207" t="s">
        <v>1903</v>
      </c>
      <c r="AP207" t="s">
        <v>1904</v>
      </c>
      <c r="AQ207" t="s">
        <v>74</v>
      </c>
      <c r="AR207" t="s">
        <v>1905</v>
      </c>
      <c r="AS207" t="s">
        <v>1906</v>
      </c>
      <c r="AT207" t="s">
        <v>1867</v>
      </c>
      <c r="AU207">
        <v>2021</v>
      </c>
      <c r="AV207">
        <v>59</v>
      </c>
      <c r="AW207" t="s">
        <v>74</v>
      </c>
      <c r="AX207" t="s">
        <v>74</v>
      </c>
      <c r="AY207" t="s">
        <v>74</v>
      </c>
      <c r="AZ207" t="s">
        <v>74</v>
      </c>
      <c r="BA207" t="s">
        <v>74</v>
      </c>
      <c r="BB207">
        <v>261</v>
      </c>
      <c r="BC207">
        <v>271</v>
      </c>
      <c r="BD207" t="s">
        <v>74</v>
      </c>
      <c r="BE207" t="s">
        <v>3748</v>
      </c>
      <c r="BF207" t="str">
        <f>HYPERLINK("http://dx.doi.org/10.1016/j.jmsy.2021.01.015","http://dx.doi.org/10.1016/j.jmsy.2021.01.015")</f>
        <v>http://dx.doi.org/10.1016/j.jmsy.2021.01.015</v>
      </c>
      <c r="BG207" t="s">
        <v>74</v>
      </c>
      <c r="BH207" t="s">
        <v>756</v>
      </c>
      <c r="BI207">
        <v>11</v>
      </c>
      <c r="BJ207" t="s">
        <v>321</v>
      </c>
      <c r="BK207" t="s">
        <v>149</v>
      </c>
      <c r="BL207" t="s">
        <v>150</v>
      </c>
      <c r="BM207" t="s">
        <v>3749</v>
      </c>
      <c r="BN207" t="s">
        <v>74</v>
      </c>
      <c r="BO207" t="s">
        <v>74</v>
      </c>
      <c r="BP207" t="s">
        <v>74</v>
      </c>
      <c r="BQ207" t="s">
        <v>74</v>
      </c>
      <c r="BR207" t="s">
        <v>104</v>
      </c>
      <c r="BS207" t="s">
        <v>3750</v>
      </c>
      <c r="BT207" t="str">
        <f>HYPERLINK("https%3A%2F%2Fwww.webofscience.com%2Fwos%2Fwoscc%2Ffull-record%2FWOS:000654704500002","View Full Record in Web of Science")</f>
        <v>View Full Record in Web of Science</v>
      </c>
    </row>
    <row r="208" spans="1:72" x14ac:dyDescent="0.25">
      <c r="A208" t="s">
        <v>72</v>
      </c>
      <c r="B208" t="s">
        <v>3751</v>
      </c>
      <c r="C208" t="s">
        <v>74</v>
      </c>
      <c r="D208" t="s">
        <v>74</v>
      </c>
      <c r="E208" t="s">
        <v>74</v>
      </c>
      <c r="F208" t="s">
        <v>3752</v>
      </c>
      <c r="G208" t="s">
        <v>74</v>
      </c>
      <c r="H208" t="s">
        <v>74</v>
      </c>
      <c r="I208" t="s">
        <v>3753</v>
      </c>
      <c r="J208" t="s">
        <v>1932</v>
      </c>
      <c r="K208" t="s">
        <v>74</v>
      </c>
      <c r="L208" t="s">
        <v>74</v>
      </c>
      <c r="M208" t="s">
        <v>78</v>
      </c>
      <c r="N208" t="s">
        <v>79</v>
      </c>
      <c r="O208" t="s">
        <v>74</v>
      </c>
      <c r="P208" t="s">
        <v>74</v>
      </c>
      <c r="Q208" t="s">
        <v>74</v>
      </c>
      <c r="R208" t="s">
        <v>74</v>
      </c>
      <c r="S208" t="s">
        <v>74</v>
      </c>
      <c r="T208" t="s">
        <v>3754</v>
      </c>
      <c r="U208" t="s">
        <v>3755</v>
      </c>
      <c r="V208" t="s">
        <v>3756</v>
      </c>
      <c r="W208" t="s">
        <v>3757</v>
      </c>
      <c r="X208" t="s">
        <v>1802</v>
      </c>
      <c r="Y208" t="s">
        <v>3758</v>
      </c>
      <c r="Z208" t="s">
        <v>3759</v>
      </c>
      <c r="AA208" t="s">
        <v>3760</v>
      </c>
      <c r="AB208" t="s">
        <v>3761</v>
      </c>
      <c r="AC208" t="s">
        <v>3762</v>
      </c>
      <c r="AD208" t="s">
        <v>3763</v>
      </c>
      <c r="AE208" t="s">
        <v>3764</v>
      </c>
      <c r="AF208" t="s">
        <v>74</v>
      </c>
      <c r="AG208">
        <v>49</v>
      </c>
      <c r="AH208">
        <v>18</v>
      </c>
      <c r="AI208">
        <v>18</v>
      </c>
      <c r="AJ208">
        <v>2</v>
      </c>
      <c r="AK208">
        <v>36</v>
      </c>
      <c r="AL208" t="s">
        <v>1942</v>
      </c>
      <c r="AM208" t="s">
        <v>1943</v>
      </c>
      <c r="AN208" t="s">
        <v>1944</v>
      </c>
      <c r="AO208" t="s">
        <v>1945</v>
      </c>
      <c r="AP208" t="s">
        <v>1946</v>
      </c>
      <c r="AQ208" t="s">
        <v>74</v>
      </c>
      <c r="AR208" t="s">
        <v>1947</v>
      </c>
      <c r="AS208" t="s">
        <v>1948</v>
      </c>
      <c r="AT208" t="s">
        <v>3765</v>
      </c>
      <c r="AU208">
        <v>2019</v>
      </c>
      <c r="AV208">
        <v>16</v>
      </c>
      <c r="AW208">
        <v>6</v>
      </c>
      <c r="AX208" t="s">
        <v>74</v>
      </c>
      <c r="AY208" t="s">
        <v>74</v>
      </c>
      <c r="AZ208" t="s">
        <v>74</v>
      </c>
      <c r="BA208" t="s">
        <v>74</v>
      </c>
      <c r="BB208">
        <v>651</v>
      </c>
      <c r="BC208">
        <v>671</v>
      </c>
      <c r="BD208" t="s">
        <v>74</v>
      </c>
      <c r="BE208" t="s">
        <v>3766</v>
      </c>
      <c r="BF208" t="str">
        <f>HYPERLINK("http://dx.doi.org/10.1080/16843703.2018.1509431","http://dx.doi.org/10.1080/16843703.2018.1509431")</f>
        <v>http://dx.doi.org/10.1080/16843703.2018.1509431</v>
      </c>
      <c r="BG208" t="s">
        <v>74</v>
      </c>
      <c r="BH208" t="s">
        <v>74</v>
      </c>
      <c r="BI208">
        <v>21</v>
      </c>
      <c r="BJ208" t="s">
        <v>1951</v>
      </c>
      <c r="BK208" t="s">
        <v>149</v>
      </c>
      <c r="BL208" t="s">
        <v>1952</v>
      </c>
      <c r="BM208" t="s">
        <v>3767</v>
      </c>
      <c r="BN208" t="s">
        <v>74</v>
      </c>
      <c r="BO208" t="s">
        <v>74</v>
      </c>
      <c r="BP208" t="s">
        <v>74</v>
      </c>
      <c r="BQ208" t="s">
        <v>74</v>
      </c>
      <c r="BR208" t="s">
        <v>104</v>
      </c>
      <c r="BS208" t="s">
        <v>3768</v>
      </c>
      <c r="BT208" t="str">
        <f>HYPERLINK("https%3A%2F%2Fwww.webofscience.com%2Fwos%2Fwoscc%2Ffull-record%2FWOS:000490610900002","View Full Record in Web of Science")</f>
        <v>View Full Record in Web of Science</v>
      </c>
    </row>
    <row r="209" spans="1:72" x14ac:dyDescent="0.25">
      <c r="A209" t="s">
        <v>72</v>
      </c>
      <c r="B209" t="s">
        <v>3769</v>
      </c>
      <c r="C209" t="s">
        <v>74</v>
      </c>
      <c r="D209" t="s">
        <v>74</v>
      </c>
      <c r="E209" t="s">
        <v>74</v>
      </c>
      <c r="F209" t="s">
        <v>3770</v>
      </c>
      <c r="G209" t="s">
        <v>74</v>
      </c>
      <c r="H209" t="s">
        <v>74</v>
      </c>
      <c r="I209" t="s">
        <v>3771</v>
      </c>
      <c r="J209" t="s">
        <v>128</v>
      </c>
      <c r="K209" t="s">
        <v>74</v>
      </c>
      <c r="L209" t="s">
        <v>74</v>
      </c>
      <c r="M209" t="s">
        <v>78</v>
      </c>
      <c r="N209" t="s">
        <v>79</v>
      </c>
      <c r="O209" t="s">
        <v>74</v>
      </c>
      <c r="P209" t="s">
        <v>74</v>
      </c>
      <c r="Q209" t="s">
        <v>74</v>
      </c>
      <c r="R209" t="s">
        <v>74</v>
      </c>
      <c r="S209" t="s">
        <v>74</v>
      </c>
      <c r="T209" t="s">
        <v>3772</v>
      </c>
      <c r="U209" t="s">
        <v>3773</v>
      </c>
      <c r="V209" t="s">
        <v>3774</v>
      </c>
      <c r="W209" t="s">
        <v>3775</v>
      </c>
      <c r="X209" t="s">
        <v>3776</v>
      </c>
      <c r="Y209" t="s">
        <v>3777</v>
      </c>
      <c r="Z209" t="s">
        <v>3778</v>
      </c>
      <c r="AA209" t="s">
        <v>74</v>
      </c>
      <c r="AB209" t="s">
        <v>3779</v>
      </c>
      <c r="AC209" t="s">
        <v>3780</v>
      </c>
      <c r="AD209" t="s">
        <v>3781</v>
      </c>
      <c r="AE209" t="s">
        <v>3782</v>
      </c>
      <c r="AF209" t="s">
        <v>74</v>
      </c>
      <c r="AG209">
        <v>41</v>
      </c>
      <c r="AH209">
        <v>21</v>
      </c>
      <c r="AI209">
        <v>21</v>
      </c>
      <c r="AJ209">
        <v>15</v>
      </c>
      <c r="AK209">
        <v>75</v>
      </c>
      <c r="AL209" t="s">
        <v>138</v>
      </c>
      <c r="AM209" t="s">
        <v>139</v>
      </c>
      <c r="AN209" t="s">
        <v>140</v>
      </c>
      <c r="AO209" t="s">
        <v>141</v>
      </c>
      <c r="AP209" t="s">
        <v>142</v>
      </c>
      <c r="AQ209" t="s">
        <v>74</v>
      </c>
      <c r="AR209" t="s">
        <v>143</v>
      </c>
      <c r="AS209" t="s">
        <v>144</v>
      </c>
      <c r="AT209" t="s">
        <v>559</v>
      </c>
      <c r="AU209">
        <v>2023</v>
      </c>
      <c r="AV209">
        <v>234</v>
      </c>
      <c r="AW209" t="s">
        <v>74</v>
      </c>
      <c r="AX209" t="s">
        <v>74</v>
      </c>
      <c r="AY209" t="s">
        <v>74</v>
      </c>
      <c r="AZ209" t="s">
        <v>74</v>
      </c>
      <c r="BA209" t="s">
        <v>74</v>
      </c>
      <c r="BB209" t="s">
        <v>74</v>
      </c>
      <c r="BC209" t="s">
        <v>74</v>
      </c>
      <c r="BD209">
        <v>109183</v>
      </c>
      <c r="BE209" t="s">
        <v>3783</v>
      </c>
      <c r="BF209" t="str">
        <f>HYPERLINK("http://dx.doi.org/10.1016/j.ress.2023.109183","http://dx.doi.org/10.1016/j.ress.2023.109183")</f>
        <v>http://dx.doi.org/10.1016/j.ress.2023.109183</v>
      </c>
      <c r="BG209" t="s">
        <v>74</v>
      </c>
      <c r="BH209" t="s">
        <v>1685</v>
      </c>
      <c r="BI209">
        <v>12</v>
      </c>
      <c r="BJ209" t="s">
        <v>148</v>
      </c>
      <c r="BK209" t="s">
        <v>149</v>
      </c>
      <c r="BL209" t="s">
        <v>150</v>
      </c>
      <c r="BM209" t="s">
        <v>3784</v>
      </c>
      <c r="BN209" t="s">
        <v>74</v>
      </c>
      <c r="BO209" t="s">
        <v>74</v>
      </c>
      <c r="BP209" t="s">
        <v>74</v>
      </c>
      <c r="BQ209" t="s">
        <v>74</v>
      </c>
      <c r="BR209" t="s">
        <v>104</v>
      </c>
      <c r="BS209" t="s">
        <v>3785</v>
      </c>
      <c r="BT209" t="str">
        <f>HYPERLINK("https%3A%2F%2Fwww.webofscience.com%2Fwos%2Fwoscc%2Ffull-record%2FWOS:000956272900001","View Full Record in Web of Science")</f>
        <v>View Full Record in Web of Science</v>
      </c>
    </row>
    <row r="210" spans="1:72" x14ac:dyDescent="0.25">
      <c r="A210" t="s">
        <v>72</v>
      </c>
      <c r="B210" t="s">
        <v>3786</v>
      </c>
      <c r="C210" t="s">
        <v>74</v>
      </c>
      <c r="D210" t="s">
        <v>74</v>
      </c>
      <c r="E210" t="s">
        <v>74</v>
      </c>
      <c r="F210" t="s">
        <v>3787</v>
      </c>
      <c r="G210" t="s">
        <v>74</v>
      </c>
      <c r="H210" t="s">
        <v>74</v>
      </c>
      <c r="I210" t="s">
        <v>3788</v>
      </c>
      <c r="J210" t="s">
        <v>128</v>
      </c>
      <c r="K210" t="s">
        <v>74</v>
      </c>
      <c r="L210" t="s">
        <v>74</v>
      </c>
      <c r="M210" t="s">
        <v>78</v>
      </c>
      <c r="N210" t="s">
        <v>79</v>
      </c>
      <c r="O210" t="s">
        <v>74</v>
      </c>
      <c r="P210" t="s">
        <v>74</v>
      </c>
      <c r="Q210" t="s">
        <v>74</v>
      </c>
      <c r="R210" t="s">
        <v>74</v>
      </c>
      <c r="S210" t="s">
        <v>74</v>
      </c>
      <c r="T210" t="s">
        <v>3789</v>
      </c>
      <c r="U210" t="s">
        <v>3790</v>
      </c>
      <c r="V210" t="s">
        <v>3791</v>
      </c>
      <c r="W210" t="s">
        <v>3792</v>
      </c>
      <c r="X210" t="s">
        <v>3793</v>
      </c>
      <c r="Y210" t="s">
        <v>3794</v>
      </c>
      <c r="Z210" t="s">
        <v>74</v>
      </c>
      <c r="AA210" t="s">
        <v>74</v>
      </c>
      <c r="AB210" t="s">
        <v>3795</v>
      </c>
      <c r="AC210" t="s">
        <v>3796</v>
      </c>
      <c r="AD210" t="s">
        <v>482</v>
      </c>
      <c r="AE210" t="s">
        <v>3797</v>
      </c>
      <c r="AF210" t="s">
        <v>74</v>
      </c>
      <c r="AG210">
        <v>39</v>
      </c>
      <c r="AH210">
        <v>35</v>
      </c>
      <c r="AI210">
        <v>37</v>
      </c>
      <c r="AJ210">
        <v>6</v>
      </c>
      <c r="AK210">
        <v>64</v>
      </c>
      <c r="AL210" t="s">
        <v>138</v>
      </c>
      <c r="AM210" t="s">
        <v>246</v>
      </c>
      <c r="AN210" t="s">
        <v>247</v>
      </c>
      <c r="AO210" t="s">
        <v>141</v>
      </c>
      <c r="AP210" t="s">
        <v>142</v>
      </c>
      <c r="AQ210" t="s">
        <v>74</v>
      </c>
      <c r="AR210" t="s">
        <v>143</v>
      </c>
      <c r="AS210" t="s">
        <v>144</v>
      </c>
      <c r="AT210" t="s">
        <v>1008</v>
      </c>
      <c r="AU210">
        <v>2021</v>
      </c>
      <c r="AV210">
        <v>205</v>
      </c>
      <c r="AW210" t="s">
        <v>74</v>
      </c>
      <c r="AX210" t="s">
        <v>74</v>
      </c>
      <c r="AY210" t="s">
        <v>74</v>
      </c>
      <c r="AZ210" t="s">
        <v>74</v>
      </c>
      <c r="BA210" t="s">
        <v>74</v>
      </c>
      <c r="BB210" t="s">
        <v>74</v>
      </c>
      <c r="BC210" t="s">
        <v>74</v>
      </c>
      <c r="BD210">
        <v>107254</v>
      </c>
      <c r="BE210" t="s">
        <v>3798</v>
      </c>
      <c r="BF210" t="str">
        <f>HYPERLINK("http://dx.doi.org/10.1016/j.ress.2020.107254","http://dx.doi.org/10.1016/j.ress.2020.107254")</f>
        <v>http://dx.doi.org/10.1016/j.ress.2020.107254</v>
      </c>
      <c r="BG210" t="s">
        <v>74</v>
      </c>
      <c r="BH210" t="s">
        <v>74</v>
      </c>
      <c r="BI210">
        <v>12</v>
      </c>
      <c r="BJ210" t="s">
        <v>148</v>
      </c>
      <c r="BK210" t="s">
        <v>149</v>
      </c>
      <c r="BL210" t="s">
        <v>150</v>
      </c>
      <c r="BM210" t="s">
        <v>2589</v>
      </c>
      <c r="BN210" t="s">
        <v>74</v>
      </c>
      <c r="BO210" t="s">
        <v>74</v>
      </c>
      <c r="BP210" t="s">
        <v>74</v>
      </c>
      <c r="BQ210" t="s">
        <v>74</v>
      </c>
      <c r="BR210" t="s">
        <v>104</v>
      </c>
      <c r="BS210" t="s">
        <v>3799</v>
      </c>
      <c r="BT210" t="str">
        <f>HYPERLINK("https%3A%2F%2Fwww.webofscience.com%2Fwos%2Fwoscc%2Ffull-record%2FWOS:000589091300037","View Full Record in Web of Science")</f>
        <v>View Full Record in Web of Science</v>
      </c>
    </row>
    <row r="211" spans="1:72" x14ac:dyDescent="0.25">
      <c r="A211" t="s">
        <v>72</v>
      </c>
      <c r="B211" t="s">
        <v>3800</v>
      </c>
      <c r="C211" t="s">
        <v>74</v>
      </c>
      <c r="D211" t="s">
        <v>74</v>
      </c>
      <c r="E211" t="s">
        <v>74</v>
      </c>
      <c r="F211" t="s">
        <v>3801</v>
      </c>
      <c r="G211" t="s">
        <v>74</v>
      </c>
      <c r="H211" t="s">
        <v>74</v>
      </c>
      <c r="I211" t="s">
        <v>3802</v>
      </c>
      <c r="J211" t="s">
        <v>3529</v>
      </c>
      <c r="K211" t="s">
        <v>74</v>
      </c>
      <c r="L211" t="s">
        <v>74</v>
      </c>
      <c r="M211" t="s">
        <v>78</v>
      </c>
      <c r="N211" t="s">
        <v>79</v>
      </c>
      <c r="O211" t="s">
        <v>74</v>
      </c>
      <c r="P211" t="s">
        <v>74</v>
      </c>
      <c r="Q211" t="s">
        <v>74</v>
      </c>
      <c r="R211" t="s">
        <v>74</v>
      </c>
      <c r="S211" t="s">
        <v>74</v>
      </c>
      <c r="T211" t="s">
        <v>3803</v>
      </c>
      <c r="U211" t="s">
        <v>3804</v>
      </c>
      <c r="V211" t="s">
        <v>3805</v>
      </c>
      <c r="W211" t="s">
        <v>3806</v>
      </c>
      <c r="X211" t="s">
        <v>3807</v>
      </c>
      <c r="Y211" t="s">
        <v>3808</v>
      </c>
      <c r="Z211" t="s">
        <v>3809</v>
      </c>
      <c r="AA211" t="s">
        <v>3810</v>
      </c>
      <c r="AB211" t="s">
        <v>3811</v>
      </c>
      <c r="AC211" t="s">
        <v>74</v>
      </c>
      <c r="AD211" t="s">
        <v>74</v>
      </c>
      <c r="AE211" t="s">
        <v>74</v>
      </c>
      <c r="AF211" t="s">
        <v>74</v>
      </c>
      <c r="AG211">
        <v>44</v>
      </c>
      <c r="AH211">
        <v>0</v>
      </c>
      <c r="AI211">
        <v>0</v>
      </c>
      <c r="AJ211">
        <v>2</v>
      </c>
      <c r="AK211">
        <v>13</v>
      </c>
      <c r="AL211" t="s">
        <v>3538</v>
      </c>
      <c r="AM211" t="s">
        <v>3539</v>
      </c>
      <c r="AN211" t="s">
        <v>3540</v>
      </c>
      <c r="AO211" t="s">
        <v>3812</v>
      </c>
      <c r="AP211" t="s">
        <v>3541</v>
      </c>
      <c r="AQ211" t="s">
        <v>74</v>
      </c>
      <c r="AR211" t="s">
        <v>3542</v>
      </c>
      <c r="AS211" t="s">
        <v>3543</v>
      </c>
      <c r="AT211" t="s">
        <v>74</v>
      </c>
      <c r="AU211">
        <v>2022</v>
      </c>
      <c r="AV211">
        <v>29</v>
      </c>
      <c r="AW211">
        <v>4</v>
      </c>
      <c r="AX211" t="s">
        <v>74</v>
      </c>
      <c r="AY211" t="s">
        <v>74</v>
      </c>
      <c r="AZ211" t="s">
        <v>74</v>
      </c>
      <c r="BA211" t="s">
        <v>74</v>
      </c>
      <c r="BB211">
        <v>499</v>
      </c>
      <c r="BC211">
        <v>515</v>
      </c>
      <c r="BD211" t="s">
        <v>74</v>
      </c>
      <c r="BE211" t="s">
        <v>3813</v>
      </c>
      <c r="BF211" t="str">
        <f>HYPERLINK("http://dx.doi.org/10.23055/ijietap.2022.29.4.3453","http://dx.doi.org/10.23055/ijietap.2022.29.4.3453")</f>
        <v>http://dx.doi.org/10.23055/ijietap.2022.29.4.3453</v>
      </c>
      <c r="BG211" t="s">
        <v>74</v>
      </c>
      <c r="BH211" t="s">
        <v>74</v>
      </c>
      <c r="BI211">
        <v>17</v>
      </c>
      <c r="BJ211" t="s">
        <v>3544</v>
      </c>
      <c r="BK211" t="s">
        <v>149</v>
      </c>
      <c r="BL211" t="s">
        <v>102</v>
      </c>
      <c r="BM211" t="s">
        <v>3814</v>
      </c>
      <c r="BN211" t="s">
        <v>74</v>
      </c>
      <c r="BO211" t="s">
        <v>74</v>
      </c>
      <c r="BP211" t="s">
        <v>74</v>
      </c>
      <c r="BQ211" t="s">
        <v>74</v>
      </c>
      <c r="BR211" t="s">
        <v>104</v>
      </c>
      <c r="BS211" t="s">
        <v>3815</v>
      </c>
      <c r="BT211" t="str">
        <f>HYPERLINK("https%3A%2F%2Fwww.webofscience.com%2Fwos%2Fwoscc%2Ffull-record%2FWOS:000883051500001","View Full Record in Web of Science")</f>
        <v>View Full Record in Web of Science</v>
      </c>
    </row>
    <row r="212" spans="1:72" x14ac:dyDescent="0.25">
      <c r="A212" t="s">
        <v>72</v>
      </c>
      <c r="B212" t="s">
        <v>3816</v>
      </c>
      <c r="C212" t="s">
        <v>74</v>
      </c>
      <c r="D212" t="s">
        <v>74</v>
      </c>
      <c r="E212" t="s">
        <v>74</v>
      </c>
      <c r="F212" t="s">
        <v>3817</v>
      </c>
      <c r="G212" t="s">
        <v>74</v>
      </c>
      <c r="H212" t="s">
        <v>74</v>
      </c>
      <c r="I212" t="s">
        <v>3818</v>
      </c>
      <c r="J212" t="s">
        <v>697</v>
      </c>
      <c r="K212" t="s">
        <v>74</v>
      </c>
      <c r="L212" t="s">
        <v>74</v>
      </c>
      <c r="M212" t="s">
        <v>78</v>
      </c>
      <c r="N212" t="s">
        <v>79</v>
      </c>
      <c r="O212" t="s">
        <v>74</v>
      </c>
      <c r="P212" t="s">
        <v>74</v>
      </c>
      <c r="Q212" t="s">
        <v>74</v>
      </c>
      <c r="R212" t="s">
        <v>74</v>
      </c>
      <c r="S212" t="s">
        <v>74</v>
      </c>
      <c r="T212" t="s">
        <v>3819</v>
      </c>
      <c r="U212" t="s">
        <v>3820</v>
      </c>
      <c r="V212" t="s">
        <v>3821</v>
      </c>
      <c r="W212" t="s">
        <v>3822</v>
      </c>
      <c r="X212" t="s">
        <v>3823</v>
      </c>
      <c r="Y212" t="s">
        <v>3824</v>
      </c>
      <c r="Z212" t="s">
        <v>3825</v>
      </c>
      <c r="AA212" t="s">
        <v>74</v>
      </c>
      <c r="AB212" t="s">
        <v>3826</v>
      </c>
      <c r="AC212" t="s">
        <v>3827</v>
      </c>
      <c r="AD212" t="s">
        <v>3828</v>
      </c>
      <c r="AE212" t="s">
        <v>3829</v>
      </c>
      <c r="AF212" t="s">
        <v>74</v>
      </c>
      <c r="AG212">
        <v>32</v>
      </c>
      <c r="AH212">
        <v>0</v>
      </c>
      <c r="AI212">
        <v>0</v>
      </c>
      <c r="AJ212">
        <v>16</v>
      </c>
      <c r="AK212">
        <v>16</v>
      </c>
      <c r="AL212" t="s">
        <v>707</v>
      </c>
      <c r="AM212" t="s">
        <v>246</v>
      </c>
      <c r="AN212" t="s">
        <v>708</v>
      </c>
      <c r="AO212" t="s">
        <v>709</v>
      </c>
      <c r="AP212" t="s">
        <v>710</v>
      </c>
      <c r="AQ212" t="s">
        <v>74</v>
      </c>
      <c r="AR212" t="s">
        <v>711</v>
      </c>
      <c r="AS212" t="s">
        <v>712</v>
      </c>
      <c r="AT212" t="s">
        <v>145</v>
      </c>
      <c r="AU212">
        <v>2024</v>
      </c>
      <c r="AV212">
        <v>198</v>
      </c>
      <c r="AW212" t="s">
        <v>74</v>
      </c>
      <c r="AX212" t="s">
        <v>74</v>
      </c>
      <c r="AY212" t="s">
        <v>74</v>
      </c>
      <c r="AZ212" t="s">
        <v>74</v>
      </c>
      <c r="BA212" t="s">
        <v>74</v>
      </c>
      <c r="BB212" t="s">
        <v>74</v>
      </c>
      <c r="BC212" t="s">
        <v>74</v>
      </c>
      <c r="BD212">
        <v>110643</v>
      </c>
      <c r="BE212" t="s">
        <v>3830</v>
      </c>
      <c r="BF212" t="str">
        <f>HYPERLINK("http://dx.doi.org/10.1016/j.cie.2024.110643","http://dx.doi.org/10.1016/j.cie.2024.110643")</f>
        <v>http://dx.doi.org/10.1016/j.cie.2024.110643</v>
      </c>
      <c r="BG212" t="s">
        <v>74</v>
      </c>
      <c r="BH212" t="s">
        <v>415</v>
      </c>
      <c r="BI212">
        <v>14</v>
      </c>
      <c r="BJ212" t="s">
        <v>715</v>
      </c>
      <c r="BK212" t="s">
        <v>149</v>
      </c>
      <c r="BL212" t="s">
        <v>716</v>
      </c>
      <c r="BM212" t="s">
        <v>3831</v>
      </c>
      <c r="BN212" t="s">
        <v>74</v>
      </c>
      <c r="BO212" t="s">
        <v>74</v>
      </c>
      <c r="BP212" t="s">
        <v>74</v>
      </c>
      <c r="BQ212" t="s">
        <v>74</v>
      </c>
      <c r="BR212" t="s">
        <v>104</v>
      </c>
      <c r="BS212" t="s">
        <v>3832</v>
      </c>
      <c r="BT212" t="str">
        <f>HYPERLINK("https%3A%2F%2Fwww.webofscience.com%2Fwos%2Fwoscc%2Ffull-record%2FWOS:001338965500001","View Full Record in Web of Science")</f>
        <v>View Full Record in Web of Science</v>
      </c>
    </row>
    <row r="213" spans="1:72" x14ac:dyDescent="0.25">
      <c r="A213" t="s">
        <v>72</v>
      </c>
      <c r="B213" t="s">
        <v>3833</v>
      </c>
      <c r="C213" t="s">
        <v>74</v>
      </c>
      <c r="D213" t="s">
        <v>74</v>
      </c>
      <c r="E213" t="s">
        <v>74</v>
      </c>
      <c r="F213" t="s">
        <v>3834</v>
      </c>
      <c r="G213" t="s">
        <v>74</v>
      </c>
      <c r="H213" t="s">
        <v>74</v>
      </c>
      <c r="I213" t="s">
        <v>3835</v>
      </c>
      <c r="J213" t="s">
        <v>1140</v>
      </c>
      <c r="K213" t="s">
        <v>74</v>
      </c>
      <c r="L213" t="s">
        <v>74</v>
      </c>
      <c r="M213" t="s">
        <v>78</v>
      </c>
      <c r="N213" t="s">
        <v>79</v>
      </c>
      <c r="O213" t="s">
        <v>74</v>
      </c>
      <c r="P213" t="s">
        <v>74</v>
      </c>
      <c r="Q213" t="s">
        <v>74</v>
      </c>
      <c r="R213" t="s">
        <v>74</v>
      </c>
      <c r="S213" t="s">
        <v>74</v>
      </c>
      <c r="T213" t="s">
        <v>3836</v>
      </c>
      <c r="U213" t="s">
        <v>74</v>
      </c>
      <c r="V213" t="s">
        <v>3837</v>
      </c>
      <c r="W213" t="s">
        <v>3838</v>
      </c>
      <c r="X213" t="s">
        <v>3839</v>
      </c>
      <c r="Y213" t="s">
        <v>3840</v>
      </c>
      <c r="Z213" t="s">
        <v>3841</v>
      </c>
      <c r="AA213" t="s">
        <v>3842</v>
      </c>
      <c r="AB213" t="s">
        <v>3843</v>
      </c>
      <c r="AC213" t="s">
        <v>3844</v>
      </c>
      <c r="AD213" t="s">
        <v>3845</v>
      </c>
      <c r="AE213" t="s">
        <v>3846</v>
      </c>
      <c r="AF213" t="s">
        <v>74</v>
      </c>
      <c r="AG213">
        <v>104</v>
      </c>
      <c r="AH213">
        <v>8</v>
      </c>
      <c r="AI213">
        <v>8</v>
      </c>
      <c r="AJ213">
        <v>7</v>
      </c>
      <c r="AK213">
        <v>24</v>
      </c>
      <c r="AL213" t="s">
        <v>707</v>
      </c>
      <c r="AM213" t="s">
        <v>246</v>
      </c>
      <c r="AN213" t="s">
        <v>708</v>
      </c>
      <c r="AO213" t="s">
        <v>1150</v>
      </c>
      <c r="AP213" t="s">
        <v>1151</v>
      </c>
      <c r="AQ213" t="s">
        <v>74</v>
      </c>
      <c r="AR213" t="s">
        <v>1152</v>
      </c>
      <c r="AS213" t="s">
        <v>1153</v>
      </c>
      <c r="AT213" t="s">
        <v>559</v>
      </c>
      <c r="AU213">
        <v>2023</v>
      </c>
      <c r="AV213">
        <v>122</v>
      </c>
      <c r="AW213" t="s">
        <v>74</v>
      </c>
      <c r="AX213" t="s">
        <v>74</v>
      </c>
      <c r="AY213" t="s">
        <v>74</v>
      </c>
      <c r="AZ213" t="s">
        <v>74</v>
      </c>
      <c r="BA213" t="s">
        <v>74</v>
      </c>
      <c r="BB213" t="s">
        <v>74</v>
      </c>
      <c r="BC213" t="s">
        <v>74</v>
      </c>
      <c r="BD213">
        <v>106067</v>
      </c>
      <c r="BE213" t="s">
        <v>3847</v>
      </c>
      <c r="BF213" t="str">
        <f>HYPERLINK("http://dx.doi.org/10.1016/j.engappai.2023.106067","http://dx.doi.org/10.1016/j.engappai.2023.106067")</f>
        <v>http://dx.doi.org/10.1016/j.engappai.2023.106067</v>
      </c>
      <c r="BG213" t="s">
        <v>74</v>
      </c>
      <c r="BH213" t="s">
        <v>1685</v>
      </c>
      <c r="BI213">
        <v>20</v>
      </c>
      <c r="BJ213" t="s">
        <v>1156</v>
      </c>
      <c r="BK213" t="s">
        <v>149</v>
      </c>
      <c r="BL213" t="s">
        <v>1157</v>
      </c>
      <c r="BM213" t="s">
        <v>3848</v>
      </c>
      <c r="BN213" t="s">
        <v>74</v>
      </c>
      <c r="BO213" t="s">
        <v>74</v>
      </c>
      <c r="BP213" t="s">
        <v>74</v>
      </c>
      <c r="BQ213" t="s">
        <v>74</v>
      </c>
      <c r="BR213" t="s">
        <v>104</v>
      </c>
      <c r="BS213" t="s">
        <v>3849</v>
      </c>
      <c r="BT213" t="str">
        <f>HYPERLINK("https%3A%2F%2Fwww.webofscience.com%2Fwos%2Fwoscc%2Ffull-record%2FWOS:000955035300001","View Full Record in Web of Science")</f>
        <v>View Full Record in Web of Science</v>
      </c>
    </row>
    <row r="214" spans="1:72" x14ac:dyDescent="0.25">
      <c r="A214" t="s">
        <v>72</v>
      </c>
      <c r="B214" t="s">
        <v>3850</v>
      </c>
      <c r="C214" t="s">
        <v>74</v>
      </c>
      <c r="D214" t="s">
        <v>74</v>
      </c>
      <c r="E214" t="s">
        <v>74</v>
      </c>
      <c r="F214" t="s">
        <v>3851</v>
      </c>
      <c r="G214" t="s">
        <v>74</v>
      </c>
      <c r="H214" t="s">
        <v>74</v>
      </c>
      <c r="I214" t="s">
        <v>3852</v>
      </c>
      <c r="J214" t="s">
        <v>128</v>
      </c>
      <c r="K214" t="s">
        <v>74</v>
      </c>
      <c r="L214" t="s">
        <v>74</v>
      </c>
      <c r="M214" t="s">
        <v>78</v>
      </c>
      <c r="N214" t="s">
        <v>79</v>
      </c>
      <c r="O214" t="s">
        <v>74</v>
      </c>
      <c r="P214" t="s">
        <v>74</v>
      </c>
      <c r="Q214" t="s">
        <v>74</v>
      </c>
      <c r="R214" t="s">
        <v>74</v>
      </c>
      <c r="S214" t="s">
        <v>74</v>
      </c>
      <c r="T214" t="s">
        <v>3853</v>
      </c>
      <c r="U214" t="s">
        <v>3678</v>
      </c>
      <c r="V214" t="s">
        <v>3854</v>
      </c>
      <c r="W214" t="s">
        <v>3855</v>
      </c>
      <c r="X214" t="s">
        <v>3856</v>
      </c>
      <c r="Y214" t="s">
        <v>3423</v>
      </c>
      <c r="Z214" t="s">
        <v>3424</v>
      </c>
      <c r="AA214" t="s">
        <v>3857</v>
      </c>
      <c r="AB214" t="s">
        <v>3858</v>
      </c>
      <c r="AC214" t="s">
        <v>3859</v>
      </c>
      <c r="AD214" t="s">
        <v>3860</v>
      </c>
      <c r="AE214" t="s">
        <v>3861</v>
      </c>
      <c r="AF214" t="s">
        <v>74</v>
      </c>
      <c r="AG214">
        <v>44</v>
      </c>
      <c r="AH214">
        <v>26</v>
      </c>
      <c r="AI214">
        <v>26</v>
      </c>
      <c r="AJ214">
        <v>14</v>
      </c>
      <c r="AK214">
        <v>61</v>
      </c>
      <c r="AL214" t="s">
        <v>138</v>
      </c>
      <c r="AM214" t="s">
        <v>139</v>
      </c>
      <c r="AN214" t="s">
        <v>140</v>
      </c>
      <c r="AO214" t="s">
        <v>141</v>
      </c>
      <c r="AP214" t="s">
        <v>142</v>
      </c>
      <c r="AQ214" t="s">
        <v>74</v>
      </c>
      <c r="AR214" t="s">
        <v>143</v>
      </c>
      <c r="AS214" t="s">
        <v>144</v>
      </c>
      <c r="AT214" t="s">
        <v>205</v>
      </c>
      <c r="AU214">
        <v>2023</v>
      </c>
      <c r="AV214">
        <v>237</v>
      </c>
      <c r="AW214" t="s">
        <v>74</v>
      </c>
      <c r="AX214" t="s">
        <v>74</v>
      </c>
      <c r="AY214" t="s">
        <v>74</v>
      </c>
      <c r="AZ214" t="s">
        <v>74</v>
      </c>
      <c r="BA214" t="s">
        <v>74</v>
      </c>
      <c r="BB214" t="s">
        <v>74</v>
      </c>
      <c r="BC214" t="s">
        <v>74</v>
      </c>
      <c r="BD214">
        <v>109367</v>
      </c>
      <c r="BE214" t="s">
        <v>3862</v>
      </c>
      <c r="BF214" t="str">
        <f>HYPERLINK("http://dx.doi.org/10.1016/j.ress.2023.109367","http://dx.doi.org/10.1016/j.ress.2023.109367")</f>
        <v>http://dx.doi.org/10.1016/j.ress.2023.109367</v>
      </c>
      <c r="BG214" t="s">
        <v>74</v>
      </c>
      <c r="BH214" t="s">
        <v>2390</v>
      </c>
      <c r="BI214">
        <v>11</v>
      </c>
      <c r="BJ214" t="s">
        <v>148</v>
      </c>
      <c r="BK214" t="s">
        <v>149</v>
      </c>
      <c r="BL214" t="s">
        <v>150</v>
      </c>
      <c r="BM214" t="s">
        <v>3863</v>
      </c>
      <c r="BN214" t="s">
        <v>74</v>
      </c>
      <c r="BO214" t="s">
        <v>74</v>
      </c>
      <c r="BP214" t="s">
        <v>74</v>
      </c>
      <c r="BQ214" t="s">
        <v>74</v>
      </c>
      <c r="BR214" t="s">
        <v>104</v>
      </c>
      <c r="BS214" t="s">
        <v>3864</v>
      </c>
      <c r="BT214" t="str">
        <f>HYPERLINK("https%3A%2F%2Fwww.webofscience.com%2Fwos%2Fwoscc%2Ffull-record%2FWOS:001002215900001","View Full Record in Web of Science")</f>
        <v>View Full Record in Web of Science</v>
      </c>
    </row>
    <row r="215" spans="1:72" x14ac:dyDescent="0.25">
      <c r="A215" t="s">
        <v>72</v>
      </c>
      <c r="B215" t="s">
        <v>3865</v>
      </c>
      <c r="C215" t="s">
        <v>74</v>
      </c>
      <c r="D215" t="s">
        <v>74</v>
      </c>
      <c r="E215" t="s">
        <v>74</v>
      </c>
      <c r="F215" t="s">
        <v>3866</v>
      </c>
      <c r="G215" t="s">
        <v>74</v>
      </c>
      <c r="H215" t="s">
        <v>74</v>
      </c>
      <c r="I215" t="s">
        <v>3867</v>
      </c>
      <c r="J215" t="s">
        <v>128</v>
      </c>
      <c r="K215" t="s">
        <v>74</v>
      </c>
      <c r="L215" t="s">
        <v>74</v>
      </c>
      <c r="M215" t="s">
        <v>78</v>
      </c>
      <c r="N215" t="s">
        <v>79</v>
      </c>
      <c r="O215" t="s">
        <v>74</v>
      </c>
      <c r="P215" t="s">
        <v>74</v>
      </c>
      <c r="Q215" t="s">
        <v>74</v>
      </c>
      <c r="R215" t="s">
        <v>74</v>
      </c>
      <c r="S215" t="s">
        <v>74</v>
      </c>
      <c r="T215" t="s">
        <v>3868</v>
      </c>
      <c r="U215" t="s">
        <v>3869</v>
      </c>
      <c r="V215" t="s">
        <v>3870</v>
      </c>
      <c r="W215" t="s">
        <v>3871</v>
      </c>
      <c r="X215" t="s">
        <v>3872</v>
      </c>
      <c r="Y215" t="s">
        <v>3873</v>
      </c>
      <c r="Z215" t="s">
        <v>3874</v>
      </c>
      <c r="AA215" t="s">
        <v>3875</v>
      </c>
      <c r="AB215" t="s">
        <v>3876</v>
      </c>
      <c r="AC215" t="s">
        <v>3877</v>
      </c>
      <c r="AD215" t="s">
        <v>3878</v>
      </c>
      <c r="AE215" t="s">
        <v>3879</v>
      </c>
      <c r="AF215" t="s">
        <v>74</v>
      </c>
      <c r="AG215">
        <v>34</v>
      </c>
      <c r="AH215">
        <v>68</v>
      </c>
      <c r="AI215">
        <v>73</v>
      </c>
      <c r="AJ215">
        <v>7</v>
      </c>
      <c r="AK215">
        <v>55</v>
      </c>
      <c r="AL215" t="s">
        <v>138</v>
      </c>
      <c r="AM215" t="s">
        <v>246</v>
      </c>
      <c r="AN215" t="s">
        <v>247</v>
      </c>
      <c r="AO215" t="s">
        <v>141</v>
      </c>
      <c r="AP215" t="s">
        <v>142</v>
      </c>
      <c r="AQ215" t="s">
        <v>74</v>
      </c>
      <c r="AR215" t="s">
        <v>143</v>
      </c>
      <c r="AS215" t="s">
        <v>144</v>
      </c>
      <c r="AT215" t="s">
        <v>1008</v>
      </c>
      <c r="AU215">
        <v>2020</v>
      </c>
      <c r="AV215">
        <v>193</v>
      </c>
      <c r="AW215" t="s">
        <v>74</v>
      </c>
      <c r="AX215" t="s">
        <v>74</v>
      </c>
      <c r="AY215" t="s">
        <v>74</v>
      </c>
      <c r="AZ215" t="s">
        <v>74</v>
      </c>
      <c r="BA215" t="s">
        <v>74</v>
      </c>
      <c r="BB215" t="s">
        <v>74</v>
      </c>
      <c r="BC215" t="s">
        <v>74</v>
      </c>
      <c r="BD215">
        <v>106588</v>
      </c>
      <c r="BE215" t="s">
        <v>3880</v>
      </c>
      <c r="BF215" t="str">
        <f>HYPERLINK("http://dx.doi.org/10.1016/j.ress.2019.106588","http://dx.doi.org/10.1016/j.ress.2019.106588")</f>
        <v>http://dx.doi.org/10.1016/j.ress.2019.106588</v>
      </c>
      <c r="BG215" t="s">
        <v>74</v>
      </c>
      <c r="BH215" t="s">
        <v>74</v>
      </c>
      <c r="BI215">
        <v>11</v>
      </c>
      <c r="BJ215" t="s">
        <v>148</v>
      </c>
      <c r="BK215" t="s">
        <v>149</v>
      </c>
      <c r="BL215" t="s">
        <v>150</v>
      </c>
      <c r="BM215" t="s">
        <v>3881</v>
      </c>
      <c r="BN215" t="s">
        <v>74</v>
      </c>
      <c r="BO215" t="s">
        <v>74</v>
      </c>
      <c r="BP215" t="s">
        <v>74</v>
      </c>
      <c r="BQ215" t="s">
        <v>74</v>
      </c>
      <c r="BR215" t="s">
        <v>104</v>
      </c>
      <c r="BS215" t="s">
        <v>3882</v>
      </c>
      <c r="BT215" t="str">
        <f>HYPERLINK("https%3A%2F%2Fwww.webofscience.com%2Fwos%2Fwoscc%2Ffull-record%2FWOS:000501641400003","View Full Record in Web of Science")</f>
        <v>View Full Record in Web of Science</v>
      </c>
    </row>
    <row r="216" spans="1:72" x14ac:dyDescent="0.25">
      <c r="A216" t="s">
        <v>72</v>
      </c>
      <c r="B216" t="s">
        <v>3883</v>
      </c>
      <c r="C216" t="s">
        <v>74</v>
      </c>
      <c r="D216" t="s">
        <v>74</v>
      </c>
      <c r="E216" t="s">
        <v>74</v>
      </c>
      <c r="F216" t="s">
        <v>3884</v>
      </c>
      <c r="G216" t="s">
        <v>74</v>
      </c>
      <c r="H216" t="s">
        <v>74</v>
      </c>
      <c r="I216" t="s">
        <v>3885</v>
      </c>
      <c r="J216" t="s">
        <v>542</v>
      </c>
      <c r="K216" t="s">
        <v>74</v>
      </c>
      <c r="L216" t="s">
        <v>74</v>
      </c>
      <c r="M216" t="s">
        <v>78</v>
      </c>
      <c r="N216" t="s">
        <v>79</v>
      </c>
      <c r="O216" t="s">
        <v>74</v>
      </c>
      <c r="P216" t="s">
        <v>74</v>
      </c>
      <c r="Q216" t="s">
        <v>74</v>
      </c>
      <c r="R216" t="s">
        <v>74</v>
      </c>
      <c r="S216" t="s">
        <v>74</v>
      </c>
      <c r="T216" t="s">
        <v>3886</v>
      </c>
      <c r="U216" t="s">
        <v>3887</v>
      </c>
      <c r="V216" t="s">
        <v>3888</v>
      </c>
      <c r="W216" t="s">
        <v>3889</v>
      </c>
      <c r="X216" t="s">
        <v>3890</v>
      </c>
      <c r="Y216" t="s">
        <v>3891</v>
      </c>
      <c r="Z216" t="s">
        <v>3892</v>
      </c>
      <c r="AA216" t="s">
        <v>74</v>
      </c>
      <c r="AB216" t="s">
        <v>74</v>
      </c>
      <c r="AC216" t="s">
        <v>74</v>
      </c>
      <c r="AD216" t="s">
        <v>74</v>
      </c>
      <c r="AE216" t="s">
        <v>74</v>
      </c>
      <c r="AF216" t="s">
        <v>74</v>
      </c>
      <c r="AG216">
        <v>31</v>
      </c>
      <c r="AH216">
        <v>0</v>
      </c>
      <c r="AI216">
        <v>0</v>
      </c>
      <c r="AJ216">
        <v>8</v>
      </c>
      <c r="AK216">
        <v>16</v>
      </c>
      <c r="AL216" t="s">
        <v>552</v>
      </c>
      <c r="AM216" t="s">
        <v>553</v>
      </c>
      <c r="AN216" t="s">
        <v>554</v>
      </c>
      <c r="AO216" t="s">
        <v>555</v>
      </c>
      <c r="AP216" t="s">
        <v>556</v>
      </c>
      <c r="AQ216" t="s">
        <v>74</v>
      </c>
      <c r="AR216" t="s">
        <v>557</v>
      </c>
      <c r="AS216" t="s">
        <v>558</v>
      </c>
      <c r="AT216" t="s">
        <v>533</v>
      </c>
      <c r="AU216">
        <v>2025</v>
      </c>
      <c r="AV216">
        <v>239</v>
      </c>
      <c r="AW216">
        <v>1</v>
      </c>
      <c r="AX216" t="s">
        <v>74</v>
      </c>
      <c r="AY216" t="s">
        <v>74</v>
      </c>
      <c r="AZ216" t="s">
        <v>74</v>
      </c>
      <c r="BA216" t="s">
        <v>74</v>
      </c>
      <c r="BB216">
        <v>97</v>
      </c>
      <c r="BC216">
        <v>106</v>
      </c>
      <c r="BD216" t="s">
        <v>74</v>
      </c>
      <c r="BE216" t="s">
        <v>3893</v>
      </c>
      <c r="BF216" t="str">
        <f>HYPERLINK("http://dx.doi.org/10.1177/1748006X231218496","http://dx.doi.org/10.1177/1748006X231218496")</f>
        <v>http://dx.doi.org/10.1177/1748006X231218496</v>
      </c>
      <c r="BG216" t="s">
        <v>74</v>
      </c>
      <c r="BH216" t="s">
        <v>3894</v>
      </c>
      <c r="BI216">
        <v>10</v>
      </c>
      <c r="BJ216" t="s">
        <v>494</v>
      </c>
      <c r="BK216" t="s">
        <v>149</v>
      </c>
      <c r="BL216" t="s">
        <v>150</v>
      </c>
      <c r="BM216" t="s">
        <v>3895</v>
      </c>
      <c r="BN216" t="s">
        <v>74</v>
      </c>
      <c r="BO216" t="s">
        <v>74</v>
      </c>
      <c r="BP216" t="s">
        <v>74</v>
      </c>
      <c r="BQ216" t="s">
        <v>74</v>
      </c>
      <c r="BR216" t="s">
        <v>104</v>
      </c>
      <c r="BS216" t="s">
        <v>3896</v>
      </c>
      <c r="BT216" t="str">
        <f>HYPERLINK("https%3A%2F%2Fwww.webofscience.com%2Fwos%2Fwoscc%2Ffull-record%2FWOS:001142016400001","View Full Record in Web of Science")</f>
        <v>View Full Record in Web of Science</v>
      </c>
    </row>
    <row r="217" spans="1:72" x14ac:dyDescent="0.25">
      <c r="A217" t="s">
        <v>72</v>
      </c>
      <c r="B217" t="s">
        <v>3897</v>
      </c>
      <c r="C217" t="s">
        <v>74</v>
      </c>
      <c r="D217" t="s">
        <v>74</v>
      </c>
      <c r="E217" t="s">
        <v>74</v>
      </c>
      <c r="F217" t="s">
        <v>3898</v>
      </c>
      <c r="G217" t="s">
        <v>74</v>
      </c>
      <c r="H217" t="s">
        <v>74</v>
      </c>
      <c r="I217" t="s">
        <v>3899</v>
      </c>
      <c r="J217" t="s">
        <v>3900</v>
      </c>
      <c r="K217" t="s">
        <v>74</v>
      </c>
      <c r="L217" t="s">
        <v>74</v>
      </c>
      <c r="M217" t="s">
        <v>78</v>
      </c>
      <c r="N217" t="s">
        <v>79</v>
      </c>
      <c r="O217" t="s">
        <v>74</v>
      </c>
      <c r="P217" t="s">
        <v>74</v>
      </c>
      <c r="Q217" t="s">
        <v>74</v>
      </c>
      <c r="R217" t="s">
        <v>74</v>
      </c>
      <c r="S217" t="s">
        <v>74</v>
      </c>
      <c r="T217" t="s">
        <v>3901</v>
      </c>
      <c r="U217" t="s">
        <v>3902</v>
      </c>
      <c r="V217" t="s">
        <v>3903</v>
      </c>
      <c r="W217" t="s">
        <v>3904</v>
      </c>
      <c r="X217" t="s">
        <v>3905</v>
      </c>
      <c r="Y217" t="s">
        <v>3906</v>
      </c>
      <c r="Z217" t="s">
        <v>3907</v>
      </c>
      <c r="AA217" t="s">
        <v>3908</v>
      </c>
      <c r="AB217" t="s">
        <v>74</v>
      </c>
      <c r="AC217" t="s">
        <v>3909</v>
      </c>
      <c r="AD217" t="s">
        <v>3910</v>
      </c>
      <c r="AE217" t="s">
        <v>3911</v>
      </c>
      <c r="AF217" t="s">
        <v>74</v>
      </c>
      <c r="AG217">
        <v>88</v>
      </c>
      <c r="AH217">
        <v>1</v>
      </c>
      <c r="AI217">
        <v>1</v>
      </c>
      <c r="AJ217">
        <v>8</v>
      </c>
      <c r="AK217">
        <v>8</v>
      </c>
      <c r="AL217" t="s">
        <v>138</v>
      </c>
      <c r="AM217" t="s">
        <v>139</v>
      </c>
      <c r="AN217" t="s">
        <v>140</v>
      </c>
      <c r="AO217" t="s">
        <v>3912</v>
      </c>
      <c r="AP217" t="s">
        <v>3913</v>
      </c>
      <c r="AQ217" t="s">
        <v>74</v>
      </c>
      <c r="AR217" t="s">
        <v>3914</v>
      </c>
      <c r="AS217" t="s">
        <v>3915</v>
      </c>
      <c r="AT217" t="s">
        <v>1076</v>
      </c>
      <c r="AU217">
        <v>2024</v>
      </c>
      <c r="AV217">
        <v>62</v>
      </c>
      <c r="AW217" t="s">
        <v>74</v>
      </c>
      <c r="AX217" t="s">
        <v>3916</v>
      </c>
      <c r="AY217" t="s">
        <v>74</v>
      </c>
      <c r="AZ217" t="s">
        <v>74</v>
      </c>
      <c r="BA217" t="s">
        <v>74</v>
      </c>
      <c r="BB217" t="s">
        <v>74</v>
      </c>
      <c r="BC217" t="s">
        <v>74</v>
      </c>
      <c r="BD217">
        <v>102922</v>
      </c>
      <c r="BE217" t="s">
        <v>3917</v>
      </c>
      <c r="BF217" t="str">
        <f>HYPERLINK("http://dx.doi.org/10.1016/j.aei.2024.102922","http://dx.doi.org/10.1016/j.aei.2024.102922")</f>
        <v>http://dx.doi.org/10.1016/j.aei.2024.102922</v>
      </c>
      <c r="BG217" t="s">
        <v>74</v>
      </c>
      <c r="BH217" t="s">
        <v>1174</v>
      </c>
      <c r="BI217">
        <v>28</v>
      </c>
      <c r="BJ217" t="s">
        <v>3918</v>
      </c>
      <c r="BK217" t="s">
        <v>149</v>
      </c>
      <c r="BL217" t="s">
        <v>716</v>
      </c>
      <c r="BM217" t="s">
        <v>3919</v>
      </c>
      <c r="BN217" t="s">
        <v>74</v>
      </c>
      <c r="BO217" t="s">
        <v>74</v>
      </c>
      <c r="BP217" t="s">
        <v>74</v>
      </c>
      <c r="BQ217" t="s">
        <v>74</v>
      </c>
      <c r="BR217" t="s">
        <v>104</v>
      </c>
      <c r="BS217" t="s">
        <v>3920</v>
      </c>
      <c r="BT217" t="str">
        <f>HYPERLINK("https%3A%2F%2Fwww.webofscience.com%2Fwos%2Fwoscc%2Ffull-record%2FWOS:001352882300001","View Full Record in Web of Science")</f>
        <v>View Full Record in Web of Science</v>
      </c>
    </row>
    <row r="218" spans="1:72" x14ac:dyDescent="0.25">
      <c r="A218" t="s">
        <v>72</v>
      </c>
      <c r="B218" t="s">
        <v>3921</v>
      </c>
      <c r="C218" t="s">
        <v>74</v>
      </c>
      <c r="D218" t="s">
        <v>74</v>
      </c>
      <c r="E218" t="s">
        <v>74</v>
      </c>
      <c r="F218" t="s">
        <v>3922</v>
      </c>
      <c r="G218" t="s">
        <v>74</v>
      </c>
      <c r="H218" t="s">
        <v>74</v>
      </c>
      <c r="I218" t="s">
        <v>3923</v>
      </c>
      <c r="J218" t="s">
        <v>128</v>
      </c>
      <c r="K218" t="s">
        <v>74</v>
      </c>
      <c r="L218" t="s">
        <v>74</v>
      </c>
      <c r="M218" t="s">
        <v>78</v>
      </c>
      <c r="N218" t="s">
        <v>79</v>
      </c>
      <c r="O218" t="s">
        <v>74</v>
      </c>
      <c r="P218" t="s">
        <v>74</v>
      </c>
      <c r="Q218" t="s">
        <v>74</v>
      </c>
      <c r="R218" t="s">
        <v>74</v>
      </c>
      <c r="S218" t="s">
        <v>74</v>
      </c>
      <c r="T218" t="s">
        <v>3924</v>
      </c>
      <c r="U218" t="s">
        <v>3925</v>
      </c>
      <c r="V218" t="s">
        <v>3926</v>
      </c>
      <c r="W218" t="s">
        <v>3927</v>
      </c>
      <c r="X218" t="s">
        <v>3361</v>
      </c>
      <c r="Y218" t="s">
        <v>3928</v>
      </c>
      <c r="Z218" t="s">
        <v>3929</v>
      </c>
      <c r="AA218" t="s">
        <v>74</v>
      </c>
      <c r="AB218" t="s">
        <v>74</v>
      </c>
      <c r="AC218" t="s">
        <v>3930</v>
      </c>
      <c r="AD218" t="s">
        <v>3931</v>
      </c>
      <c r="AE218" t="s">
        <v>3932</v>
      </c>
      <c r="AF218" t="s">
        <v>74</v>
      </c>
      <c r="AG218">
        <v>39</v>
      </c>
      <c r="AH218">
        <v>12</v>
      </c>
      <c r="AI218">
        <v>12</v>
      </c>
      <c r="AJ218">
        <v>17</v>
      </c>
      <c r="AK218">
        <v>37</v>
      </c>
      <c r="AL218" t="s">
        <v>138</v>
      </c>
      <c r="AM218" t="s">
        <v>139</v>
      </c>
      <c r="AN218" t="s">
        <v>140</v>
      </c>
      <c r="AO218" t="s">
        <v>141</v>
      </c>
      <c r="AP218" t="s">
        <v>142</v>
      </c>
      <c r="AQ218" t="s">
        <v>74</v>
      </c>
      <c r="AR218" t="s">
        <v>143</v>
      </c>
      <c r="AS218" t="s">
        <v>144</v>
      </c>
      <c r="AT218" t="s">
        <v>533</v>
      </c>
      <c r="AU218">
        <v>2024</v>
      </c>
      <c r="AV218">
        <v>242</v>
      </c>
      <c r="AW218" t="s">
        <v>74</v>
      </c>
      <c r="AX218" t="s">
        <v>74</v>
      </c>
      <c r="AY218" t="s">
        <v>74</v>
      </c>
      <c r="AZ218" t="s">
        <v>74</v>
      </c>
      <c r="BA218" t="s">
        <v>74</v>
      </c>
      <c r="BB218" t="s">
        <v>74</v>
      </c>
      <c r="BC218" t="s">
        <v>74</v>
      </c>
      <c r="BD218">
        <v>109710</v>
      </c>
      <c r="BE218" t="s">
        <v>3933</v>
      </c>
      <c r="BF218" t="str">
        <f>HYPERLINK("http://dx.doi.org/10.1016/j.ress.2023.109710","http://dx.doi.org/10.1016/j.ress.2023.109710")</f>
        <v>http://dx.doi.org/10.1016/j.ress.2023.109710</v>
      </c>
      <c r="BG218" t="s">
        <v>74</v>
      </c>
      <c r="BH218" t="s">
        <v>846</v>
      </c>
      <c r="BI218">
        <v>11</v>
      </c>
      <c r="BJ218" t="s">
        <v>148</v>
      </c>
      <c r="BK218" t="s">
        <v>149</v>
      </c>
      <c r="BL218" t="s">
        <v>150</v>
      </c>
      <c r="BM218" t="s">
        <v>3934</v>
      </c>
      <c r="BN218" t="s">
        <v>74</v>
      </c>
      <c r="BO218" t="s">
        <v>74</v>
      </c>
      <c r="BP218" t="s">
        <v>74</v>
      </c>
      <c r="BQ218" t="s">
        <v>74</v>
      </c>
      <c r="BR218" t="s">
        <v>104</v>
      </c>
      <c r="BS218" t="s">
        <v>3935</v>
      </c>
      <c r="BT218" t="str">
        <f>HYPERLINK("https%3A%2F%2Fwww.webofscience.com%2Fwos%2Fwoscc%2Ffull-record%2FWOS:001097306900001","View Full Record in Web of Science")</f>
        <v>View Full Record in Web of Science</v>
      </c>
    </row>
    <row r="219" spans="1:72" x14ac:dyDescent="0.25">
      <c r="A219" t="s">
        <v>72</v>
      </c>
      <c r="B219" t="s">
        <v>3936</v>
      </c>
      <c r="C219" t="s">
        <v>74</v>
      </c>
      <c r="D219" t="s">
        <v>74</v>
      </c>
      <c r="E219" t="s">
        <v>74</v>
      </c>
      <c r="F219" t="s">
        <v>3937</v>
      </c>
      <c r="G219" t="s">
        <v>74</v>
      </c>
      <c r="H219" t="s">
        <v>74</v>
      </c>
      <c r="I219" t="s">
        <v>3938</v>
      </c>
      <c r="J219" t="s">
        <v>2893</v>
      </c>
      <c r="K219" t="s">
        <v>74</v>
      </c>
      <c r="L219" t="s">
        <v>74</v>
      </c>
      <c r="M219" t="s">
        <v>78</v>
      </c>
      <c r="N219" t="s">
        <v>79</v>
      </c>
      <c r="O219" t="s">
        <v>74</v>
      </c>
      <c r="P219" t="s">
        <v>74</v>
      </c>
      <c r="Q219" t="s">
        <v>74</v>
      </c>
      <c r="R219" t="s">
        <v>74</v>
      </c>
      <c r="S219" t="s">
        <v>74</v>
      </c>
      <c r="T219" t="s">
        <v>3939</v>
      </c>
      <c r="U219" t="s">
        <v>3940</v>
      </c>
      <c r="V219" t="s">
        <v>3941</v>
      </c>
      <c r="W219" t="s">
        <v>3942</v>
      </c>
      <c r="X219" t="s">
        <v>3943</v>
      </c>
      <c r="Y219" t="s">
        <v>3944</v>
      </c>
      <c r="Z219" t="s">
        <v>3945</v>
      </c>
      <c r="AA219" t="s">
        <v>3946</v>
      </c>
      <c r="AB219" t="s">
        <v>74</v>
      </c>
      <c r="AC219" t="s">
        <v>3947</v>
      </c>
      <c r="AD219" t="s">
        <v>3948</v>
      </c>
      <c r="AE219" t="s">
        <v>3949</v>
      </c>
      <c r="AF219" t="s">
        <v>74</v>
      </c>
      <c r="AG219">
        <v>19</v>
      </c>
      <c r="AH219">
        <v>11</v>
      </c>
      <c r="AI219">
        <v>11</v>
      </c>
      <c r="AJ219">
        <v>1</v>
      </c>
      <c r="AK219">
        <v>17</v>
      </c>
      <c r="AL219" t="s">
        <v>2903</v>
      </c>
      <c r="AM219" t="s">
        <v>2904</v>
      </c>
      <c r="AN219" t="s">
        <v>2905</v>
      </c>
      <c r="AO219" t="s">
        <v>2906</v>
      </c>
      <c r="AP219" t="s">
        <v>2907</v>
      </c>
      <c r="AQ219" t="s">
        <v>74</v>
      </c>
      <c r="AR219" t="s">
        <v>2908</v>
      </c>
      <c r="AS219" t="s">
        <v>2909</v>
      </c>
      <c r="AT219" t="s">
        <v>1867</v>
      </c>
      <c r="AU219">
        <v>2019</v>
      </c>
      <c r="AV219">
        <v>10</v>
      </c>
      <c r="AW219">
        <v>2</v>
      </c>
      <c r="AX219" t="s">
        <v>74</v>
      </c>
      <c r="AY219" t="s">
        <v>74</v>
      </c>
      <c r="AZ219" t="s">
        <v>74</v>
      </c>
      <c r="BA219" t="s">
        <v>74</v>
      </c>
      <c r="BB219">
        <v>225</v>
      </c>
      <c r="BC219">
        <v>238</v>
      </c>
      <c r="BD219" t="s">
        <v>74</v>
      </c>
      <c r="BE219" t="s">
        <v>3950</v>
      </c>
      <c r="BF219" t="str">
        <f>HYPERLINK("http://dx.doi.org/10.5267/j.ijiec.2018.7.001","http://dx.doi.org/10.5267/j.ijiec.2018.7.001")</f>
        <v>http://dx.doi.org/10.5267/j.ijiec.2018.7.001</v>
      </c>
      <c r="BG219" t="s">
        <v>74</v>
      </c>
      <c r="BH219" t="s">
        <v>74</v>
      </c>
      <c r="BI219">
        <v>14</v>
      </c>
      <c r="BJ219" t="s">
        <v>148</v>
      </c>
      <c r="BK219" t="s">
        <v>149</v>
      </c>
      <c r="BL219" t="s">
        <v>150</v>
      </c>
      <c r="BM219" t="s">
        <v>3951</v>
      </c>
      <c r="BN219" t="s">
        <v>74</v>
      </c>
      <c r="BO219" t="s">
        <v>278</v>
      </c>
      <c r="BP219" t="s">
        <v>74</v>
      </c>
      <c r="BQ219" t="s">
        <v>74</v>
      </c>
      <c r="BR219" t="s">
        <v>104</v>
      </c>
      <c r="BS219" t="s">
        <v>3952</v>
      </c>
      <c r="BT219" t="str">
        <f>HYPERLINK("https%3A%2F%2Fwww.webofscience.com%2Fwos%2Fwoscc%2Ffull-record%2FWOS:000468074200005","View Full Record in Web of Science")</f>
        <v>View Full Record in Web of Science</v>
      </c>
    </row>
    <row r="220" spans="1:72" x14ac:dyDescent="0.25">
      <c r="A220" t="s">
        <v>72</v>
      </c>
      <c r="B220" t="s">
        <v>3953</v>
      </c>
      <c r="C220" t="s">
        <v>74</v>
      </c>
      <c r="D220" t="s">
        <v>74</v>
      </c>
      <c r="E220" t="s">
        <v>74</v>
      </c>
      <c r="F220" t="s">
        <v>3954</v>
      </c>
      <c r="G220" t="s">
        <v>74</v>
      </c>
      <c r="H220" t="s">
        <v>74</v>
      </c>
      <c r="I220" t="s">
        <v>3955</v>
      </c>
      <c r="J220" t="s">
        <v>128</v>
      </c>
      <c r="K220" t="s">
        <v>74</v>
      </c>
      <c r="L220" t="s">
        <v>74</v>
      </c>
      <c r="M220" t="s">
        <v>78</v>
      </c>
      <c r="N220" t="s">
        <v>79</v>
      </c>
      <c r="O220" t="s">
        <v>74</v>
      </c>
      <c r="P220" t="s">
        <v>74</v>
      </c>
      <c r="Q220" t="s">
        <v>74</v>
      </c>
      <c r="R220" t="s">
        <v>74</v>
      </c>
      <c r="S220" t="s">
        <v>74</v>
      </c>
      <c r="T220" t="s">
        <v>3956</v>
      </c>
      <c r="U220" t="s">
        <v>3957</v>
      </c>
      <c r="V220" t="s">
        <v>3958</v>
      </c>
      <c r="W220" t="s">
        <v>3959</v>
      </c>
      <c r="X220" t="s">
        <v>3361</v>
      </c>
      <c r="Y220" t="s">
        <v>3423</v>
      </c>
      <c r="Z220" t="s">
        <v>3424</v>
      </c>
      <c r="AA220" t="s">
        <v>3960</v>
      </c>
      <c r="AB220" t="s">
        <v>1299</v>
      </c>
      <c r="AC220" t="s">
        <v>3961</v>
      </c>
      <c r="AD220" t="s">
        <v>3962</v>
      </c>
      <c r="AE220" t="s">
        <v>3963</v>
      </c>
      <c r="AF220" t="s">
        <v>74</v>
      </c>
      <c r="AG220">
        <v>52</v>
      </c>
      <c r="AH220">
        <v>37</v>
      </c>
      <c r="AI220">
        <v>37</v>
      </c>
      <c r="AJ220">
        <v>13</v>
      </c>
      <c r="AK220">
        <v>91</v>
      </c>
      <c r="AL220" t="s">
        <v>138</v>
      </c>
      <c r="AM220" t="s">
        <v>139</v>
      </c>
      <c r="AN220" t="s">
        <v>140</v>
      </c>
      <c r="AO220" t="s">
        <v>141</v>
      </c>
      <c r="AP220" t="s">
        <v>142</v>
      </c>
      <c r="AQ220" t="s">
        <v>74</v>
      </c>
      <c r="AR220" t="s">
        <v>143</v>
      </c>
      <c r="AS220" t="s">
        <v>144</v>
      </c>
      <c r="AT220" t="s">
        <v>145</v>
      </c>
      <c r="AU220">
        <v>2022</v>
      </c>
      <c r="AV220">
        <v>228</v>
      </c>
      <c r="AW220" t="s">
        <v>74</v>
      </c>
      <c r="AX220" t="s">
        <v>74</v>
      </c>
      <c r="AY220" t="s">
        <v>74</v>
      </c>
      <c r="AZ220" t="s">
        <v>74</v>
      </c>
      <c r="BA220" t="s">
        <v>74</v>
      </c>
      <c r="BB220" t="s">
        <v>74</v>
      </c>
      <c r="BC220" t="s">
        <v>74</v>
      </c>
      <c r="BD220">
        <v>108767</v>
      </c>
      <c r="BE220" t="s">
        <v>3964</v>
      </c>
      <c r="BF220" t="str">
        <f>HYPERLINK("http://dx.doi.org/10.1016/j.ress.2022.108767","http://dx.doi.org/10.1016/j.ress.2022.108767")</f>
        <v>http://dx.doi.org/10.1016/j.ress.2022.108767</v>
      </c>
      <c r="BG220" t="s">
        <v>74</v>
      </c>
      <c r="BH220" t="s">
        <v>865</v>
      </c>
      <c r="BI220">
        <v>12</v>
      </c>
      <c r="BJ220" t="s">
        <v>148</v>
      </c>
      <c r="BK220" t="s">
        <v>149</v>
      </c>
      <c r="BL220" t="s">
        <v>150</v>
      </c>
      <c r="BM220" t="s">
        <v>3965</v>
      </c>
      <c r="BN220" t="s">
        <v>74</v>
      </c>
      <c r="BO220" t="s">
        <v>74</v>
      </c>
      <c r="BP220" t="s">
        <v>74</v>
      </c>
      <c r="BQ220" t="s">
        <v>74</v>
      </c>
      <c r="BR220" t="s">
        <v>104</v>
      </c>
      <c r="BS220" t="s">
        <v>3966</v>
      </c>
      <c r="BT220" t="str">
        <f>HYPERLINK("https%3A%2F%2Fwww.webofscience.com%2Fwos%2Fwoscc%2Ffull-record%2FWOS:000862580900009","View Full Record in Web of Science")</f>
        <v>View Full Record in Web of Science</v>
      </c>
    </row>
    <row r="221" spans="1:72" x14ac:dyDescent="0.25">
      <c r="A221" t="s">
        <v>72</v>
      </c>
      <c r="B221" t="s">
        <v>3967</v>
      </c>
      <c r="C221" t="s">
        <v>74</v>
      </c>
      <c r="D221" t="s">
        <v>74</v>
      </c>
      <c r="E221" t="s">
        <v>74</v>
      </c>
      <c r="F221" t="s">
        <v>3968</v>
      </c>
      <c r="G221" t="s">
        <v>74</v>
      </c>
      <c r="H221" t="s">
        <v>74</v>
      </c>
      <c r="I221" t="s">
        <v>3969</v>
      </c>
      <c r="J221" t="s">
        <v>3466</v>
      </c>
      <c r="K221" t="s">
        <v>74</v>
      </c>
      <c r="L221" t="s">
        <v>74</v>
      </c>
      <c r="M221" t="s">
        <v>78</v>
      </c>
      <c r="N221" t="s">
        <v>79</v>
      </c>
      <c r="O221" t="s">
        <v>74</v>
      </c>
      <c r="P221" t="s">
        <v>74</v>
      </c>
      <c r="Q221" t="s">
        <v>74</v>
      </c>
      <c r="R221" t="s">
        <v>74</v>
      </c>
      <c r="S221" t="s">
        <v>74</v>
      </c>
      <c r="T221" t="s">
        <v>3970</v>
      </c>
      <c r="U221" t="s">
        <v>3971</v>
      </c>
      <c r="V221" t="s">
        <v>3972</v>
      </c>
      <c r="W221" t="s">
        <v>3973</v>
      </c>
      <c r="X221" t="s">
        <v>3974</v>
      </c>
      <c r="Y221" t="s">
        <v>3975</v>
      </c>
      <c r="Z221" t="s">
        <v>3976</v>
      </c>
      <c r="AA221" t="s">
        <v>3977</v>
      </c>
      <c r="AB221" t="s">
        <v>3978</v>
      </c>
      <c r="AC221" t="s">
        <v>74</v>
      </c>
      <c r="AD221" t="s">
        <v>74</v>
      </c>
      <c r="AE221" t="s">
        <v>74</v>
      </c>
      <c r="AF221" t="s">
        <v>74</v>
      </c>
      <c r="AG221">
        <v>36</v>
      </c>
      <c r="AH221">
        <v>4</v>
      </c>
      <c r="AI221">
        <v>4</v>
      </c>
      <c r="AJ221">
        <v>2</v>
      </c>
      <c r="AK221">
        <v>11</v>
      </c>
      <c r="AL221" t="s">
        <v>311</v>
      </c>
      <c r="AM221" t="s">
        <v>312</v>
      </c>
      <c r="AN221" t="s">
        <v>313</v>
      </c>
      <c r="AO221" t="s">
        <v>74</v>
      </c>
      <c r="AP221" t="s">
        <v>3478</v>
      </c>
      <c r="AQ221" t="s">
        <v>74</v>
      </c>
      <c r="AR221" t="s">
        <v>3479</v>
      </c>
      <c r="AS221" t="s">
        <v>3480</v>
      </c>
      <c r="AT221" t="s">
        <v>3979</v>
      </c>
      <c r="AU221">
        <v>2021</v>
      </c>
      <c r="AV221">
        <v>9</v>
      </c>
      <c r="AW221">
        <v>1</v>
      </c>
      <c r="AX221" t="s">
        <v>74</v>
      </c>
      <c r="AY221" t="s">
        <v>74</v>
      </c>
      <c r="AZ221" t="s">
        <v>74</v>
      </c>
      <c r="BA221" t="s">
        <v>74</v>
      </c>
      <c r="BB221">
        <v>281</v>
      </c>
      <c r="BC221">
        <v>298</v>
      </c>
      <c r="BD221" t="s">
        <v>74</v>
      </c>
      <c r="BE221" t="s">
        <v>3980</v>
      </c>
      <c r="BF221" t="str">
        <f>HYPERLINK("http://dx.doi.org/10.1080/21693277.2021.1978898","http://dx.doi.org/10.1080/21693277.2021.1978898")</f>
        <v>http://dx.doi.org/10.1080/21693277.2021.1978898</v>
      </c>
      <c r="BG221" t="s">
        <v>74</v>
      </c>
      <c r="BH221" t="s">
        <v>74</v>
      </c>
      <c r="BI221">
        <v>18</v>
      </c>
      <c r="BJ221" t="s">
        <v>100</v>
      </c>
      <c r="BK221" t="s">
        <v>101</v>
      </c>
      <c r="BL221" t="s">
        <v>102</v>
      </c>
      <c r="BM221" t="s">
        <v>3981</v>
      </c>
      <c r="BN221" t="s">
        <v>74</v>
      </c>
      <c r="BO221" t="s">
        <v>208</v>
      </c>
      <c r="BP221" t="s">
        <v>74</v>
      </c>
      <c r="BQ221" t="s">
        <v>74</v>
      </c>
      <c r="BR221" t="s">
        <v>104</v>
      </c>
      <c r="BS221" t="s">
        <v>3982</v>
      </c>
      <c r="BT221" t="str">
        <f>HYPERLINK("https%3A%2F%2Fwww.webofscience.com%2Fwos%2Fwoscc%2Ffull-record%2FWOS:000748385300001","View Full Record in Web of Science")</f>
        <v>View Full Record in Web of Science</v>
      </c>
    </row>
    <row r="222" spans="1:72" x14ac:dyDescent="0.25">
      <c r="A222" t="s">
        <v>72</v>
      </c>
      <c r="B222" t="s">
        <v>3983</v>
      </c>
      <c r="C222" t="s">
        <v>74</v>
      </c>
      <c r="D222" t="s">
        <v>74</v>
      </c>
      <c r="E222" t="s">
        <v>74</v>
      </c>
      <c r="F222" t="s">
        <v>3984</v>
      </c>
      <c r="G222" t="s">
        <v>74</v>
      </c>
      <c r="H222" t="s">
        <v>74</v>
      </c>
      <c r="I222" t="s">
        <v>3985</v>
      </c>
      <c r="J222" t="s">
        <v>697</v>
      </c>
      <c r="K222" t="s">
        <v>74</v>
      </c>
      <c r="L222" t="s">
        <v>74</v>
      </c>
      <c r="M222" t="s">
        <v>78</v>
      </c>
      <c r="N222" t="s">
        <v>79</v>
      </c>
      <c r="O222" t="s">
        <v>74</v>
      </c>
      <c r="P222" t="s">
        <v>74</v>
      </c>
      <c r="Q222" t="s">
        <v>74</v>
      </c>
      <c r="R222" t="s">
        <v>74</v>
      </c>
      <c r="S222" t="s">
        <v>74</v>
      </c>
      <c r="T222" t="s">
        <v>3986</v>
      </c>
      <c r="U222" t="s">
        <v>3987</v>
      </c>
      <c r="V222" t="s">
        <v>3988</v>
      </c>
      <c r="W222" t="s">
        <v>3989</v>
      </c>
      <c r="X222" t="s">
        <v>3990</v>
      </c>
      <c r="Y222" t="s">
        <v>3991</v>
      </c>
      <c r="Z222" t="s">
        <v>3992</v>
      </c>
      <c r="AA222" t="s">
        <v>3993</v>
      </c>
      <c r="AB222" t="s">
        <v>3994</v>
      </c>
      <c r="AC222" t="s">
        <v>3995</v>
      </c>
      <c r="AD222" t="s">
        <v>3996</v>
      </c>
      <c r="AE222" t="s">
        <v>3997</v>
      </c>
      <c r="AF222" t="s">
        <v>74</v>
      </c>
      <c r="AG222">
        <v>66</v>
      </c>
      <c r="AH222">
        <v>26</v>
      </c>
      <c r="AI222">
        <v>26</v>
      </c>
      <c r="AJ222">
        <v>7</v>
      </c>
      <c r="AK222">
        <v>59</v>
      </c>
      <c r="AL222" t="s">
        <v>707</v>
      </c>
      <c r="AM222" t="s">
        <v>246</v>
      </c>
      <c r="AN222" t="s">
        <v>708</v>
      </c>
      <c r="AO222" t="s">
        <v>709</v>
      </c>
      <c r="AP222" t="s">
        <v>710</v>
      </c>
      <c r="AQ222" t="s">
        <v>74</v>
      </c>
      <c r="AR222" t="s">
        <v>711</v>
      </c>
      <c r="AS222" t="s">
        <v>712</v>
      </c>
      <c r="AT222" t="s">
        <v>491</v>
      </c>
      <c r="AU222">
        <v>2021</v>
      </c>
      <c r="AV222">
        <v>161</v>
      </c>
      <c r="AW222" t="s">
        <v>74</v>
      </c>
      <c r="AX222" t="s">
        <v>74</v>
      </c>
      <c r="AY222" t="s">
        <v>74</v>
      </c>
      <c r="AZ222" t="s">
        <v>74</v>
      </c>
      <c r="BA222" t="s">
        <v>74</v>
      </c>
      <c r="BB222" t="s">
        <v>74</v>
      </c>
      <c r="BC222" t="s">
        <v>74</v>
      </c>
      <c r="BD222">
        <v>107622</v>
      </c>
      <c r="BE222" t="s">
        <v>3998</v>
      </c>
      <c r="BF222" t="str">
        <f>HYPERLINK("http://dx.doi.org/10.1016/j.cie.2021.107622","http://dx.doi.org/10.1016/j.cie.2021.107622")</f>
        <v>http://dx.doi.org/10.1016/j.cie.2021.107622</v>
      </c>
      <c r="BG222" t="s">
        <v>74</v>
      </c>
      <c r="BH222" t="s">
        <v>2089</v>
      </c>
      <c r="BI222">
        <v>14</v>
      </c>
      <c r="BJ222" t="s">
        <v>715</v>
      </c>
      <c r="BK222" t="s">
        <v>149</v>
      </c>
      <c r="BL222" t="s">
        <v>716</v>
      </c>
      <c r="BM222" t="s">
        <v>3999</v>
      </c>
      <c r="BN222" t="s">
        <v>74</v>
      </c>
      <c r="BO222" t="s">
        <v>74</v>
      </c>
      <c r="BP222" t="s">
        <v>74</v>
      </c>
      <c r="BQ222" t="s">
        <v>74</v>
      </c>
      <c r="BR222" t="s">
        <v>104</v>
      </c>
      <c r="BS222" t="s">
        <v>4000</v>
      </c>
      <c r="BT222" t="str">
        <f>HYPERLINK("https%3A%2F%2Fwww.webofscience.com%2Fwos%2Fwoscc%2Ffull-record%2FWOS:000707150300013","View Full Record in Web of Science")</f>
        <v>View Full Record in Web of Science</v>
      </c>
    </row>
    <row r="223" spans="1:72" x14ac:dyDescent="0.25">
      <c r="A223" t="s">
        <v>72</v>
      </c>
      <c r="B223" t="s">
        <v>4001</v>
      </c>
      <c r="C223" t="s">
        <v>74</v>
      </c>
      <c r="D223" t="s">
        <v>74</v>
      </c>
      <c r="E223" t="s">
        <v>74</v>
      </c>
      <c r="F223" t="s">
        <v>4002</v>
      </c>
      <c r="G223" t="s">
        <v>74</v>
      </c>
      <c r="H223" t="s">
        <v>74</v>
      </c>
      <c r="I223" t="s">
        <v>4003</v>
      </c>
      <c r="J223" t="s">
        <v>697</v>
      </c>
      <c r="K223" t="s">
        <v>74</v>
      </c>
      <c r="L223" t="s">
        <v>74</v>
      </c>
      <c r="M223" t="s">
        <v>78</v>
      </c>
      <c r="N223" t="s">
        <v>79</v>
      </c>
      <c r="O223" t="s">
        <v>74</v>
      </c>
      <c r="P223" t="s">
        <v>74</v>
      </c>
      <c r="Q223" t="s">
        <v>74</v>
      </c>
      <c r="R223" t="s">
        <v>74</v>
      </c>
      <c r="S223" t="s">
        <v>74</v>
      </c>
      <c r="T223" t="s">
        <v>4004</v>
      </c>
      <c r="U223" t="s">
        <v>4005</v>
      </c>
      <c r="V223" t="s">
        <v>4006</v>
      </c>
      <c r="W223" t="s">
        <v>4007</v>
      </c>
      <c r="X223" t="s">
        <v>4008</v>
      </c>
      <c r="Y223" t="s">
        <v>4009</v>
      </c>
      <c r="Z223" t="s">
        <v>4010</v>
      </c>
      <c r="AA223" t="s">
        <v>4011</v>
      </c>
      <c r="AB223" t="s">
        <v>4012</v>
      </c>
      <c r="AC223" t="s">
        <v>4013</v>
      </c>
      <c r="AD223" t="s">
        <v>4014</v>
      </c>
      <c r="AE223" t="s">
        <v>4015</v>
      </c>
      <c r="AF223" t="s">
        <v>74</v>
      </c>
      <c r="AG223">
        <v>41</v>
      </c>
      <c r="AH223">
        <v>23</v>
      </c>
      <c r="AI223">
        <v>25</v>
      </c>
      <c r="AJ223">
        <v>7</v>
      </c>
      <c r="AK223">
        <v>38</v>
      </c>
      <c r="AL223" t="s">
        <v>707</v>
      </c>
      <c r="AM223" t="s">
        <v>246</v>
      </c>
      <c r="AN223" t="s">
        <v>708</v>
      </c>
      <c r="AO223" t="s">
        <v>709</v>
      </c>
      <c r="AP223" t="s">
        <v>710</v>
      </c>
      <c r="AQ223" t="s">
        <v>74</v>
      </c>
      <c r="AR223" t="s">
        <v>711</v>
      </c>
      <c r="AS223" t="s">
        <v>712</v>
      </c>
      <c r="AT223" t="s">
        <v>248</v>
      </c>
      <c r="AU223">
        <v>2020</v>
      </c>
      <c r="AV223">
        <v>145</v>
      </c>
      <c r="AW223" t="s">
        <v>74</v>
      </c>
      <c r="AX223" t="s">
        <v>74</v>
      </c>
      <c r="AY223" t="s">
        <v>74</v>
      </c>
      <c r="AZ223" t="s">
        <v>74</v>
      </c>
      <c r="BA223" t="s">
        <v>74</v>
      </c>
      <c r="BB223" t="s">
        <v>74</v>
      </c>
      <c r="BC223" t="s">
        <v>74</v>
      </c>
      <c r="BD223">
        <v>106508</v>
      </c>
      <c r="BE223" t="s">
        <v>4016</v>
      </c>
      <c r="BF223" t="str">
        <f>HYPERLINK("http://dx.doi.org/10.1016/j.cie.2020.106508","http://dx.doi.org/10.1016/j.cie.2020.106508")</f>
        <v>http://dx.doi.org/10.1016/j.cie.2020.106508</v>
      </c>
      <c r="BG223" t="s">
        <v>74</v>
      </c>
      <c r="BH223" t="s">
        <v>74</v>
      </c>
      <c r="BI223">
        <v>11</v>
      </c>
      <c r="BJ223" t="s">
        <v>715</v>
      </c>
      <c r="BK223" t="s">
        <v>149</v>
      </c>
      <c r="BL223" t="s">
        <v>716</v>
      </c>
      <c r="BM223" t="s">
        <v>4017</v>
      </c>
      <c r="BN223" t="s">
        <v>74</v>
      </c>
      <c r="BO223" t="s">
        <v>74</v>
      </c>
      <c r="BP223" t="s">
        <v>74</v>
      </c>
      <c r="BQ223" t="s">
        <v>74</v>
      </c>
      <c r="BR223" t="s">
        <v>104</v>
      </c>
      <c r="BS223" t="s">
        <v>4018</v>
      </c>
      <c r="BT223" t="str">
        <f>HYPERLINK("https%3A%2F%2Fwww.webofscience.com%2Fwos%2Fwoscc%2Ffull-record%2FWOS:000542180000024","View Full Record in Web of Science")</f>
        <v>View Full Record in Web of Science</v>
      </c>
    </row>
    <row r="224" spans="1:72" x14ac:dyDescent="0.25">
      <c r="A224" t="s">
        <v>72</v>
      </c>
      <c r="B224" t="s">
        <v>4019</v>
      </c>
      <c r="C224" t="s">
        <v>74</v>
      </c>
      <c r="D224" t="s">
        <v>74</v>
      </c>
      <c r="E224" t="s">
        <v>74</v>
      </c>
      <c r="F224" t="s">
        <v>4020</v>
      </c>
      <c r="G224" t="s">
        <v>74</v>
      </c>
      <c r="H224" t="s">
        <v>74</v>
      </c>
      <c r="I224" t="s">
        <v>4021</v>
      </c>
      <c r="J224" t="s">
        <v>1402</v>
      </c>
      <c r="K224" t="s">
        <v>74</v>
      </c>
      <c r="L224" t="s">
        <v>74</v>
      </c>
      <c r="M224" t="s">
        <v>78</v>
      </c>
      <c r="N224" t="s">
        <v>79</v>
      </c>
      <c r="O224" t="s">
        <v>74</v>
      </c>
      <c r="P224" t="s">
        <v>74</v>
      </c>
      <c r="Q224" t="s">
        <v>74</v>
      </c>
      <c r="R224" t="s">
        <v>74</v>
      </c>
      <c r="S224" t="s">
        <v>74</v>
      </c>
      <c r="T224" t="s">
        <v>4022</v>
      </c>
      <c r="U224" t="s">
        <v>4023</v>
      </c>
      <c r="V224" t="s">
        <v>4024</v>
      </c>
      <c r="W224" t="s">
        <v>4025</v>
      </c>
      <c r="X224" t="s">
        <v>4026</v>
      </c>
      <c r="Y224" t="s">
        <v>4027</v>
      </c>
      <c r="Z224" t="s">
        <v>4028</v>
      </c>
      <c r="AA224" t="s">
        <v>4029</v>
      </c>
      <c r="AB224" t="s">
        <v>4030</v>
      </c>
      <c r="AC224" t="s">
        <v>4031</v>
      </c>
      <c r="AD224" t="s">
        <v>4032</v>
      </c>
      <c r="AE224" t="s">
        <v>4033</v>
      </c>
      <c r="AF224" t="s">
        <v>74</v>
      </c>
      <c r="AG224">
        <v>24</v>
      </c>
      <c r="AH224">
        <v>4</v>
      </c>
      <c r="AI224">
        <v>4</v>
      </c>
      <c r="AJ224">
        <v>8</v>
      </c>
      <c r="AK224">
        <v>35</v>
      </c>
      <c r="AL224" t="s">
        <v>1415</v>
      </c>
      <c r="AM224" t="s">
        <v>1416</v>
      </c>
      <c r="AN224" t="s">
        <v>1417</v>
      </c>
      <c r="AO224" t="s">
        <v>1418</v>
      </c>
      <c r="AP224" t="s">
        <v>1419</v>
      </c>
      <c r="AQ224" t="s">
        <v>74</v>
      </c>
      <c r="AR224" t="s">
        <v>1420</v>
      </c>
      <c r="AS224" t="s">
        <v>1421</v>
      </c>
      <c r="AT224" t="s">
        <v>2796</v>
      </c>
      <c r="AU224">
        <v>2023</v>
      </c>
      <c r="AV224">
        <v>55</v>
      </c>
      <c r="AW224">
        <v>4</v>
      </c>
      <c r="AX224" t="s">
        <v>74</v>
      </c>
      <c r="AY224" t="s">
        <v>74</v>
      </c>
      <c r="AZ224" t="s">
        <v>560</v>
      </c>
      <c r="BA224" t="s">
        <v>74</v>
      </c>
      <c r="BB224">
        <v>419</v>
      </c>
      <c r="BC224">
        <v>431</v>
      </c>
      <c r="BD224" t="s">
        <v>74</v>
      </c>
      <c r="BE224" t="s">
        <v>4034</v>
      </c>
      <c r="BF224" t="str">
        <f>HYPERLINK("http://dx.doi.org/10.1080/24725854.2022.2127164","http://dx.doi.org/10.1080/24725854.2022.2127164")</f>
        <v>http://dx.doi.org/10.1080/24725854.2022.2127164</v>
      </c>
      <c r="BG224" t="s">
        <v>74</v>
      </c>
      <c r="BH224" t="s">
        <v>1285</v>
      </c>
      <c r="BI224">
        <v>13</v>
      </c>
      <c r="BJ224" t="s">
        <v>148</v>
      </c>
      <c r="BK224" t="s">
        <v>149</v>
      </c>
      <c r="BL224" t="s">
        <v>150</v>
      </c>
      <c r="BM224" t="s">
        <v>4035</v>
      </c>
      <c r="BN224" t="s">
        <v>74</v>
      </c>
      <c r="BO224" t="s">
        <v>74</v>
      </c>
      <c r="BP224" t="s">
        <v>74</v>
      </c>
      <c r="BQ224" t="s">
        <v>74</v>
      </c>
      <c r="BR224" t="s">
        <v>104</v>
      </c>
      <c r="BS224" t="s">
        <v>4036</v>
      </c>
      <c r="BT224" t="str">
        <f>HYPERLINK("https%3A%2F%2Fwww.webofscience.com%2Fwos%2Fwoscc%2Ffull-record%2FWOS:000899107800001","View Full Record in Web of Science")</f>
        <v>View Full Record in Web of Science</v>
      </c>
    </row>
    <row r="225" spans="1:72" x14ac:dyDescent="0.25">
      <c r="A225" t="s">
        <v>72</v>
      </c>
      <c r="B225" t="s">
        <v>4037</v>
      </c>
      <c r="C225" t="s">
        <v>74</v>
      </c>
      <c r="D225" t="s">
        <v>74</v>
      </c>
      <c r="E225" t="s">
        <v>74</v>
      </c>
      <c r="F225" t="s">
        <v>4038</v>
      </c>
      <c r="G225" t="s">
        <v>74</v>
      </c>
      <c r="H225" t="s">
        <v>74</v>
      </c>
      <c r="I225" t="s">
        <v>4039</v>
      </c>
      <c r="J225" t="s">
        <v>3900</v>
      </c>
      <c r="K225" t="s">
        <v>74</v>
      </c>
      <c r="L225" t="s">
        <v>74</v>
      </c>
      <c r="M225" t="s">
        <v>78</v>
      </c>
      <c r="N225" t="s">
        <v>79</v>
      </c>
      <c r="O225" t="s">
        <v>74</v>
      </c>
      <c r="P225" t="s">
        <v>74</v>
      </c>
      <c r="Q225" t="s">
        <v>74</v>
      </c>
      <c r="R225" t="s">
        <v>74</v>
      </c>
      <c r="S225" t="s">
        <v>74</v>
      </c>
      <c r="T225" t="s">
        <v>4040</v>
      </c>
      <c r="U225" t="s">
        <v>4041</v>
      </c>
      <c r="V225" t="s">
        <v>4042</v>
      </c>
      <c r="W225" t="s">
        <v>4043</v>
      </c>
      <c r="X225" t="s">
        <v>4044</v>
      </c>
      <c r="Y225" t="s">
        <v>4045</v>
      </c>
      <c r="Z225" t="s">
        <v>4046</v>
      </c>
      <c r="AA225" t="s">
        <v>4047</v>
      </c>
      <c r="AB225" t="s">
        <v>4048</v>
      </c>
      <c r="AC225" t="s">
        <v>4049</v>
      </c>
      <c r="AD225" t="s">
        <v>4050</v>
      </c>
      <c r="AE225" t="s">
        <v>4051</v>
      </c>
      <c r="AF225" t="s">
        <v>74</v>
      </c>
      <c r="AG225">
        <v>42</v>
      </c>
      <c r="AH225">
        <v>6</v>
      </c>
      <c r="AI225">
        <v>6</v>
      </c>
      <c r="AJ225">
        <v>9</v>
      </c>
      <c r="AK225">
        <v>43</v>
      </c>
      <c r="AL225" t="s">
        <v>138</v>
      </c>
      <c r="AM225" t="s">
        <v>139</v>
      </c>
      <c r="AN225" t="s">
        <v>140</v>
      </c>
      <c r="AO225" t="s">
        <v>3912</v>
      </c>
      <c r="AP225" t="s">
        <v>3913</v>
      </c>
      <c r="AQ225" t="s">
        <v>74</v>
      </c>
      <c r="AR225" t="s">
        <v>3914</v>
      </c>
      <c r="AS225" t="s">
        <v>3915</v>
      </c>
      <c r="AT225" t="s">
        <v>2225</v>
      </c>
      <c r="AU225">
        <v>2023</v>
      </c>
      <c r="AV225">
        <v>57</v>
      </c>
      <c r="AW225" t="s">
        <v>74</v>
      </c>
      <c r="AX225" t="s">
        <v>74</v>
      </c>
      <c r="AY225" t="s">
        <v>74</v>
      </c>
      <c r="AZ225" t="s">
        <v>74</v>
      </c>
      <c r="BA225" t="s">
        <v>74</v>
      </c>
      <c r="BB225" t="s">
        <v>74</v>
      </c>
      <c r="BC225" t="s">
        <v>74</v>
      </c>
      <c r="BD225">
        <v>102090</v>
      </c>
      <c r="BE225" t="s">
        <v>4052</v>
      </c>
      <c r="BF225" t="str">
        <f>HYPERLINK("http://dx.doi.org/10.1016/j.aei.2023.102090","http://dx.doi.org/10.1016/j.aei.2023.102090")</f>
        <v>http://dx.doi.org/10.1016/j.aei.2023.102090</v>
      </c>
      <c r="BG225" t="s">
        <v>74</v>
      </c>
      <c r="BH225" t="s">
        <v>1155</v>
      </c>
      <c r="BI225">
        <v>20</v>
      </c>
      <c r="BJ225" t="s">
        <v>3918</v>
      </c>
      <c r="BK225" t="s">
        <v>149</v>
      </c>
      <c r="BL225" t="s">
        <v>716</v>
      </c>
      <c r="BM225" t="s">
        <v>4053</v>
      </c>
      <c r="BN225" t="s">
        <v>74</v>
      </c>
      <c r="BO225" t="s">
        <v>74</v>
      </c>
      <c r="BP225" t="s">
        <v>74</v>
      </c>
      <c r="BQ225" t="s">
        <v>74</v>
      </c>
      <c r="BR225" t="s">
        <v>104</v>
      </c>
      <c r="BS225" t="s">
        <v>4054</v>
      </c>
      <c r="BT225" t="str">
        <f>HYPERLINK("https%3A%2F%2Fwww.webofscience.com%2Fwos%2Fwoscc%2Ffull-record%2FWOS:001043994700001","View Full Record in Web of Science")</f>
        <v>View Full Record in Web of Science</v>
      </c>
    </row>
    <row r="226" spans="1:72" x14ac:dyDescent="0.25">
      <c r="A226" t="s">
        <v>72</v>
      </c>
      <c r="B226" t="s">
        <v>4055</v>
      </c>
      <c r="C226" t="s">
        <v>74</v>
      </c>
      <c r="D226" t="s">
        <v>74</v>
      </c>
      <c r="E226" t="s">
        <v>74</v>
      </c>
      <c r="F226" t="s">
        <v>4056</v>
      </c>
      <c r="G226" t="s">
        <v>74</v>
      </c>
      <c r="H226" t="s">
        <v>74</v>
      </c>
      <c r="I226" t="s">
        <v>4057</v>
      </c>
      <c r="J226" t="s">
        <v>128</v>
      </c>
      <c r="K226" t="s">
        <v>74</v>
      </c>
      <c r="L226" t="s">
        <v>74</v>
      </c>
      <c r="M226" t="s">
        <v>78</v>
      </c>
      <c r="N226" t="s">
        <v>79</v>
      </c>
      <c r="O226" t="s">
        <v>74</v>
      </c>
      <c r="P226" t="s">
        <v>74</v>
      </c>
      <c r="Q226" t="s">
        <v>74</v>
      </c>
      <c r="R226" t="s">
        <v>74</v>
      </c>
      <c r="S226" t="s">
        <v>74</v>
      </c>
      <c r="T226" t="s">
        <v>4058</v>
      </c>
      <c r="U226" t="s">
        <v>4059</v>
      </c>
      <c r="V226" t="s">
        <v>4060</v>
      </c>
      <c r="W226" t="s">
        <v>4061</v>
      </c>
      <c r="X226" t="s">
        <v>4062</v>
      </c>
      <c r="Y226" t="s">
        <v>4063</v>
      </c>
      <c r="Z226" t="s">
        <v>4064</v>
      </c>
      <c r="AA226" t="s">
        <v>4065</v>
      </c>
      <c r="AB226" t="s">
        <v>4066</v>
      </c>
      <c r="AC226" t="s">
        <v>74</v>
      </c>
      <c r="AD226" t="s">
        <v>74</v>
      </c>
      <c r="AE226" t="s">
        <v>74</v>
      </c>
      <c r="AF226" t="s">
        <v>74</v>
      </c>
      <c r="AG226">
        <v>61</v>
      </c>
      <c r="AH226">
        <v>16</v>
      </c>
      <c r="AI226">
        <v>17</v>
      </c>
      <c r="AJ226">
        <v>3</v>
      </c>
      <c r="AK226">
        <v>28</v>
      </c>
      <c r="AL226" t="s">
        <v>138</v>
      </c>
      <c r="AM226" t="s">
        <v>246</v>
      </c>
      <c r="AN226" t="s">
        <v>247</v>
      </c>
      <c r="AO226" t="s">
        <v>141</v>
      </c>
      <c r="AP226" t="s">
        <v>142</v>
      </c>
      <c r="AQ226" t="s">
        <v>74</v>
      </c>
      <c r="AR226" t="s">
        <v>143</v>
      </c>
      <c r="AS226" t="s">
        <v>144</v>
      </c>
      <c r="AT226" t="s">
        <v>145</v>
      </c>
      <c r="AU226">
        <v>2021</v>
      </c>
      <c r="AV226">
        <v>216</v>
      </c>
      <c r="AW226" t="s">
        <v>74</v>
      </c>
      <c r="AX226" t="s">
        <v>74</v>
      </c>
      <c r="AY226" t="s">
        <v>74</v>
      </c>
      <c r="AZ226" t="s">
        <v>74</v>
      </c>
      <c r="BA226" t="s">
        <v>74</v>
      </c>
      <c r="BB226" t="s">
        <v>74</v>
      </c>
      <c r="BC226" t="s">
        <v>74</v>
      </c>
      <c r="BD226">
        <v>107960</v>
      </c>
      <c r="BE226" t="s">
        <v>4067</v>
      </c>
      <c r="BF226" t="str">
        <f>HYPERLINK("http://dx.doi.org/10.1016/j.ress.2021.107960","http://dx.doi.org/10.1016/j.ress.2021.107960")</f>
        <v>http://dx.doi.org/10.1016/j.ress.2021.107960</v>
      </c>
      <c r="BG226" t="s">
        <v>74</v>
      </c>
      <c r="BH226" t="s">
        <v>2089</v>
      </c>
      <c r="BI226">
        <v>17</v>
      </c>
      <c r="BJ226" t="s">
        <v>148</v>
      </c>
      <c r="BK226" t="s">
        <v>149</v>
      </c>
      <c r="BL226" t="s">
        <v>150</v>
      </c>
      <c r="BM226" t="s">
        <v>2090</v>
      </c>
      <c r="BN226" t="s">
        <v>74</v>
      </c>
      <c r="BO226" t="s">
        <v>74</v>
      </c>
      <c r="BP226" t="s">
        <v>74</v>
      </c>
      <c r="BQ226" t="s">
        <v>74</v>
      </c>
      <c r="BR226" t="s">
        <v>104</v>
      </c>
      <c r="BS226" t="s">
        <v>4068</v>
      </c>
      <c r="BT226" t="str">
        <f>HYPERLINK("https%3A%2F%2Fwww.webofscience.com%2Fwos%2Fwoscc%2Ffull-record%2FWOS:000702351700045","View Full Record in Web of Science")</f>
        <v>View Full Record in Web of Science</v>
      </c>
    </row>
    <row r="227" spans="1:72" x14ac:dyDescent="0.25">
      <c r="A227" t="s">
        <v>72</v>
      </c>
      <c r="B227" t="s">
        <v>4069</v>
      </c>
      <c r="C227" t="s">
        <v>74</v>
      </c>
      <c r="D227" t="s">
        <v>74</v>
      </c>
      <c r="E227" t="s">
        <v>74</v>
      </c>
      <c r="F227" t="s">
        <v>4070</v>
      </c>
      <c r="G227" t="s">
        <v>74</v>
      </c>
      <c r="H227" t="s">
        <v>74</v>
      </c>
      <c r="I227" t="s">
        <v>4071</v>
      </c>
      <c r="J227" t="s">
        <v>472</v>
      </c>
      <c r="K227" t="s">
        <v>74</v>
      </c>
      <c r="L227" t="s">
        <v>74</v>
      </c>
      <c r="M227" t="s">
        <v>78</v>
      </c>
      <c r="N227" t="s">
        <v>79</v>
      </c>
      <c r="O227" t="s">
        <v>74</v>
      </c>
      <c r="P227" t="s">
        <v>74</v>
      </c>
      <c r="Q227" t="s">
        <v>74</v>
      </c>
      <c r="R227" t="s">
        <v>74</v>
      </c>
      <c r="S227" t="s">
        <v>74</v>
      </c>
      <c r="T227" t="s">
        <v>4072</v>
      </c>
      <c r="U227" t="s">
        <v>4073</v>
      </c>
      <c r="V227" t="s">
        <v>4074</v>
      </c>
      <c r="W227" t="s">
        <v>4075</v>
      </c>
      <c r="X227" t="s">
        <v>4076</v>
      </c>
      <c r="Y227" t="s">
        <v>4077</v>
      </c>
      <c r="Z227" t="s">
        <v>4078</v>
      </c>
      <c r="AA227" t="s">
        <v>74</v>
      </c>
      <c r="AB227" t="s">
        <v>4079</v>
      </c>
      <c r="AC227" t="s">
        <v>4080</v>
      </c>
      <c r="AD227" t="s">
        <v>4081</v>
      </c>
      <c r="AE227" t="s">
        <v>4082</v>
      </c>
      <c r="AF227" t="s">
        <v>74</v>
      </c>
      <c r="AG227">
        <v>39</v>
      </c>
      <c r="AH227">
        <v>3</v>
      </c>
      <c r="AI227">
        <v>3</v>
      </c>
      <c r="AJ227">
        <v>9</v>
      </c>
      <c r="AK227">
        <v>49</v>
      </c>
      <c r="AL227" t="s">
        <v>484</v>
      </c>
      <c r="AM227" t="s">
        <v>485</v>
      </c>
      <c r="AN227" t="s">
        <v>486</v>
      </c>
      <c r="AO227" t="s">
        <v>487</v>
      </c>
      <c r="AP227" t="s">
        <v>488</v>
      </c>
      <c r="AQ227" t="s">
        <v>74</v>
      </c>
      <c r="AR227" t="s">
        <v>489</v>
      </c>
      <c r="AS227" t="s">
        <v>490</v>
      </c>
      <c r="AT227" t="s">
        <v>533</v>
      </c>
      <c r="AU227">
        <v>2024</v>
      </c>
      <c r="AV227">
        <v>40</v>
      </c>
      <c r="AW227">
        <v>1</v>
      </c>
      <c r="AX227" t="s">
        <v>74</v>
      </c>
      <c r="AY227" t="s">
        <v>74</v>
      </c>
      <c r="AZ227" t="s">
        <v>74</v>
      </c>
      <c r="BA227" t="s">
        <v>74</v>
      </c>
      <c r="BB227">
        <v>261</v>
      </c>
      <c r="BC227">
        <v>276</v>
      </c>
      <c r="BD227" t="s">
        <v>74</v>
      </c>
      <c r="BE227" t="s">
        <v>4083</v>
      </c>
      <c r="BF227" t="str">
        <f>HYPERLINK("http://dx.doi.org/10.1002/qre.3389","http://dx.doi.org/10.1002/qre.3389")</f>
        <v>http://dx.doi.org/10.1002/qre.3389</v>
      </c>
      <c r="BG227" t="s">
        <v>74</v>
      </c>
      <c r="BH227" t="s">
        <v>2390</v>
      </c>
      <c r="BI227">
        <v>16</v>
      </c>
      <c r="BJ227" t="s">
        <v>494</v>
      </c>
      <c r="BK227" t="s">
        <v>149</v>
      </c>
      <c r="BL227" t="s">
        <v>150</v>
      </c>
      <c r="BM227" t="s">
        <v>4084</v>
      </c>
      <c r="BN227" t="s">
        <v>74</v>
      </c>
      <c r="BO227" t="s">
        <v>74</v>
      </c>
      <c r="BP227" t="s">
        <v>74</v>
      </c>
      <c r="BQ227" t="s">
        <v>74</v>
      </c>
      <c r="BR227" t="s">
        <v>104</v>
      </c>
      <c r="BS227" t="s">
        <v>4085</v>
      </c>
      <c r="BT227" t="str">
        <f>HYPERLINK("https%3A%2F%2Fwww.webofscience.com%2Fwos%2Fwoscc%2Ffull-record%2FWOS:000997111000001","View Full Record in Web of Science")</f>
        <v>View Full Record in Web of Science</v>
      </c>
    </row>
    <row r="228" spans="1:72" x14ac:dyDescent="0.25">
      <c r="A228" t="s">
        <v>72</v>
      </c>
      <c r="B228" t="s">
        <v>4086</v>
      </c>
      <c r="C228" t="s">
        <v>74</v>
      </c>
      <c r="D228" t="s">
        <v>74</v>
      </c>
      <c r="E228" t="s">
        <v>74</v>
      </c>
      <c r="F228" t="s">
        <v>4087</v>
      </c>
      <c r="G228" t="s">
        <v>74</v>
      </c>
      <c r="H228" t="s">
        <v>74</v>
      </c>
      <c r="I228" t="s">
        <v>4088</v>
      </c>
      <c r="J228" t="s">
        <v>128</v>
      </c>
      <c r="K228" t="s">
        <v>74</v>
      </c>
      <c r="L228" t="s">
        <v>74</v>
      </c>
      <c r="M228" t="s">
        <v>78</v>
      </c>
      <c r="N228" t="s">
        <v>79</v>
      </c>
      <c r="O228" t="s">
        <v>74</v>
      </c>
      <c r="P228" t="s">
        <v>74</v>
      </c>
      <c r="Q228" t="s">
        <v>74</v>
      </c>
      <c r="R228" t="s">
        <v>74</v>
      </c>
      <c r="S228" t="s">
        <v>74</v>
      </c>
      <c r="T228" t="s">
        <v>4089</v>
      </c>
      <c r="U228" t="s">
        <v>4090</v>
      </c>
      <c r="V228" t="s">
        <v>4091</v>
      </c>
      <c r="W228" t="s">
        <v>4092</v>
      </c>
      <c r="X228" t="s">
        <v>4093</v>
      </c>
      <c r="Y228" t="s">
        <v>4094</v>
      </c>
      <c r="Z228" t="s">
        <v>806</v>
      </c>
      <c r="AA228" t="s">
        <v>705</v>
      </c>
      <c r="AB228" t="s">
        <v>1483</v>
      </c>
      <c r="AC228" t="s">
        <v>4095</v>
      </c>
      <c r="AD228" t="s">
        <v>4096</v>
      </c>
      <c r="AE228" t="s">
        <v>4097</v>
      </c>
      <c r="AF228" t="s">
        <v>74</v>
      </c>
      <c r="AG228">
        <v>36</v>
      </c>
      <c r="AH228">
        <v>11</v>
      </c>
      <c r="AI228">
        <v>11</v>
      </c>
      <c r="AJ228">
        <v>6</v>
      </c>
      <c r="AK228">
        <v>40</v>
      </c>
      <c r="AL228" t="s">
        <v>138</v>
      </c>
      <c r="AM228" t="s">
        <v>139</v>
      </c>
      <c r="AN228" t="s">
        <v>140</v>
      </c>
      <c r="AO228" t="s">
        <v>141</v>
      </c>
      <c r="AP228" t="s">
        <v>142</v>
      </c>
      <c r="AQ228" t="s">
        <v>74</v>
      </c>
      <c r="AR228" t="s">
        <v>143</v>
      </c>
      <c r="AS228" t="s">
        <v>144</v>
      </c>
      <c r="AT228" t="s">
        <v>1076</v>
      </c>
      <c r="AU228">
        <v>2023</v>
      </c>
      <c r="AV228">
        <v>238</v>
      </c>
      <c r="AW228" t="s">
        <v>74</v>
      </c>
      <c r="AX228" t="s">
        <v>74</v>
      </c>
      <c r="AY228" t="s">
        <v>74</v>
      </c>
      <c r="AZ228" t="s">
        <v>74</v>
      </c>
      <c r="BA228" t="s">
        <v>74</v>
      </c>
      <c r="BB228" t="s">
        <v>74</v>
      </c>
      <c r="BC228" t="s">
        <v>74</v>
      </c>
      <c r="BD228">
        <v>109415</v>
      </c>
      <c r="BE228" t="s">
        <v>4098</v>
      </c>
      <c r="BF228" t="str">
        <f>HYPERLINK("http://dx.doi.org/10.1016/j.ress.2023.109415","http://dx.doi.org/10.1016/j.ress.2023.109415")</f>
        <v>http://dx.doi.org/10.1016/j.ress.2023.109415</v>
      </c>
      <c r="BG228" t="s">
        <v>74</v>
      </c>
      <c r="BH228" t="s">
        <v>1042</v>
      </c>
      <c r="BI228">
        <v>10</v>
      </c>
      <c r="BJ228" t="s">
        <v>148</v>
      </c>
      <c r="BK228" t="s">
        <v>149</v>
      </c>
      <c r="BL228" t="s">
        <v>150</v>
      </c>
      <c r="BM228" t="s">
        <v>4099</v>
      </c>
      <c r="BN228" t="s">
        <v>74</v>
      </c>
      <c r="BO228" t="s">
        <v>400</v>
      </c>
      <c r="BP228" t="s">
        <v>74</v>
      </c>
      <c r="BQ228" t="s">
        <v>74</v>
      </c>
      <c r="BR228" t="s">
        <v>104</v>
      </c>
      <c r="BS228" t="s">
        <v>4100</v>
      </c>
      <c r="BT228" t="str">
        <f>HYPERLINK("https%3A%2F%2Fwww.webofscience.com%2Fwos%2Fwoscc%2Ffull-record%2FWOS:001022047700001","View Full Record in Web of Science")</f>
        <v>View Full Record in Web of Science</v>
      </c>
    </row>
    <row r="229" spans="1:72" x14ac:dyDescent="0.25">
      <c r="A229" t="s">
        <v>72</v>
      </c>
      <c r="B229" t="s">
        <v>4101</v>
      </c>
      <c r="C229" t="s">
        <v>74</v>
      </c>
      <c r="D229" t="s">
        <v>74</v>
      </c>
      <c r="E229" t="s">
        <v>74</v>
      </c>
      <c r="F229" t="s">
        <v>4102</v>
      </c>
      <c r="G229" t="s">
        <v>74</v>
      </c>
      <c r="H229" t="s">
        <v>74</v>
      </c>
      <c r="I229" t="s">
        <v>4103</v>
      </c>
      <c r="J229" t="s">
        <v>128</v>
      </c>
      <c r="K229" t="s">
        <v>74</v>
      </c>
      <c r="L229" t="s">
        <v>74</v>
      </c>
      <c r="M229" t="s">
        <v>78</v>
      </c>
      <c r="N229" t="s">
        <v>79</v>
      </c>
      <c r="O229" t="s">
        <v>74</v>
      </c>
      <c r="P229" t="s">
        <v>74</v>
      </c>
      <c r="Q229" t="s">
        <v>74</v>
      </c>
      <c r="R229" t="s">
        <v>74</v>
      </c>
      <c r="S229" t="s">
        <v>74</v>
      </c>
      <c r="T229" t="s">
        <v>4104</v>
      </c>
      <c r="U229" t="s">
        <v>4105</v>
      </c>
      <c r="V229" t="s">
        <v>4106</v>
      </c>
      <c r="W229" t="s">
        <v>4107</v>
      </c>
      <c r="X229" t="s">
        <v>4108</v>
      </c>
      <c r="Y229" t="s">
        <v>3251</v>
      </c>
      <c r="Z229" t="s">
        <v>4109</v>
      </c>
      <c r="AA229" t="s">
        <v>74</v>
      </c>
      <c r="AB229" t="s">
        <v>74</v>
      </c>
      <c r="AC229" t="s">
        <v>4110</v>
      </c>
      <c r="AD229" t="s">
        <v>482</v>
      </c>
      <c r="AE229" t="s">
        <v>4111</v>
      </c>
      <c r="AF229" t="s">
        <v>74</v>
      </c>
      <c r="AG229">
        <v>46</v>
      </c>
      <c r="AH229">
        <v>35</v>
      </c>
      <c r="AI229">
        <v>35</v>
      </c>
      <c r="AJ229">
        <v>6</v>
      </c>
      <c r="AK229">
        <v>71</v>
      </c>
      <c r="AL229" t="s">
        <v>138</v>
      </c>
      <c r="AM229" t="s">
        <v>246</v>
      </c>
      <c r="AN229" t="s">
        <v>247</v>
      </c>
      <c r="AO229" t="s">
        <v>141</v>
      </c>
      <c r="AP229" t="s">
        <v>142</v>
      </c>
      <c r="AQ229" t="s">
        <v>74</v>
      </c>
      <c r="AR229" t="s">
        <v>143</v>
      </c>
      <c r="AS229" t="s">
        <v>144</v>
      </c>
      <c r="AT229" t="s">
        <v>205</v>
      </c>
      <c r="AU229">
        <v>2020</v>
      </c>
      <c r="AV229">
        <v>201</v>
      </c>
      <c r="AW229" t="s">
        <v>74</v>
      </c>
      <c r="AX229" t="s">
        <v>74</v>
      </c>
      <c r="AY229" t="s">
        <v>74</v>
      </c>
      <c r="AZ229" t="s">
        <v>74</v>
      </c>
      <c r="BA229" t="s">
        <v>74</v>
      </c>
      <c r="BB229" t="s">
        <v>74</v>
      </c>
      <c r="BC229" t="s">
        <v>74</v>
      </c>
      <c r="BD229">
        <v>106995</v>
      </c>
      <c r="BE229" t="s">
        <v>4112</v>
      </c>
      <c r="BF229" t="str">
        <f>HYPERLINK("http://dx.doi.org/10.1016/j.ress.2020.106995","http://dx.doi.org/10.1016/j.ress.2020.106995")</f>
        <v>http://dx.doi.org/10.1016/j.ress.2020.106995</v>
      </c>
      <c r="BG229" t="s">
        <v>74</v>
      </c>
      <c r="BH229" t="s">
        <v>74</v>
      </c>
      <c r="BI229">
        <v>10</v>
      </c>
      <c r="BJ229" t="s">
        <v>148</v>
      </c>
      <c r="BK229" t="s">
        <v>149</v>
      </c>
      <c r="BL229" t="s">
        <v>150</v>
      </c>
      <c r="BM229" t="s">
        <v>4113</v>
      </c>
      <c r="BN229" t="s">
        <v>74</v>
      </c>
      <c r="BO229" t="s">
        <v>74</v>
      </c>
      <c r="BP229" t="s">
        <v>74</v>
      </c>
      <c r="BQ229" t="s">
        <v>74</v>
      </c>
      <c r="BR229" t="s">
        <v>104</v>
      </c>
      <c r="BS229" t="s">
        <v>4114</v>
      </c>
      <c r="BT229" t="str">
        <f>HYPERLINK("https%3A%2F%2Fwww.webofscience.com%2Fwos%2Fwoscc%2Ffull-record%2FWOS:000566370100031","View Full Record in Web of Science")</f>
        <v>View Full Record in Web of Science</v>
      </c>
    </row>
    <row r="230" spans="1:72" x14ac:dyDescent="0.25">
      <c r="A230" t="s">
        <v>72</v>
      </c>
      <c r="B230" t="s">
        <v>4115</v>
      </c>
      <c r="C230" t="s">
        <v>74</v>
      </c>
      <c r="D230" t="s">
        <v>74</v>
      </c>
      <c r="E230" t="s">
        <v>74</v>
      </c>
      <c r="F230" t="s">
        <v>4116</v>
      </c>
      <c r="G230" t="s">
        <v>74</v>
      </c>
      <c r="H230" t="s">
        <v>74</v>
      </c>
      <c r="I230" t="s">
        <v>4117</v>
      </c>
      <c r="J230" t="s">
        <v>128</v>
      </c>
      <c r="K230" t="s">
        <v>74</v>
      </c>
      <c r="L230" t="s">
        <v>74</v>
      </c>
      <c r="M230" t="s">
        <v>78</v>
      </c>
      <c r="N230" t="s">
        <v>79</v>
      </c>
      <c r="O230" t="s">
        <v>74</v>
      </c>
      <c r="P230" t="s">
        <v>74</v>
      </c>
      <c r="Q230" t="s">
        <v>74</v>
      </c>
      <c r="R230" t="s">
        <v>74</v>
      </c>
      <c r="S230" t="s">
        <v>74</v>
      </c>
      <c r="T230" t="s">
        <v>4118</v>
      </c>
      <c r="U230" t="s">
        <v>4119</v>
      </c>
      <c r="V230" t="s">
        <v>4120</v>
      </c>
      <c r="W230" t="s">
        <v>4121</v>
      </c>
      <c r="X230" t="s">
        <v>4122</v>
      </c>
      <c r="Y230" t="s">
        <v>4123</v>
      </c>
      <c r="Z230" t="s">
        <v>4124</v>
      </c>
      <c r="AA230" t="s">
        <v>4125</v>
      </c>
      <c r="AB230" t="s">
        <v>4126</v>
      </c>
      <c r="AC230" t="s">
        <v>4127</v>
      </c>
      <c r="AD230" t="s">
        <v>4128</v>
      </c>
      <c r="AE230" t="s">
        <v>4129</v>
      </c>
      <c r="AF230" t="s">
        <v>74</v>
      </c>
      <c r="AG230">
        <v>34</v>
      </c>
      <c r="AH230">
        <v>44</v>
      </c>
      <c r="AI230">
        <v>44</v>
      </c>
      <c r="AJ230">
        <v>29</v>
      </c>
      <c r="AK230">
        <v>127</v>
      </c>
      <c r="AL230" t="s">
        <v>138</v>
      </c>
      <c r="AM230" t="s">
        <v>139</v>
      </c>
      <c r="AN230" t="s">
        <v>140</v>
      </c>
      <c r="AO230" t="s">
        <v>141</v>
      </c>
      <c r="AP230" t="s">
        <v>142</v>
      </c>
      <c r="AQ230" t="s">
        <v>74</v>
      </c>
      <c r="AR230" t="s">
        <v>143</v>
      </c>
      <c r="AS230" t="s">
        <v>144</v>
      </c>
      <c r="AT230" t="s">
        <v>1867</v>
      </c>
      <c r="AU230">
        <v>2023</v>
      </c>
      <c r="AV230">
        <v>232</v>
      </c>
      <c r="AW230" t="s">
        <v>74</v>
      </c>
      <c r="AX230" t="s">
        <v>74</v>
      </c>
      <c r="AY230" t="s">
        <v>74</v>
      </c>
      <c r="AZ230" t="s">
        <v>74</v>
      </c>
      <c r="BA230" t="s">
        <v>74</v>
      </c>
      <c r="BB230" t="s">
        <v>74</v>
      </c>
      <c r="BC230" t="s">
        <v>74</v>
      </c>
      <c r="BD230">
        <v>109075</v>
      </c>
      <c r="BE230" t="s">
        <v>4130</v>
      </c>
      <c r="BF230" t="str">
        <f>HYPERLINK("http://dx.doi.org/10.1016/j.ress.2022.109075","http://dx.doi.org/10.1016/j.ress.2022.109075")</f>
        <v>http://dx.doi.org/10.1016/j.ress.2022.109075</v>
      </c>
      <c r="BG230" t="s">
        <v>74</v>
      </c>
      <c r="BH230" t="s">
        <v>2984</v>
      </c>
      <c r="BI230">
        <v>12</v>
      </c>
      <c r="BJ230" t="s">
        <v>148</v>
      </c>
      <c r="BK230" t="s">
        <v>149</v>
      </c>
      <c r="BL230" t="s">
        <v>150</v>
      </c>
      <c r="BM230" t="s">
        <v>4131</v>
      </c>
      <c r="BN230" t="s">
        <v>74</v>
      </c>
      <c r="BO230" t="s">
        <v>74</v>
      </c>
      <c r="BP230" t="s">
        <v>74</v>
      </c>
      <c r="BQ230" t="s">
        <v>74</v>
      </c>
      <c r="BR230" t="s">
        <v>104</v>
      </c>
      <c r="BS230" t="s">
        <v>4132</v>
      </c>
      <c r="BT230" t="str">
        <f>HYPERLINK("https%3A%2F%2Fwww.webofscience.com%2Fwos%2Fwoscc%2Ffull-record%2FWOS:000996381900001","View Full Record in Web of Science")</f>
        <v>View Full Record in Web of Science</v>
      </c>
    </row>
    <row r="231" spans="1:72" x14ac:dyDescent="0.25">
      <c r="A231" t="s">
        <v>72</v>
      </c>
      <c r="B231" t="s">
        <v>4133</v>
      </c>
      <c r="C231" t="s">
        <v>74</v>
      </c>
      <c r="D231" t="s">
        <v>74</v>
      </c>
      <c r="E231" t="s">
        <v>74</v>
      </c>
      <c r="F231" t="s">
        <v>4134</v>
      </c>
      <c r="G231" t="s">
        <v>74</v>
      </c>
      <c r="H231" t="s">
        <v>74</v>
      </c>
      <c r="I231" t="s">
        <v>4135</v>
      </c>
      <c r="J231" t="s">
        <v>542</v>
      </c>
      <c r="K231" t="s">
        <v>74</v>
      </c>
      <c r="L231" t="s">
        <v>74</v>
      </c>
      <c r="M231" t="s">
        <v>78</v>
      </c>
      <c r="N231" t="s">
        <v>79</v>
      </c>
      <c r="O231" t="s">
        <v>74</v>
      </c>
      <c r="P231" t="s">
        <v>74</v>
      </c>
      <c r="Q231" t="s">
        <v>74</v>
      </c>
      <c r="R231" t="s">
        <v>74</v>
      </c>
      <c r="S231" t="s">
        <v>74</v>
      </c>
      <c r="T231" t="s">
        <v>4136</v>
      </c>
      <c r="U231" t="s">
        <v>4137</v>
      </c>
      <c r="V231" t="s">
        <v>4138</v>
      </c>
      <c r="W231" t="s">
        <v>4139</v>
      </c>
      <c r="X231" t="s">
        <v>4140</v>
      </c>
      <c r="Y231" t="s">
        <v>4141</v>
      </c>
      <c r="Z231" t="s">
        <v>1881</v>
      </c>
      <c r="AA231" t="s">
        <v>4142</v>
      </c>
      <c r="AB231" t="s">
        <v>74</v>
      </c>
      <c r="AC231" t="s">
        <v>74</v>
      </c>
      <c r="AD231" t="s">
        <v>74</v>
      </c>
      <c r="AE231" t="s">
        <v>74</v>
      </c>
      <c r="AF231" t="s">
        <v>74</v>
      </c>
      <c r="AG231">
        <v>26</v>
      </c>
      <c r="AH231">
        <v>6</v>
      </c>
      <c r="AI231">
        <v>6</v>
      </c>
      <c r="AJ231">
        <v>2</v>
      </c>
      <c r="AK231">
        <v>25</v>
      </c>
      <c r="AL231" t="s">
        <v>552</v>
      </c>
      <c r="AM231" t="s">
        <v>553</v>
      </c>
      <c r="AN231" t="s">
        <v>554</v>
      </c>
      <c r="AO231" t="s">
        <v>555</v>
      </c>
      <c r="AP231" t="s">
        <v>556</v>
      </c>
      <c r="AQ231" t="s">
        <v>74</v>
      </c>
      <c r="AR231" t="s">
        <v>557</v>
      </c>
      <c r="AS231" t="s">
        <v>558</v>
      </c>
      <c r="AT231" t="s">
        <v>533</v>
      </c>
      <c r="AU231">
        <v>2022</v>
      </c>
      <c r="AV231">
        <v>236</v>
      </c>
      <c r="AW231">
        <v>1</v>
      </c>
      <c r="AX231" t="s">
        <v>74</v>
      </c>
      <c r="AY231" t="s">
        <v>74</v>
      </c>
      <c r="AZ231" t="s">
        <v>74</v>
      </c>
      <c r="BA231" t="s">
        <v>74</v>
      </c>
      <c r="BB231">
        <v>98</v>
      </c>
      <c r="BC231">
        <v>113</v>
      </c>
      <c r="BD231" t="s">
        <v>4143</v>
      </c>
      <c r="BE231" t="s">
        <v>4144</v>
      </c>
      <c r="BF231" t="str">
        <f>HYPERLINK("http://dx.doi.org/10.1177/1748006X211028112","http://dx.doi.org/10.1177/1748006X211028112")</f>
        <v>http://dx.doi.org/10.1177/1748006X211028112</v>
      </c>
      <c r="BG231" t="s">
        <v>74</v>
      </c>
      <c r="BH231" t="s">
        <v>1059</v>
      </c>
      <c r="BI231">
        <v>16</v>
      </c>
      <c r="BJ231" t="s">
        <v>494</v>
      </c>
      <c r="BK231" t="s">
        <v>149</v>
      </c>
      <c r="BL231" t="s">
        <v>150</v>
      </c>
      <c r="BM231" t="s">
        <v>4145</v>
      </c>
      <c r="BN231" t="s">
        <v>74</v>
      </c>
      <c r="BO231" t="s">
        <v>758</v>
      </c>
      <c r="BP231" t="s">
        <v>74</v>
      </c>
      <c r="BQ231" t="s">
        <v>74</v>
      </c>
      <c r="BR231" t="s">
        <v>104</v>
      </c>
      <c r="BS231" t="s">
        <v>4146</v>
      </c>
      <c r="BT231" t="str">
        <f>HYPERLINK("https%3A%2F%2Fwww.webofscience.com%2Fwos%2Fwoscc%2Ffull-record%2FWOS:000675168000001","View Full Record in Web of Science")</f>
        <v>View Full Record in Web of Science</v>
      </c>
    </row>
    <row r="232" spans="1:72" x14ac:dyDescent="0.25">
      <c r="A232" t="s">
        <v>72</v>
      </c>
      <c r="B232" t="s">
        <v>4147</v>
      </c>
      <c r="C232" t="s">
        <v>74</v>
      </c>
      <c r="D232" t="s">
        <v>74</v>
      </c>
      <c r="E232" t="s">
        <v>74</v>
      </c>
      <c r="F232" t="s">
        <v>4148</v>
      </c>
      <c r="G232" t="s">
        <v>74</v>
      </c>
      <c r="H232" t="s">
        <v>74</v>
      </c>
      <c r="I232" t="s">
        <v>4149</v>
      </c>
      <c r="J232" t="s">
        <v>1814</v>
      </c>
      <c r="K232" t="s">
        <v>74</v>
      </c>
      <c r="L232" t="s">
        <v>74</v>
      </c>
      <c r="M232" t="s">
        <v>78</v>
      </c>
      <c r="N232" t="s">
        <v>79</v>
      </c>
      <c r="O232" t="s">
        <v>74</v>
      </c>
      <c r="P232" t="s">
        <v>74</v>
      </c>
      <c r="Q232" t="s">
        <v>74</v>
      </c>
      <c r="R232" t="s">
        <v>74</v>
      </c>
      <c r="S232" t="s">
        <v>74</v>
      </c>
      <c r="T232" t="s">
        <v>4150</v>
      </c>
      <c r="U232" t="s">
        <v>4151</v>
      </c>
      <c r="V232" t="s">
        <v>4152</v>
      </c>
      <c r="W232" t="s">
        <v>4153</v>
      </c>
      <c r="X232" t="s">
        <v>4154</v>
      </c>
      <c r="Y232" t="s">
        <v>4155</v>
      </c>
      <c r="Z232" t="s">
        <v>4156</v>
      </c>
      <c r="AA232" t="s">
        <v>4157</v>
      </c>
      <c r="AB232" t="s">
        <v>4158</v>
      </c>
      <c r="AC232" t="s">
        <v>4159</v>
      </c>
      <c r="AD232" t="s">
        <v>4160</v>
      </c>
      <c r="AE232" t="s">
        <v>4161</v>
      </c>
      <c r="AF232" t="s">
        <v>74</v>
      </c>
      <c r="AG232">
        <v>56</v>
      </c>
      <c r="AH232">
        <v>4</v>
      </c>
      <c r="AI232">
        <v>4</v>
      </c>
      <c r="AJ232">
        <v>3</v>
      </c>
      <c r="AK232">
        <v>16</v>
      </c>
      <c r="AL232" t="s">
        <v>509</v>
      </c>
      <c r="AM232" t="s">
        <v>510</v>
      </c>
      <c r="AN232" t="s">
        <v>511</v>
      </c>
      <c r="AO232" t="s">
        <v>1824</v>
      </c>
      <c r="AP232" t="s">
        <v>1825</v>
      </c>
      <c r="AQ232" t="s">
        <v>74</v>
      </c>
      <c r="AR232" t="s">
        <v>1826</v>
      </c>
      <c r="AS232" t="s">
        <v>1827</v>
      </c>
      <c r="AT232" t="s">
        <v>205</v>
      </c>
      <c r="AU232">
        <v>2023</v>
      </c>
      <c r="AV232">
        <v>263</v>
      </c>
      <c r="AW232" t="s">
        <v>74</v>
      </c>
      <c r="AX232" t="s">
        <v>74</v>
      </c>
      <c r="AY232" t="s">
        <v>74</v>
      </c>
      <c r="AZ232" t="s">
        <v>74</v>
      </c>
      <c r="BA232" t="s">
        <v>74</v>
      </c>
      <c r="BB232" t="s">
        <v>74</v>
      </c>
      <c r="BC232" t="s">
        <v>74</v>
      </c>
      <c r="BD232">
        <v>108925</v>
      </c>
      <c r="BE232" t="s">
        <v>4162</v>
      </c>
      <c r="BF232" t="str">
        <f>HYPERLINK("http://dx.doi.org/10.1016/j.ijpe.2023.108925","http://dx.doi.org/10.1016/j.ijpe.2023.108925")</f>
        <v>http://dx.doi.org/10.1016/j.ijpe.2023.108925</v>
      </c>
      <c r="BG232" t="s">
        <v>74</v>
      </c>
      <c r="BH232" t="s">
        <v>1042</v>
      </c>
      <c r="BI232">
        <v>20</v>
      </c>
      <c r="BJ232" t="s">
        <v>321</v>
      </c>
      <c r="BK232" t="s">
        <v>149</v>
      </c>
      <c r="BL232" t="s">
        <v>150</v>
      </c>
      <c r="BM232" t="s">
        <v>4163</v>
      </c>
      <c r="BN232" t="s">
        <v>74</v>
      </c>
      <c r="BO232" t="s">
        <v>74</v>
      </c>
      <c r="BP232" t="s">
        <v>74</v>
      </c>
      <c r="BQ232" t="s">
        <v>74</v>
      </c>
      <c r="BR232" t="s">
        <v>104</v>
      </c>
      <c r="BS232" t="s">
        <v>4164</v>
      </c>
      <c r="BT232" t="str">
        <f>HYPERLINK("https%3A%2F%2Fwww.webofscience.com%2Fwos%2Fwoscc%2Ffull-record%2FWOS:001016834000001","View Full Record in Web of Science")</f>
        <v>View Full Record in Web of Science</v>
      </c>
    </row>
    <row r="233" spans="1:72" x14ac:dyDescent="0.25">
      <c r="A233" t="s">
        <v>72</v>
      </c>
      <c r="B233" t="s">
        <v>4165</v>
      </c>
      <c r="C233" t="s">
        <v>74</v>
      </c>
      <c r="D233" t="s">
        <v>74</v>
      </c>
      <c r="E233" t="s">
        <v>74</v>
      </c>
      <c r="F233" t="s">
        <v>4166</v>
      </c>
      <c r="G233" t="s">
        <v>74</v>
      </c>
      <c r="H233" t="s">
        <v>74</v>
      </c>
      <c r="I233" t="s">
        <v>4167</v>
      </c>
      <c r="J233" t="s">
        <v>1932</v>
      </c>
      <c r="K233" t="s">
        <v>74</v>
      </c>
      <c r="L233" t="s">
        <v>74</v>
      </c>
      <c r="M233" t="s">
        <v>78</v>
      </c>
      <c r="N233" t="s">
        <v>79</v>
      </c>
      <c r="O233" t="s">
        <v>74</v>
      </c>
      <c r="P233" t="s">
        <v>74</v>
      </c>
      <c r="Q233" t="s">
        <v>74</v>
      </c>
      <c r="R233" t="s">
        <v>74</v>
      </c>
      <c r="S233" t="s">
        <v>74</v>
      </c>
      <c r="T233" t="s">
        <v>4168</v>
      </c>
      <c r="U233" t="s">
        <v>4169</v>
      </c>
      <c r="V233" t="s">
        <v>4170</v>
      </c>
      <c r="W233" t="s">
        <v>4171</v>
      </c>
      <c r="X233" t="s">
        <v>4172</v>
      </c>
      <c r="Y233" t="s">
        <v>4173</v>
      </c>
      <c r="Z233" t="s">
        <v>4174</v>
      </c>
      <c r="AA233" t="s">
        <v>4175</v>
      </c>
      <c r="AB233" t="s">
        <v>4176</v>
      </c>
      <c r="AC233" t="s">
        <v>4177</v>
      </c>
      <c r="AD233" t="s">
        <v>4178</v>
      </c>
      <c r="AE233" t="s">
        <v>4179</v>
      </c>
      <c r="AF233" t="s">
        <v>74</v>
      </c>
      <c r="AG233">
        <v>47</v>
      </c>
      <c r="AH233">
        <v>4</v>
      </c>
      <c r="AI233">
        <v>4</v>
      </c>
      <c r="AJ233">
        <v>8</v>
      </c>
      <c r="AK233">
        <v>41</v>
      </c>
      <c r="AL233" t="s">
        <v>311</v>
      </c>
      <c r="AM233" t="s">
        <v>312</v>
      </c>
      <c r="AN233" t="s">
        <v>313</v>
      </c>
      <c r="AO233" t="s">
        <v>1945</v>
      </c>
      <c r="AP233" t="s">
        <v>1946</v>
      </c>
      <c r="AQ233" t="s">
        <v>74</v>
      </c>
      <c r="AR233" t="s">
        <v>1947</v>
      </c>
      <c r="AS233" t="s">
        <v>1948</v>
      </c>
      <c r="AT233" t="s">
        <v>3013</v>
      </c>
      <c r="AU233">
        <v>2023</v>
      </c>
      <c r="AV233">
        <v>20</v>
      </c>
      <c r="AW233">
        <v>2</v>
      </c>
      <c r="AX233" t="s">
        <v>74</v>
      </c>
      <c r="AY233" t="s">
        <v>74</v>
      </c>
      <c r="AZ233" t="s">
        <v>74</v>
      </c>
      <c r="BA233" t="s">
        <v>74</v>
      </c>
      <c r="BB233">
        <v>211</v>
      </c>
      <c r="BC233">
        <v>235</v>
      </c>
      <c r="BD233">
        <v>2093817</v>
      </c>
      <c r="BE233" t="s">
        <v>4180</v>
      </c>
      <c r="BF233" t="str">
        <f>HYPERLINK("http://dx.doi.org/10.1080/16843703.2022.2093817","http://dx.doi.org/10.1080/16843703.2022.2093817")</f>
        <v>http://dx.doi.org/10.1080/16843703.2022.2093817</v>
      </c>
      <c r="BG233" t="s">
        <v>74</v>
      </c>
      <c r="BH233" t="s">
        <v>658</v>
      </c>
      <c r="BI233">
        <v>25</v>
      </c>
      <c r="BJ233" t="s">
        <v>1951</v>
      </c>
      <c r="BK233" t="s">
        <v>149</v>
      </c>
      <c r="BL233" t="s">
        <v>1952</v>
      </c>
      <c r="BM233" t="s">
        <v>4181</v>
      </c>
      <c r="BN233" t="s">
        <v>74</v>
      </c>
      <c r="BO233" t="s">
        <v>74</v>
      </c>
      <c r="BP233" t="s">
        <v>74</v>
      </c>
      <c r="BQ233" t="s">
        <v>74</v>
      </c>
      <c r="BR233" t="s">
        <v>104</v>
      </c>
      <c r="BS233" t="s">
        <v>4182</v>
      </c>
      <c r="BT233" t="str">
        <f>HYPERLINK("https%3A%2F%2Fwww.webofscience.com%2Fwos%2Fwoscc%2Ffull-record%2FWOS:000836021500001","View Full Record in Web of Science")</f>
        <v>View Full Record in Web of Science</v>
      </c>
    </row>
    <row r="234" spans="1:72" x14ac:dyDescent="0.25">
      <c r="A234" t="s">
        <v>72</v>
      </c>
      <c r="B234" t="s">
        <v>4183</v>
      </c>
      <c r="C234" t="s">
        <v>74</v>
      </c>
      <c r="D234" t="s">
        <v>74</v>
      </c>
      <c r="E234" t="s">
        <v>74</v>
      </c>
      <c r="F234" t="s">
        <v>4184</v>
      </c>
      <c r="G234" t="s">
        <v>74</v>
      </c>
      <c r="H234" t="s">
        <v>74</v>
      </c>
      <c r="I234" t="s">
        <v>4185</v>
      </c>
      <c r="J234" t="s">
        <v>299</v>
      </c>
      <c r="K234" t="s">
        <v>74</v>
      </c>
      <c r="L234" t="s">
        <v>74</v>
      </c>
      <c r="M234" t="s">
        <v>78</v>
      </c>
      <c r="N234" t="s">
        <v>79</v>
      </c>
      <c r="O234" t="s">
        <v>74</v>
      </c>
      <c r="P234" t="s">
        <v>74</v>
      </c>
      <c r="Q234" t="s">
        <v>74</v>
      </c>
      <c r="R234" t="s">
        <v>74</v>
      </c>
      <c r="S234" t="s">
        <v>74</v>
      </c>
      <c r="T234" t="s">
        <v>4186</v>
      </c>
      <c r="U234" t="s">
        <v>4187</v>
      </c>
      <c r="V234" t="s">
        <v>4188</v>
      </c>
      <c r="W234" t="s">
        <v>4189</v>
      </c>
      <c r="X234" t="s">
        <v>4190</v>
      </c>
      <c r="Y234" t="s">
        <v>4191</v>
      </c>
      <c r="Z234" t="s">
        <v>4192</v>
      </c>
      <c r="AA234" t="s">
        <v>74</v>
      </c>
      <c r="AB234" t="s">
        <v>1483</v>
      </c>
      <c r="AC234" t="s">
        <v>4193</v>
      </c>
      <c r="AD234" t="s">
        <v>4194</v>
      </c>
      <c r="AE234" t="s">
        <v>4195</v>
      </c>
      <c r="AF234" t="s">
        <v>74</v>
      </c>
      <c r="AG234">
        <v>38</v>
      </c>
      <c r="AH234">
        <v>22</v>
      </c>
      <c r="AI234">
        <v>22</v>
      </c>
      <c r="AJ234">
        <v>13</v>
      </c>
      <c r="AK234">
        <v>66</v>
      </c>
      <c r="AL234" t="s">
        <v>311</v>
      </c>
      <c r="AM234" t="s">
        <v>312</v>
      </c>
      <c r="AN234" t="s">
        <v>313</v>
      </c>
      <c r="AO234" t="s">
        <v>314</v>
      </c>
      <c r="AP234" t="s">
        <v>315</v>
      </c>
      <c r="AQ234" t="s">
        <v>74</v>
      </c>
      <c r="AR234" t="s">
        <v>316</v>
      </c>
      <c r="AS234" t="s">
        <v>317</v>
      </c>
      <c r="AT234" t="s">
        <v>2020</v>
      </c>
      <c r="AU234">
        <v>2023</v>
      </c>
      <c r="AV234">
        <v>61</v>
      </c>
      <c r="AW234">
        <v>23</v>
      </c>
      <c r="AX234" t="s">
        <v>74</v>
      </c>
      <c r="AY234" t="s">
        <v>74</v>
      </c>
      <c r="AZ234" t="s">
        <v>560</v>
      </c>
      <c r="BA234" t="s">
        <v>74</v>
      </c>
      <c r="BB234">
        <v>8309</v>
      </c>
      <c r="BC234">
        <v>8324</v>
      </c>
      <c r="BD234" t="s">
        <v>74</v>
      </c>
      <c r="BE234" t="s">
        <v>4196</v>
      </c>
      <c r="BF234" t="str">
        <f>HYPERLINK("http://dx.doi.org/10.1080/00207543.2022.2127163","http://dx.doi.org/10.1080/00207543.2022.2127163")</f>
        <v>http://dx.doi.org/10.1080/00207543.2022.2127163</v>
      </c>
      <c r="BG234" t="s">
        <v>74</v>
      </c>
      <c r="BH234" t="s">
        <v>865</v>
      </c>
      <c r="BI234">
        <v>16</v>
      </c>
      <c r="BJ234" t="s">
        <v>321</v>
      </c>
      <c r="BK234" t="s">
        <v>149</v>
      </c>
      <c r="BL234" t="s">
        <v>150</v>
      </c>
      <c r="BM234" t="s">
        <v>2023</v>
      </c>
      <c r="BN234" t="s">
        <v>74</v>
      </c>
      <c r="BO234" t="s">
        <v>74</v>
      </c>
      <c r="BP234" t="s">
        <v>74</v>
      </c>
      <c r="BQ234" t="s">
        <v>74</v>
      </c>
      <c r="BR234" t="s">
        <v>104</v>
      </c>
      <c r="BS234" t="s">
        <v>4197</v>
      </c>
      <c r="BT234" t="str">
        <f>HYPERLINK("https%3A%2F%2Fwww.webofscience.com%2Fwos%2Fwoscc%2Ffull-record%2FWOS:000863734300001","View Full Record in Web of Science")</f>
        <v>View Full Record in Web of Science</v>
      </c>
    </row>
    <row r="235" spans="1:72" x14ac:dyDescent="0.25">
      <c r="A235" t="s">
        <v>72</v>
      </c>
      <c r="B235" t="s">
        <v>4198</v>
      </c>
      <c r="C235" t="s">
        <v>74</v>
      </c>
      <c r="D235" t="s">
        <v>74</v>
      </c>
      <c r="E235" t="s">
        <v>74</v>
      </c>
      <c r="F235" t="s">
        <v>4199</v>
      </c>
      <c r="G235" t="s">
        <v>74</v>
      </c>
      <c r="H235" t="s">
        <v>74</v>
      </c>
      <c r="I235" t="s">
        <v>4200</v>
      </c>
      <c r="J235" t="s">
        <v>128</v>
      </c>
      <c r="K235" t="s">
        <v>74</v>
      </c>
      <c r="L235" t="s">
        <v>74</v>
      </c>
      <c r="M235" t="s">
        <v>78</v>
      </c>
      <c r="N235" t="s">
        <v>79</v>
      </c>
      <c r="O235" t="s">
        <v>74</v>
      </c>
      <c r="P235" t="s">
        <v>74</v>
      </c>
      <c r="Q235" t="s">
        <v>74</v>
      </c>
      <c r="R235" t="s">
        <v>74</v>
      </c>
      <c r="S235" t="s">
        <v>74</v>
      </c>
      <c r="T235" t="s">
        <v>4201</v>
      </c>
      <c r="U235" t="s">
        <v>4202</v>
      </c>
      <c r="V235" t="s">
        <v>4203</v>
      </c>
      <c r="W235" t="s">
        <v>4204</v>
      </c>
      <c r="X235" t="s">
        <v>4205</v>
      </c>
      <c r="Y235" t="s">
        <v>4206</v>
      </c>
      <c r="Z235" t="s">
        <v>4207</v>
      </c>
      <c r="AA235" t="s">
        <v>4208</v>
      </c>
      <c r="AB235" t="s">
        <v>4209</v>
      </c>
      <c r="AC235" t="s">
        <v>4210</v>
      </c>
      <c r="AD235" t="s">
        <v>4211</v>
      </c>
      <c r="AE235" t="s">
        <v>4212</v>
      </c>
      <c r="AF235" t="s">
        <v>74</v>
      </c>
      <c r="AG235">
        <v>41</v>
      </c>
      <c r="AH235">
        <v>23</v>
      </c>
      <c r="AI235">
        <v>24</v>
      </c>
      <c r="AJ235">
        <v>6</v>
      </c>
      <c r="AK235">
        <v>44</v>
      </c>
      <c r="AL235" t="s">
        <v>138</v>
      </c>
      <c r="AM235" t="s">
        <v>246</v>
      </c>
      <c r="AN235" t="s">
        <v>247</v>
      </c>
      <c r="AO235" t="s">
        <v>141</v>
      </c>
      <c r="AP235" t="s">
        <v>142</v>
      </c>
      <c r="AQ235" t="s">
        <v>74</v>
      </c>
      <c r="AR235" t="s">
        <v>143</v>
      </c>
      <c r="AS235" t="s">
        <v>144</v>
      </c>
      <c r="AT235" t="s">
        <v>1076</v>
      </c>
      <c r="AU235">
        <v>2022</v>
      </c>
      <c r="AV235">
        <v>226</v>
      </c>
      <c r="AW235" t="s">
        <v>74</v>
      </c>
      <c r="AX235" t="s">
        <v>74</v>
      </c>
      <c r="AY235" t="s">
        <v>74</v>
      </c>
      <c r="AZ235" t="s">
        <v>74</v>
      </c>
      <c r="BA235" t="s">
        <v>74</v>
      </c>
      <c r="BB235" t="s">
        <v>74</v>
      </c>
      <c r="BC235" t="s">
        <v>74</v>
      </c>
      <c r="BD235">
        <v>108600</v>
      </c>
      <c r="BE235" t="s">
        <v>4213</v>
      </c>
      <c r="BF235" t="str">
        <f>HYPERLINK("http://dx.doi.org/10.1016/j.ress.2022.108600","http://dx.doi.org/10.1016/j.ress.2022.108600")</f>
        <v>http://dx.doi.org/10.1016/j.ress.2022.108600</v>
      </c>
      <c r="BG235" t="s">
        <v>74</v>
      </c>
      <c r="BH235" t="s">
        <v>74</v>
      </c>
      <c r="BI235">
        <v>12</v>
      </c>
      <c r="BJ235" t="s">
        <v>148</v>
      </c>
      <c r="BK235" t="s">
        <v>149</v>
      </c>
      <c r="BL235" t="s">
        <v>150</v>
      </c>
      <c r="BM235" t="s">
        <v>4214</v>
      </c>
      <c r="BN235" t="s">
        <v>74</v>
      </c>
      <c r="BO235" t="s">
        <v>74</v>
      </c>
      <c r="BP235" t="s">
        <v>74</v>
      </c>
      <c r="BQ235" t="s">
        <v>74</v>
      </c>
      <c r="BR235" t="s">
        <v>104</v>
      </c>
      <c r="BS235" t="s">
        <v>4215</v>
      </c>
      <c r="BT235" t="str">
        <f>HYPERLINK("https%3A%2F%2Fwww.webofscience.com%2Fwos%2Fwoscc%2Ffull-record%2FWOS:000821966900005","View Full Record in Web of Science")</f>
        <v>View Full Record in Web of Science</v>
      </c>
    </row>
    <row r="236" spans="1:72" x14ac:dyDescent="0.25">
      <c r="A236" t="s">
        <v>72</v>
      </c>
      <c r="B236" t="s">
        <v>4216</v>
      </c>
      <c r="C236" t="s">
        <v>74</v>
      </c>
      <c r="D236" t="s">
        <v>74</v>
      </c>
      <c r="E236" t="s">
        <v>74</v>
      </c>
      <c r="F236" t="s">
        <v>4217</v>
      </c>
      <c r="G236" t="s">
        <v>74</v>
      </c>
      <c r="H236" t="s">
        <v>74</v>
      </c>
      <c r="I236" t="s">
        <v>4218</v>
      </c>
      <c r="J236" t="s">
        <v>128</v>
      </c>
      <c r="K236" t="s">
        <v>74</v>
      </c>
      <c r="L236" t="s">
        <v>74</v>
      </c>
      <c r="M236" t="s">
        <v>78</v>
      </c>
      <c r="N236" t="s">
        <v>79</v>
      </c>
      <c r="O236" t="s">
        <v>74</v>
      </c>
      <c r="P236" t="s">
        <v>74</v>
      </c>
      <c r="Q236" t="s">
        <v>74</v>
      </c>
      <c r="R236" t="s">
        <v>74</v>
      </c>
      <c r="S236" t="s">
        <v>74</v>
      </c>
      <c r="T236" t="s">
        <v>4219</v>
      </c>
      <c r="U236" t="s">
        <v>4220</v>
      </c>
      <c r="V236" t="s">
        <v>4221</v>
      </c>
      <c r="W236" t="s">
        <v>4222</v>
      </c>
      <c r="X236" t="s">
        <v>4223</v>
      </c>
      <c r="Y236" t="s">
        <v>4224</v>
      </c>
      <c r="Z236" t="s">
        <v>4225</v>
      </c>
      <c r="AA236" t="s">
        <v>4226</v>
      </c>
      <c r="AB236" t="s">
        <v>4227</v>
      </c>
      <c r="AC236" t="s">
        <v>4228</v>
      </c>
      <c r="AD236" t="s">
        <v>4229</v>
      </c>
      <c r="AE236" t="s">
        <v>4230</v>
      </c>
      <c r="AF236" t="s">
        <v>74</v>
      </c>
      <c r="AG236">
        <v>32</v>
      </c>
      <c r="AH236">
        <v>15</v>
      </c>
      <c r="AI236">
        <v>15</v>
      </c>
      <c r="AJ236">
        <v>8</v>
      </c>
      <c r="AK236">
        <v>32</v>
      </c>
      <c r="AL236" t="s">
        <v>138</v>
      </c>
      <c r="AM236" t="s">
        <v>139</v>
      </c>
      <c r="AN236" t="s">
        <v>140</v>
      </c>
      <c r="AO236" t="s">
        <v>141</v>
      </c>
      <c r="AP236" t="s">
        <v>142</v>
      </c>
      <c r="AQ236" t="s">
        <v>74</v>
      </c>
      <c r="AR236" t="s">
        <v>143</v>
      </c>
      <c r="AS236" t="s">
        <v>144</v>
      </c>
      <c r="AT236" t="s">
        <v>1202</v>
      </c>
      <c r="AU236">
        <v>2022</v>
      </c>
      <c r="AV236">
        <v>221</v>
      </c>
      <c r="AW236" t="s">
        <v>74</v>
      </c>
      <c r="AX236" t="s">
        <v>74</v>
      </c>
      <c r="AY236" t="s">
        <v>74</v>
      </c>
      <c r="AZ236" t="s">
        <v>74</v>
      </c>
      <c r="BA236" t="s">
        <v>74</v>
      </c>
      <c r="BB236" t="s">
        <v>74</v>
      </c>
      <c r="BC236" t="s">
        <v>74</v>
      </c>
      <c r="BD236">
        <v>108386</v>
      </c>
      <c r="BE236" t="s">
        <v>4231</v>
      </c>
      <c r="BF236" t="str">
        <f>HYPERLINK("http://dx.doi.org/10.1016/j.ress.2022.108386","http://dx.doi.org/10.1016/j.ress.2022.108386")</f>
        <v>http://dx.doi.org/10.1016/j.ress.2022.108386</v>
      </c>
      <c r="BG236" t="s">
        <v>74</v>
      </c>
      <c r="BH236" t="s">
        <v>1971</v>
      </c>
      <c r="BI236">
        <v>15</v>
      </c>
      <c r="BJ236" t="s">
        <v>148</v>
      </c>
      <c r="BK236" t="s">
        <v>149</v>
      </c>
      <c r="BL236" t="s">
        <v>150</v>
      </c>
      <c r="BM236" t="s">
        <v>4232</v>
      </c>
      <c r="BN236" t="s">
        <v>74</v>
      </c>
      <c r="BO236" t="s">
        <v>400</v>
      </c>
      <c r="BP236" t="s">
        <v>74</v>
      </c>
      <c r="BQ236" t="s">
        <v>74</v>
      </c>
      <c r="BR236" t="s">
        <v>104</v>
      </c>
      <c r="BS236" t="s">
        <v>4233</v>
      </c>
      <c r="BT236" t="str">
        <f>HYPERLINK("https%3A%2F%2Fwww.webofscience.com%2Fwos%2Fwoscc%2Ffull-record%2FWOS:000771556500052","View Full Record in Web of Science")</f>
        <v>View Full Record in Web of Science</v>
      </c>
    </row>
    <row r="237" spans="1:72" x14ac:dyDescent="0.25">
      <c r="A237" t="s">
        <v>72</v>
      </c>
      <c r="B237" t="s">
        <v>4234</v>
      </c>
      <c r="C237" t="s">
        <v>74</v>
      </c>
      <c r="D237" t="s">
        <v>74</v>
      </c>
      <c r="E237" t="s">
        <v>74</v>
      </c>
      <c r="F237" t="s">
        <v>4235</v>
      </c>
      <c r="G237" t="s">
        <v>74</v>
      </c>
      <c r="H237" t="s">
        <v>74</v>
      </c>
      <c r="I237" t="s">
        <v>4236</v>
      </c>
      <c r="J237" t="s">
        <v>128</v>
      </c>
      <c r="K237" t="s">
        <v>74</v>
      </c>
      <c r="L237" t="s">
        <v>74</v>
      </c>
      <c r="M237" t="s">
        <v>78</v>
      </c>
      <c r="N237" t="s">
        <v>79</v>
      </c>
      <c r="O237" t="s">
        <v>74</v>
      </c>
      <c r="P237" t="s">
        <v>74</v>
      </c>
      <c r="Q237" t="s">
        <v>74</v>
      </c>
      <c r="R237" t="s">
        <v>74</v>
      </c>
      <c r="S237" t="s">
        <v>74</v>
      </c>
      <c r="T237" t="s">
        <v>4237</v>
      </c>
      <c r="U237" t="s">
        <v>3678</v>
      </c>
      <c r="V237" t="s">
        <v>4238</v>
      </c>
      <c r="W237" t="s">
        <v>4239</v>
      </c>
      <c r="X237" t="s">
        <v>4240</v>
      </c>
      <c r="Y237" t="s">
        <v>4241</v>
      </c>
      <c r="Z237" t="s">
        <v>4242</v>
      </c>
      <c r="AA237" t="s">
        <v>3441</v>
      </c>
      <c r="AB237" t="s">
        <v>4243</v>
      </c>
      <c r="AC237" t="s">
        <v>4244</v>
      </c>
      <c r="AD237" t="s">
        <v>482</v>
      </c>
      <c r="AE237" t="s">
        <v>4245</v>
      </c>
      <c r="AF237" t="s">
        <v>74</v>
      </c>
      <c r="AG237">
        <v>38</v>
      </c>
      <c r="AH237">
        <v>50</v>
      </c>
      <c r="AI237">
        <v>50</v>
      </c>
      <c r="AJ237">
        <v>5</v>
      </c>
      <c r="AK237">
        <v>45</v>
      </c>
      <c r="AL237" t="s">
        <v>138</v>
      </c>
      <c r="AM237" t="s">
        <v>246</v>
      </c>
      <c r="AN237" t="s">
        <v>247</v>
      </c>
      <c r="AO237" t="s">
        <v>141</v>
      </c>
      <c r="AP237" t="s">
        <v>142</v>
      </c>
      <c r="AQ237" t="s">
        <v>74</v>
      </c>
      <c r="AR237" t="s">
        <v>143</v>
      </c>
      <c r="AS237" t="s">
        <v>144</v>
      </c>
      <c r="AT237" t="s">
        <v>559</v>
      </c>
      <c r="AU237">
        <v>2021</v>
      </c>
      <c r="AV237">
        <v>211</v>
      </c>
      <c r="AW237" t="s">
        <v>74</v>
      </c>
      <c r="AX237" t="s">
        <v>74</v>
      </c>
      <c r="AY237" t="s">
        <v>74</v>
      </c>
      <c r="AZ237" t="s">
        <v>74</v>
      </c>
      <c r="BA237" t="s">
        <v>74</v>
      </c>
      <c r="BB237" t="s">
        <v>74</v>
      </c>
      <c r="BC237" t="s">
        <v>74</v>
      </c>
      <c r="BD237">
        <v>107606</v>
      </c>
      <c r="BE237" t="s">
        <v>4246</v>
      </c>
      <c r="BF237" t="str">
        <f>HYPERLINK("http://dx.doi.org/10.1016/j.ress.2021.107606","http://dx.doi.org/10.1016/j.ress.2021.107606")</f>
        <v>http://dx.doi.org/10.1016/j.ress.2021.107606</v>
      </c>
      <c r="BG237" t="s">
        <v>74</v>
      </c>
      <c r="BH237" t="s">
        <v>756</v>
      </c>
      <c r="BI237">
        <v>15</v>
      </c>
      <c r="BJ237" t="s">
        <v>148</v>
      </c>
      <c r="BK237" t="s">
        <v>149</v>
      </c>
      <c r="BL237" t="s">
        <v>150</v>
      </c>
      <c r="BM237" t="s">
        <v>4247</v>
      </c>
      <c r="BN237" t="s">
        <v>74</v>
      </c>
      <c r="BO237" t="s">
        <v>74</v>
      </c>
      <c r="BP237" t="s">
        <v>74</v>
      </c>
      <c r="BQ237" t="s">
        <v>74</v>
      </c>
      <c r="BR237" t="s">
        <v>104</v>
      </c>
      <c r="BS237" t="s">
        <v>4248</v>
      </c>
      <c r="BT237" t="str">
        <f>HYPERLINK("https%3A%2F%2Fwww.webofscience.com%2Fwos%2Fwoscc%2Ffull-record%2FWOS:000663909700016","View Full Record in Web of Science")</f>
        <v>View Full Record in Web of Science</v>
      </c>
    </row>
    <row r="238" spans="1:72" x14ac:dyDescent="0.25">
      <c r="A238" t="s">
        <v>72</v>
      </c>
      <c r="B238" t="s">
        <v>4249</v>
      </c>
      <c r="C238" t="s">
        <v>74</v>
      </c>
      <c r="D238" t="s">
        <v>74</v>
      </c>
      <c r="E238" t="s">
        <v>74</v>
      </c>
      <c r="F238" t="s">
        <v>4250</v>
      </c>
      <c r="G238" t="s">
        <v>74</v>
      </c>
      <c r="H238" t="s">
        <v>74</v>
      </c>
      <c r="I238" t="s">
        <v>4251</v>
      </c>
      <c r="J238" t="s">
        <v>188</v>
      </c>
      <c r="K238" t="s">
        <v>74</v>
      </c>
      <c r="L238" t="s">
        <v>74</v>
      </c>
      <c r="M238" t="s">
        <v>78</v>
      </c>
      <c r="N238" t="s">
        <v>79</v>
      </c>
      <c r="O238" t="s">
        <v>74</v>
      </c>
      <c r="P238" t="s">
        <v>74</v>
      </c>
      <c r="Q238" t="s">
        <v>74</v>
      </c>
      <c r="R238" t="s">
        <v>74</v>
      </c>
      <c r="S238" t="s">
        <v>74</v>
      </c>
      <c r="T238" t="s">
        <v>4252</v>
      </c>
      <c r="U238" t="s">
        <v>4253</v>
      </c>
      <c r="V238" t="s">
        <v>4254</v>
      </c>
      <c r="W238" t="s">
        <v>4255</v>
      </c>
      <c r="X238" t="s">
        <v>4256</v>
      </c>
      <c r="Y238" t="s">
        <v>4257</v>
      </c>
      <c r="Z238" t="s">
        <v>4258</v>
      </c>
      <c r="AA238" t="s">
        <v>74</v>
      </c>
      <c r="AB238" t="s">
        <v>74</v>
      </c>
      <c r="AC238" t="s">
        <v>74</v>
      </c>
      <c r="AD238" t="s">
        <v>74</v>
      </c>
      <c r="AE238" t="s">
        <v>74</v>
      </c>
      <c r="AF238" t="s">
        <v>74</v>
      </c>
      <c r="AG238">
        <v>21</v>
      </c>
      <c r="AH238">
        <v>4</v>
      </c>
      <c r="AI238">
        <v>4</v>
      </c>
      <c r="AJ238">
        <v>2</v>
      </c>
      <c r="AK238">
        <v>10</v>
      </c>
      <c r="AL238" t="s">
        <v>198</v>
      </c>
      <c r="AM238" t="s">
        <v>199</v>
      </c>
      <c r="AN238" t="s">
        <v>200</v>
      </c>
      <c r="AO238" t="s">
        <v>201</v>
      </c>
      <c r="AP238" t="s">
        <v>202</v>
      </c>
      <c r="AQ238" t="s">
        <v>74</v>
      </c>
      <c r="AR238" t="s">
        <v>203</v>
      </c>
      <c r="AS238" t="s">
        <v>204</v>
      </c>
      <c r="AT238" t="s">
        <v>205</v>
      </c>
      <c r="AU238">
        <v>2021</v>
      </c>
      <c r="AV238">
        <v>12</v>
      </c>
      <c r="AW238">
        <v>3</v>
      </c>
      <c r="AX238" t="s">
        <v>74</v>
      </c>
      <c r="AY238" t="s">
        <v>74</v>
      </c>
      <c r="AZ238" t="s">
        <v>74</v>
      </c>
      <c r="BA238" t="s">
        <v>74</v>
      </c>
      <c r="BB238">
        <v>3</v>
      </c>
      <c r="BC238">
        <v>14</v>
      </c>
      <c r="BD238" t="s">
        <v>74</v>
      </c>
      <c r="BE238" t="s">
        <v>4259</v>
      </c>
      <c r="BF238" t="str">
        <f>HYPERLINK("http://dx.doi.org/10.24425/mper.2021.138526","http://dx.doi.org/10.24425/mper.2021.138526")</f>
        <v>http://dx.doi.org/10.24425/mper.2021.138526</v>
      </c>
      <c r="BG238" t="s">
        <v>74</v>
      </c>
      <c r="BH238" t="s">
        <v>74</v>
      </c>
      <c r="BI238">
        <v>12</v>
      </c>
      <c r="BJ238" t="s">
        <v>100</v>
      </c>
      <c r="BK238" t="s">
        <v>101</v>
      </c>
      <c r="BL238" t="s">
        <v>102</v>
      </c>
      <c r="BM238" t="s">
        <v>4260</v>
      </c>
      <c r="BN238" t="s">
        <v>74</v>
      </c>
      <c r="BO238" t="s">
        <v>208</v>
      </c>
      <c r="BP238" t="s">
        <v>74</v>
      </c>
      <c r="BQ238" t="s">
        <v>74</v>
      </c>
      <c r="BR238" t="s">
        <v>104</v>
      </c>
      <c r="BS238" t="s">
        <v>4261</v>
      </c>
      <c r="BT238" t="str">
        <f>HYPERLINK("https%3A%2F%2Fwww.webofscience.com%2Fwos%2Fwoscc%2Ffull-record%2FWOS:000704281900001","View Full Record in Web of Science")</f>
        <v>View Full Record in Web of Science</v>
      </c>
    </row>
    <row r="239" spans="1:72" x14ac:dyDescent="0.25">
      <c r="A239" t="s">
        <v>72</v>
      </c>
      <c r="B239" t="s">
        <v>4262</v>
      </c>
      <c r="C239" t="s">
        <v>74</v>
      </c>
      <c r="D239" t="s">
        <v>74</v>
      </c>
      <c r="E239" t="s">
        <v>74</v>
      </c>
      <c r="F239" t="s">
        <v>4263</v>
      </c>
      <c r="G239" t="s">
        <v>74</v>
      </c>
      <c r="H239" t="s">
        <v>74</v>
      </c>
      <c r="I239" t="s">
        <v>4264</v>
      </c>
      <c r="J239" t="s">
        <v>1894</v>
      </c>
      <c r="K239" t="s">
        <v>74</v>
      </c>
      <c r="L239" t="s">
        <v>74</v>
      </c>
      <c r="M239" t="s">
        <v>78</v>
      </c>
      <c r="N239" t="s">
        <v>79</v>
      </c>
      <c r="O239" t="s">
        <v>74</v>
      </c>
      <c r="P239" t="s">
        <v>74</v>
      </c>
      <c r="Q239" t="s">
        <v>74</v>
      </c>
      <c r="R239" t="s">
        <v>74</v>
      </c>
      <c r="S239" t="s">
        <v>74</v>
      </c>
      <c r="T239" t="s">
        <v>4265</v>
      </c>
      <c r="U239" t="s">
        <v>4266</v>
      </c>
      <c r="V239" t="s">
        <v>4267</v>
      </c>
      <c r="W239" t="s">
        <v>4268</v>
      </c>
      <c r="X239" t="s">
        <v>4269</v>
      </c>
      <c r="Y239" t="s">
        <v>4270</v>
      </c>
      <c r="Z239" t="s">
        <v>4271</v>
      </c>
      <c r="AA239" t="s">
        <v>4272</v>
      </c>
      <c r="AB239" t="s">
        <v>4273</v>
      </c>
      <c r="AC239" t="s">
        <v>74</v>
      </c>
      <c r="AD239" t="s">
        <v>74</v>
      </c>
      <c r="AE239" t="s">
        <v>74</v>
      </c>
      <c r="AF239" t="s">
        <v>74</v>
      </c>
      <c r="AG239">
        <v>37</v>
      </c>
      <c r="AH239">
        <v>2</v>
      </c>
      <c r="AI239">
        <v>2</v>
      </c>
      <c r="AJ239">
        <v>15</v>
      </c>
      <c r="AK239">
        <v>15</v>
      </c>
      <c r="AL239" t="s">
        <v>138</v>
      </c>
      <c r="AM239" t="s">
        <v>139</v>
      </c>
      <c r="AN239" t="s">
        <v>140</v>
      </c>
      <c r="AO239" t="s">
        <v>1903</v>
      </c>
      <c r="AP239" t="s">
        <v>1904</v>
      </c>
      <c r="AQ239" t="s">
        <v>74</v>
      </c>
      <c r="AR239" t="s">
        <v>1905</v>
      </c>
      <c r="AS239" t="s">
        <v>1906</v>
      </c>
      <c r="AT239" t="s">
        <v>145</v>
      </c>
      <c r="AU239">
        <v>2024</v>
      </c>
      <c r="AV239">
        <v>77</v>
      </c>
      <c r="AW239" t="s">
        <v>74</v>
      </c>
      <c r="AX239" t="s">
        <v>74</v>
      </c>
      <c r="AY239" t="s">
        <v>74</v>
      </c>
      <c r="AZ239" t="s">
        <v>74</v>
      </c>
      <c r="BA239" t="s">
        <v>74</v>
      </c>
      <c r="BB239">
        <v>848</v>
      </c>
      <c r="BC239">
        <v>858</v>
      </c>
      <c r="BD239" t="s">
        <v>74</v>
      </c>
      <c r="BE239" t="s">
        <v>4274</v>
      </c>
      <c r="BF239" t="str">
        <f>HYPERLINK("http://dx.doi.org/10.1016/j.jmsy.2024.10.020","http://dx.doi.org/10.1016/j.jmsy.2024.10.020")</f>
        <v>http://dx.doi.org/10.1016/j.jmsy.2024.10.020</v>
      </c>
      <c r="BG239" t="s">
        <v>74</v>
      </c>
      <c r="BH239" t="s">
        <v>1174</v>
      </c>
      <c r="BI239">
        <v>11</v>
      </c>
      <c r="BJ239" t="s">
        <v>321</v>
      </c>
      <c r="BK239" t="s">
        <v>149</v>
      </c>
      <c r="BL239" t="s">
        <v>150</v>
      </c>
      <c r="BM239" t="s">
        <v>4275</v>
      </c>
      <c r="BN239" t="s">
        <v>74</v>
      </c>
      <c r="BO239" t="s">
        <v>74</v>
      </c>
      <c r="BP239" t="s">
        <v>74</v>
      </c>
      <c r="BQ239" t="s">
        <v>74</v>
      </c>
      <c r="BR239" t="s">
        <v>104</v>
      </c>
      <c r="BS239" t="s">
        <v>4276</v>
      </c>
      <c r="BT239" t="str">
        <f>HYPERLINK("https%3A%2F%2Fwww.webofscience.com%2Fwos%2Fwoscc%2Ffull-record%2FWOS:001350882100001","View Full Record in Web of Science")</f>
        <v>View Full Record in Web of Science</v>
      </c>
    </row>
    <row r="240" spans="1:72" x14ac:dyDescent="0.25">
      <c r="A240" t="s">
        <v>72</v>
      </c>
      <c r="B240" t="s">
        <v>4277</v>
      </c>
      <c r="C240" t="s">
        <v>74</v>
      </c>
      <c r="D240" t="s">
        <v>74</v>
      </c>
      <c r="E240" t="s">
        <v>74</v>
      </c>
      <c r="F240" t="s">
        <v>4278</v>
      </c>
      <c r="G240" t="s">
        <v>74</v>
      </c>
      <c r="H240" t="s">
        <v>74</v>
      </c>
      <c r="I240" t="s">
        <v>4279</v>
      </c>
      <c r="J240" t="s">
        <v>128</v>
      </c>
      <c r="K240" t="s">
        <v>74</v>
      </c>
      <c r="L240" t="s">
        <v>74</v>
      </c>
      <c r="M240" t="s">
        <v>78</v>
      </c>
      <c r="N240" t="s">
        <v>79</v>
      </c>
      <c r="O240" t="s">
        <v>74</v>
      </c>
      <c r="P240" t="s">
        <v>74</v>
      </c>
      <c r="Q240" t="s">
        <v>74</v>
      </c>
      <c r="R240" t="s">
        <v>74</v>
      </c>
      <c r="S240" t="s">
        <v>74</v>
      </c>
      <c r="T240" t="s">
        <v>4280</v>
      </c>
      <c r="U240" t="s">
        <v>4281</v>
      </c>
      <c r="V240" t="s">
        <v>4282</v>
      </c>
      <c r="W240" t="s">
        <v>4283</v>
      </c>
      <c r="X240" t="s">
        <v>4284</v>
      </c>
      <c r="Y240" t="s">
        <v>4285</v>
      </c>
      <c r="Z240" t="s">
        <v>4286</v>
      </c>
      <c r="AA240" t="s">
        <v>74</v>
      </c>
      <c r="AB240" t="s">
        <v>4287</v>
      </c>
      <c r="AC240" t="s">
        <v>74</v>
      </c>
      <c r="AD240" t="s">
        <v>74</v>
      </c>
      <c r="AE240" t="s">
        <v>74</v>
      </c>
      <c r="AF240" t="s">
        <v>74</v>
      </c>
      <c r="AG240">
        <v>46</v>
      </c>
      <c r="AH240">
        <v>59</v>
      </c>
      <c r="AI240">
        <v>62</v>
      </c>
      <c r="AJ240">
        <v>8</v>
      </c>
      <c r="AK240">
        <v>86</v>
      </c>
      <c r="AL240" t="s">
        <v>138</v>
      </c>
      <c r="AM240" t="s">
        <v>246</v>
      </c>
      <c r="AN240" t="s">
        <v>247</v>
      </c>
      <c r="AO240" t="s">
        <v>141</v>
      </c>
      <c r="AP240" t="s">
        <v>142</v>
      </c>
      <c r="AQ240" t="s">
        <v>74</v>
      </c>
      <c r="AR240" t="s">
        <v>143</v>
      </c>
      <c r="AS240" t="s">
        <v>144</v>
      </c>
      <c r="AT240" t="s">
        <v>1076</v>
      </c>
      <c r="AU240">
        <v>2021</v>
      </c>
      <c r="AV240">
        <v>214</v>
      </c>
      <c r="AW240" t="s">
        <v>74</v>
      </c>
      <c r="AX240" t="s">
        <v>74</v>
      </c>
      <c r="AY240" t="s">
        <v>74</v>
      </c>
      <c r="AZ240" t="s">
        <v>74</v>
      </c>
      <c r="BA240" t="s">
        <v>74</v>
      </c>
      <c r="BB240" t="s">
        <v>74</v>
      </c>
      <c r="BC240" t="s">
        <v>74</v>
      </c>
      <c r="BD240">
        <v>107761</v>
      </c>
      <c r="BE240" t="s">
        <v>4288</v>
      </c>
      <c r="BF240" t="str">
        <f>HYPERLINK("http://dx.doi.org/10.1016/j.ress.2021.107761","http://dx.doi.org/10.1016/j.ress.2021.107761")</f>
        <v>http://dx.doi.org/10.1016/j.ress.2021.107761</v>
      </c>
      <c r="BG240" t="s">
        <v>74</v>
      </c>
      <c r="BH240" t="s">
        <v>1614</v>
      </c>
      <c r="BI240">
        <v>13</v>
      </c>
      <c r="BJ240" t="s">
        <v>148</v>
      </c>
      <c r="BK240" t="s">
        <v>149</v>
      </c>
      <c r="BL240" t="s">
        <v>150</v>
      </c>
      <c r="BM240" t="s">
        <v>1615</v>
      </c>
      <c r="BN240" t="s">
        <v>74</v>
      </c>
      <c r="BO240" t="s">
        <v>641</v>
      </c>
      <c r="BP240" t="s">
        <v>74</v>
      </c>
      <c r="BQ240" t="s">
        <v>74</v>
      </c>
      <c r="BR240" t="s">
        <v>104</v>
      </c>
      <c r="BS240" t="s">
        <v>4289</v>
      </c>
      <c r="BT240" t="str">
        <f>HYPERLINK("https%3A%2F%2Fwww.webofscience.com%2Fwos%2Fwoscc%2Ffull-record%2FWOS:000663912500036","View Full Record in Web of Science")</f>
        <v>View Full Record in Web of Science</v>
      </c>
    </row>
    <row r="241" spans="1:72" x14ac:dyDescent="0.25">
      <c r="A241" t="s">
        <v>72</v>
      </c>
      <c r="B241" t="s">
        <v>4290</v>
      </c>
      <c r="C241" t="s">
        <v>74</v>
      </c>
      <c r="D241" t="s">
        <v>74</v>
      </c>
      <c r="E241" t="s">
        <v>74</v>
      </c>
      <c r="F241" t="s">
        <v>4291</v>
      </c>
      <c r="G241" t="s">
        <v>74</v>
      </c>
      <c r="H241" t="s">
        <v>74</v>
      </c>
      <c r="I241" t="s">
        <v>4292</v>
      </c>
      <c r="J241" t="s">
        <v>128</v>
      </c>
      <c r="K241" t="s">
        <v>74</v>
      </c>
      <c r="L241" t="s">
        <v>74</v>
      </c>
      <c r="M241" t="s">
        <v>78</v>
      </c>
      <c r="N241" t="s">
        <v>79</v>
      </c>
      <c r="O241" t="s">
        <v>74</v>
      </c>
      <c r="P241" t="s">
        <v>74</v>
      </c>
      <c r="Q241" t="s">
        <v>74</v>
      </c>
      <c r="R241" t="s">
        <v>74</v>
      </c>
      <c r="S241" t="s">
        <v>74</v>
      </c>
      <c r="T241" t="s">
        <v>4293</v>
      </c>
      <c r="U241" t="s">
        <v>4294</v>
      </c>
      <c r="V241" t="s">
        <v>4295</v>
      </c>
      <c r="W241" t="s">
        <v>4296</v>
      </c>
      <c r="X241" t="s">
        <v>4297</v>
      </c>
      <c r="Y241" t="s">
        <v>3794</v>
      </c>
      <c r="Z241" t="s">
        <v>4298</v>
      </c>
      <c r="AA241" t="s">
        <v>74</v>
      </c>
      <c r="AB241" t="s">
        <v>74</v>
      </c>
      <c r="AC241" t="s">
        <v>4299</v>
      </c>
      <c r="AD241" t="s">
        <v>4300</v>
      </c>
      <c r="AE241" t="s">
        <v>4301</v>
      </c>
      <c r="AF241" t="s">
        <v>74</v>
      </c>
      <c r="AG241">
        <v>45</v>
      </c>
      <c r="AH241">
        <v>44</v>
      </c>
      <c r="AI241">
        <v>46</v>
      </c>
      <c r="AJ241">
        <v>2</v>
      </c>
      <c r="AK241">
        <v>79</v>
      </c>
      <c r="AL241" t="s">
        <v>138</v>
      </c>
      <c r="AM241" t="s">
        <v>246</v>
      </c>
      <c r="AN241" t="s">
        <v>247</v>
      </c>
      <c r="AO241" t="s">
        <v>141</v>
      </c>
      <c r="AP241" t="s">
        <v>142</v>
      </c>
      <c r="AQ241" t="s">
        <v>74</v>
      </c>
      <c r="AR241" t="s">
        <v>143</v>
      </c>
      <c r="AS241" t="s">
        <v>144</v>
      </c>
      <c r="AT241" t="s">
        <v>1008</v>
      </c>
      <c r="AU241">
        <v>2020</v>
      </c>
      <c r="AV241">
        <v>193</v>
      </c>
      <c r="AW241" t="s">
        <v>74</v>
      </c>
      <c r="AX241" t="s">
        <v>74</v>
      </c>
      <c r="AY241" t="s">
        <v>74</v>
      </c>
      <c r="AZ241" t="s">
        <v>74</v>
      </c>
      <c r="BA241" t="s">
        <v>74</v>
      </c>
      <c r="BB241" t="s">
        <v>74</v>
      </c>
      <c r="BC241" t="s">
        <v>74</v>
      </c>
      <c r="BD241">
        <v>106615</v>
      </c>
      <c r="BE241" t="s">
        <v>4302</v>
      </c>
      <c r="BF241" t="str">
        <f>HYPERLINK("http://dx.doi.org/10.1016/j.ress.2019.106615","http://dx.doi.org/10.1016/j.ress.2019.106615")</f>
        <v>http://dx.doi.org/10.1016/j.ress.2019.106615</v>
      </c>
      <c r="BG241" t="s">
        <v>74</v>
      </c>
      <c r="BH241" t="s">
        <v>74</v>
      </c>
      <c r="BI241">
        <v>12</v>
      </c>
      <c r="BJ241" t="s">
        <v>148</v>
      </c>
      <c r="BK241" t="s">
        <v>149</v>
      </c>
      <c r="BL241" t="s">
        <v>150</v>
      </c>
      <c r="BM241" t="s">
        <v>3881</v>
      </c>
      <c r="BN241" t="s">
        <v>74</v>
      </c>
      <c r="BO241" t="s">
        <v>74</v>
      </c>
      <c r="BP241" t="s">
        <v>74</v>
      </c>
      <c r="BQ241" t="s">
        <v>74</v>
      </c>
      <c r="BR241" t="s">
        <v>104</v>
      </c>
      <c r="BS241" t="s">
        <v>4303</v>
      </c>
      <c r="BT241" t="str">
        <f>HYPERLINK("https%3A%2F%2Fwww.webofscience.com%2Fwos%2Fwoscc%2Ffull-record%2FWOS:000501641400027","View Full Record in Web of Science")</f>
        <v>View Full Record in Web of Science</v>
      </c>
    </row>
    <row r="242" spans="1:72" x14ac:dyDescent="0.25">
      <c r="A242" t="s">
        <v>72</v>
      </c>
      <c r="B242" t="s">
        <v>4304</v>
      </c>
      <c r="C242" t="s">
        <v>74</v>
      </c>
      <c r="D242" t="s">
        <v>74</v>
      </c>
      <c r="E242" t="s">
        <v>74</v>
      </c>
      <c r="F242" t="s">
        <v>4305</v>
      </c>
      <c r="G242" t="s">
        <v>74</v>
      </c>
      <c r="H242" t="s">
        <v>74</v>
      </c>
      <c r="I242" t="s">
        <v>4306</v>
      </c>
      <c r="J242" t="s">
        <v>128</v>
      </c>
      <c r="K242" t="s">
        <v>74</v>
      </c>
      <c r="L242" t="s">
        <v>74</v>
      </c>
      <c r="M242" t="s">
        <v>78</v>
      </c>
      <c r="N242" t="s">
        <v>79</v>
      </c>
      <c r="O242" t="s">
        <v>74</v>
      </c>
      <c r="P242" t="s">
        <v>74</v>
      </c>
      <c r="Q242" t="s">
        <v>74</v>
      </c>
      <c r="R242" t="s">
        <v>74</v>
      </c>
      <c r="S242" t="s">
        <v>74</v>
      </c>
      <c r="T242" t="s">
        <v>4307</v>
      </c>
      <c r="U242" t="s">
        <v>4308</v>
      </c>
      <c r="V242" t="s">
        <v>4309</v>
      </c>
      <c r="W242" t="s">
        <v>4310</v>
      </c>
      <c r="X242" t="s">
        <v>804</v>
      </c>
      <c r="Y242" t="s">
        <v>3025</v>
      </c>
      <c r="Z242" t="s">
        <v>1863</v>
      </c>
      <c r="AA242" t="s">
        <v>807</v>
      </c>
      <c r="AB242" t="s">
        <v>1483</v>
      </c>
      <c r="AC242" t="s">
        <v>4311</v>
      </c>
      <c r="AD242" t="s">
        <v>4312</v>
      </c>
      <c r="AE242" t="s">
        <v>4313</v>
      </c>
      <c r="AF242" t="s">
        <v>74</v>
      </c>
      <c r="AG242">
        <v>32</v>
      </c>
      <c r="AH242">
        <v>15</v>
      </c>
      <c r="AI242">
        <v>16</v>
      </c>
      <c r="AJ242">
        <v>2</v>
      </c>
      <c r="AK242">
        <v>37</v>
      </c>
      <c r="AL242" t="s">
        <v>138</v>
      </c>
      <c r="AM242" t="s">
        <v>246</v>
      </c>
      <c r="AN242" t="s">
        <v>247</v>
      </c>
      <c r="AO242" t="s">
        <v>141</v>
      </c>
      <c r="AP242" t="s">
        <v>142</v>
      </c>
      <c r="AQ242" t="s">
        <v>74</v>
      </c>
      <c r="AR242" t="s">
        <v>143</v>
      </c>
      <c r="AS242" t="s">
        <v>144</v>
      </c>
      <c r="AT242" t="s">
        <v>145</v>
      </c>
      <c r="AU242">
        <v>2021</v>
      </c>
      <c r="AV242">
        <v>216</v>
      </c>
      <c r="AW242" t="s">
        <v>74</v>
      </c>
      <c r="AX242" t="s">
        <v>74</v>
      </c>
      <c r="AY242" t="s">
        <v>74</v>
      </c>
      <c r="AZ242" t="s">
        <v>74</v>
      </c>
      <c r="BA242" t="s">
        <v>74</v>
      </c>
      <c r="BB242" t="s">
        <v>74</v>
      </c>
      <c r="BC242" t="s">
        <v>74</v>
      </c>
      <c r="BD242">
        <v>108001</v>
      </c>
      <c r="BE242" t="s">
        <v>4314</v>
      </c>
      <c r="BF242" t="str">
        <f>HYPERLINK("http://dx.doi.org/10.1016/j.ress.2021.108001","http://dx.doi.org/10.1016/j.ress.2021.108001")</f>
        <v>http://dx.doi.org/10.1016/j.ress.2021.108001</v>
      </c>
      <c r="BG242" t="s">
        <v>74</v>
      </c>
      <c r="BH242" t="s">
        <v>2089</v>
      </c>
      <c r="BI242">
        <v>8</v>
      </c>
      <c r="BJ242" t="s">
        <v>148</v>
      </c>
      <c r="BK242" t="s">
        <v>149</v>
      </c>
      <c r="BL242" t="s">
        <v>150</v>
      </c>
      <c r="BM242" t="s">
        <v>2090</v>
      </c>
      <c r="BN242" t="s">
        <v>74</v>
      </c>
      <c r="BO242" t="s">
        <v>74</v>
      </c>
      <c r="BP242" t="s">
        <v>74</v>
      </c>
      <c r="BQ242" t="s">
        <v>74</v>
      </c>
      <c r="BR242" t="s">
        <v>104</v>
      </c>
      <c r="BS242" t="s">
        <v>4315</v>
      </c>
      <c r="BT242" t="str">
        <f>HYPERLINK("https%3A%2F%2Fwww.webofscience.com%2Fwos%2Fwoscc%2Ffull-record%2FWOS:000702351700069","View Full Record in Web of Science")</f>
        <v>View Full Record in Web of Science</v>
      </c>
    </row>
    <row r="243" spans="1:72" x14ac:dyDescent="0.25">
      <c r="A243" t="s">
        <v>72</v>
      </c>
      <c r="B243" t="s">
        <v>4316</v>
      </c>
      <c r="C243" t="s">
        <v>74</v>
      </c>
      <c r="D243" t="s">
        <v>74</v>
      </c>
      <c r="E243" t="s">
        <v>74</v>
      </c>
      <c r="F243" t="s">
        <v>4317</v>
      </c>
      <c r="G243" t="s">
        <v>74</v>
      </c>
      <c r="H243" t="s">
        <v>74</v>
      </c>
      <c r="I243" t="s">
        <v>4318</v>
      </c>
      <c r="J243" t="s">
        <v>128</v>
      </c>
      <c r="K243" t="s">
        <v>74</v>
      </c>
      <c r="L243" t="s">
        <v>74</v>
      </c>
      <c r="M243" t="s">
        <v>78</v>
      </c>
      <c r="N243" t="s">
        <v>79</v>
      </c>
      <c r="O243" t="s">
        <v>74</v>
      </c>
      <c r="P243" t="s">
        <v>74</v>
      </c>
      <c r="Q243" t="s">
        <v>74</v>
      </c>
      <c r="R243" t="s">
        <v>74</v>
      </c>
      <c r="S243" t="s">
        <v>74</v>
      </c>
      <c r="T243" t="s">
        <v>4319</v>
      </c>
      <c r="U243" t="s">
        <v>4320</v>
      </c>
      <c r="V243" t="s">
        <v>4321</v>
      </c>
      <c r="W243" t="s">
        <v>4322</v>
      </c>
      <c r="X243" t="s">
        <v>4323</v>
      </c>
      <c r="Y243" t="s">
        <v>3423</v>
      </c>
      <c r="Z243" t="s">
        <v>3424</v>
      </c>
      <c r="AA243" t="s">
        <v>74</v>
      </c>
      <c r="AB243" t="s">
        <v>3858</v>
      </c>
      <c r="AC243" t="s">
        <v>4324</v>
      </c>
      <c r="AD243" t="s">
        <v>4325</v>
      </c>
      <c r="AE243" t="s">
        <v>4326</v>
      </c>
      <c r="AF243" t="s">
        <v>74</v>
      </c>
      <c r="AG243">
        <v>40</v>
      </c>
      <c r="AH243">
        <v>26</v>
      </c>
      <c r="AI243">
        <v>26</v>
      </c>
      <c r="AJ243">
        <v>18</v>
      </c>
      <c r="AK243">
        <v>58</v>
      </c>
      <c r="AL243" t="s">
        <v>138</v>
      </c>
      <c r="AM243" t="s">
        <v>139</v>
      </c>
      <c r="AN243" t="s">
        <v>140</v>
      </c>
      <c r="AO243" t="s">
        <v>141</v>
      </c>
      <c r="AP243" t="s">
        <v>142</v>
      </c>
      <c r="AQ243" t="s">
        <v>74</v>
      </c>
      <c r="AR243" t="s">
        <v>143</v>
      </c>
      <c r="AS243" t="s">
        <v>144</v>
      </c>
      <c r="AT243" t="s">
        <v>1008</v>
      </c>
      <c r="AU243">
        <v>2024</v>
      </c>
      <c r="AV243">
        <v>241</v>
      </c>
      <c r="AW243" t="s">
        <v>74</v>
      </c>
      <c r="AX243" t="s">
        <v>74</v>
      </c>
      <c r="AY243" t="s">
        <v>74</v>
      </c>
      <c r="AZ243" t="s">
        <v>74</v>
      </c>
      <c r="BA243" t="s">
        <v>74</v>
      </c>
      <c r="BB243" t="s">
        <v>74</v>
      </c>
      <c r="BC243" t="s">
        <v>74</v>
      </c>
      <c r="BD243">
        <v>109661</v>
      </c>
      <c r="BE243" t="s">
        <v>4327</v>
      </c>
      <c r="BF243" t="str">
        <f>HYPERLINK("http://dx.doi.org/10.1016/j.ress.2023.109661","http://dx.doi.org/10.1016/j.ress.2023.109661")</f>
        <v>http://dx.doi.org/10.1016/j.ress.2023.109661</v>
      </c>
      <c r="BG243" t="s">
        <v>74</v>
      </c>
      <c r="BH243" t="s">
        <v>147</v>
      </c>
      <c r="BI243">
        <v>12</v>
      </c>
      <c r="BJ243" t="s">
        <v>148</v>
      </c>
      <c r="BK243" t="s">
        <v>149</v>
      </c>
      <c r="BL243" t="s">
        <v>150</v>
      </c>
      <c r="BM243" t="s">
        <v>4328</v>
      </c>
      <c r="BN243" t="s">
        <v>74</v>
      </c>
      <c r="BO243" t="s">
        <v>74</v>
      </c>
      <c r="BP243" t="s">
        <v>74</v>
      </c>
      <c r="BQ243" t="s">
        <v>74</v>
      </c>
      <c r="BR243" t="s">
        <v>104</v>
      </c>
      <c r="BS243" t="s">
        <v>4329</v>
      </c>
      <c r="BT243" t="str">
        <f>HYPERLINK("https%3A%2F%2Fwww.webofscience.com%2Fwos%2Fwoscc%2Ffull-record%2FWOS:001079229900001","View Full Record in Web of Science")</f>
        <v>View Full Record in Web of Science</v>
      </c>
    </row>
    <row r="244" spans="1:72" x14ac:dyDescent="0.25">
      <c r="A244" t="s">
        <v>72</v>
      </c>
      <c r="B244" t="s">
        <v>4330</v>
      </c>
      <c r="C244" t="s">
        <v>74</v>
      </c>
      <c r="D244" t="s">
        <v>74</v>
      </c>
      <c r="E244" t="s">
        <v>74</v>
      </c>
      <c r="F244" t="s">
        <v>4331</v>
      </c>
      <c r="G244" t="s">
        <v>74</v>
      </c>
      <c r="H244" t="s">
        <v>74</v>
      </c>
      <c r="I244" t="s">
        <v>4332</v>
      </c>
      <c r="J244" t="s">
        <v>128</v>
      </c>
      <c r="K244" t="s">
        <v>74</v>
      </c>
      <c r="L244" t="s">
        <v>74</v>
      </c>
      <c r="M244" t="s">
        <v>78</v>
      </c>
      <c r="N244" t="s">
        <v>79</v>
      </c>
      <c r="O244" t="s">
        <v>74</v>
      </c>
      <c r="P244" t="s">
        <v>74</v>
      </c>
      <c r="Q244" t="s">
        <v>74</v>
      </c>
      <c r="R244" t="s">
        <v>74</v>
      </c>
      <c r="S244" t="s">
        <v>74</v>
      </c>
      <c r="T244" t="s">
        <v>4333</v>
      </c>
      <c r="U244" t="s">
        <v>4334</v>
      </c>
      <c r="V244" t="s">
        <v>4335</v>
      </c>
      <c r="W244" t="s">
        <v>4336</v>
      </c>
      <c r="X244" t="s">
        <v>4337</v>
      </c>
      <c r="Y244" t="s">
        <v>4338</v>
      </c>
      <c r="Z244" t="s">
        <v>4339</v>
      </c>
      <c r="AA244" t="s">
        <v>4340</v>
      </c>
      <c r="AB244" t="s">
        <v>4341</v>
      </c>
      <c r="AC244" t="s">
        <v>4342</v>
      </c>
      <c r="AD244" t="s">
        <v>4343</v>
      </c>
      <c r="AE244" t="s">
        <v>4344</v>
      </c>
      <c r="AF244" t="s">
        <v>74</v>
      </c>
      <c r="AG244">
        <v>38</v>
      </c>
      <c r="AH244">
        <v>38</v>
      </c>
      <c r="AI244">
        <v>39</v>
      </c>
      <c r="AJ244">
        <v>6</v>
      </c>
      <c r="AK244">
        <v>58</v>
      </c>
      <c r="AL244" t="s">
        <v>138</v>
      </c>
      <c r="AM244" t="s">
        <v>246</v>
      </c>
      <c r="AN244" t="s">
        <v>247</v>
      </c>
      <c r="AO244" t="s">
        <v>141</v>
      </c>
      <c r="AP244" t="s">
        <v>142</v>
      </c>
      <c r="AQ244" t="s">
        <v>74</v>
      </c>
      <c r="AR244" t="s">
        <v>143</v>
      </c>
      <c r="AS244" t="s">
        <v>144</v>
      </c>
      <c r="AT244" t="s">
        <v>1008</v>
      </c>
      <c r="AU244">
        <v>2022</v>
      </c>
      <c r="AV244">
        <v>217</v>
      </c>
      <c r="AW244" t="s">
        <v>74</v>
      </c>
      <c r="AX244" t="s">
        <v>74</v>
      </c>
      <c r="AY244" t="s">
        <v>74</v>
      </c>
      <c r="AZ244" t="s">
        <v>74</v>
      </c>
      <c r="BA244" t="s">
        <v>74</v>
      </c>
      <c r="BB244" t="s">
        <v>74</v>
      </c>
      <c r="BC244" t="s">
        <v>74</v>
      </c>
      <c r="BD244">
        <v>108069</v>
      </c>
      <c r="BE244" t="s">
        <v>4345</v>
      </c>
      <c r="BF244" t="str">
        <f>HYPERLINK("http://dx.doi.org/10.1016/j.ress.2021.108069","http://dx.doi.org/10.1016/j.ress.2021.108069")</f>
        <v>http://dx.doi.org/10.1016/j.ress.2021.108069</v>
      </c>
      <c r="BG244" t="s">
        <v>74</v>
      </c>
      <c r="BH244" t="s">
        <v>2089</v>
      </c>
      <c r="BI244">
        <v>9</v>
      </c>
      <c r="BJ244" t="s">
        <v>148</v>
      </c>
      <c r="BK244" t="s">
        <v>149</v>
      </c>
      <c r="BL244" t="s">
        <v>150</v>
      </c>
      <c r="BM244" t="s">
        <v>4346</v>
      </c>
      <c r="BN244" t="s">
        <v>74</v>
      </c>
      <c r="BO244" t="s">
        <v>74</v>
      </c>
      <c r="BP244" t="s">
        <v>74</v>
      </c>
      <c r="BQ244" t="s">
        <v>74</v>
      </c>
      <c r="BR244" t="s">
        <v>104</v>
      </c>
      <c r="BS244" t="s">
        <v>4347</v>
      </c>
      <c r="BT244" t="str">
        <f>HYPERLINK("https%3A%2F%2Fwww.webofscience.com%2Fwos%2Fwoscc%2Ffull-record%2FWOS:000702360100027","View Full Record in Web of Science")</f>
        <v>View Full Record in Web of Science</v>
      </c>
    </row>
    <row r="245" spans="1:72" x14ac:dyDescent="0.25">
      <c r="A245" t="s">
        <v>72</v>
      </c>
      <c r="B245" t="s">
        <v>4348</v>
      </c>
      <c r="C245" t="s">
        <v>74</v>
      </c>
      <c r="D245" t="s">
        <v>74</v>
      </c>
      <c r="E245" t="s">
        <v>74</v>
      </c>
      <c r="F245" t="s">
        <v>4349</v>
      </c>
      <c r="G245" t="s">
        <v>74</v>
      </c>
      <c r="H245" t="s">
        <v>74</v>
      </c>
      <c r="I245" t="s">
        <v>4350</v>
      </c>
      <c r="J245" t="s">
        <v>128</v>
      </c>
      <c r="K245" t="s">
        <v>74</v>
      </c>
      <c r="L245" t="s">
        <v>74</v>
      </c>
      <c r="M245" t="s">
        <v>78</v>
      </c>
      <c r="N245" t="s">
        <v>79</v>
      </c>
      <c r="O245" t="s">
        <v>74</v>
      </c>
      <c r="P245" t="s">
        <v>74</v>
      </c>
      <c r="Q245" t="s">
        <v>74</v>
      </c>
      <c r="R245" t="s">
        <v>74</v>
      </c>
      <c r="S245" t="s">
        <v>74</v>
      </c>
      <c r="T245" t="s">
        <v>4351</v>
      </c>
      <c r="U245" t="s">
        <v>4352</v>
      </c>
      <c r="V245" t="s">
        <v>4353</v>
      </c>
      <c r="W245" t="s">
        <v>4354</v>
      </c>
      <c r="X245" t="s">
        <v>4355</v>
      </c>
      <c r="Y245" t="s">
        <v>4356</v>
      </c>
      <c r="Z245" t="s">
        <v>4357</v>
      </c>
      <c r="AA245" t="s">
        <v>4358</v>
      </c>
      <c r="AB245" t="s">
        <v>4359</v>
      </c>
      <c r="AC245" t="s">
        <v>4360</v>
      </c>
      <c r="AD245" t="s">
        <v>4361</v>
      </c>
      <c r="AE245" t="s">
        <v>4362</v>
      </c>
      <c r="AF245" t="s">
        <v>74</v>
      </c>
      <c r="AG245">
        <v>32</v>
      </c>
      <c r="AH245">
        <v>67</v>
      </c>
      <c r="AI245">
        <v>76</v>
      </c>
      <c r="AJ245">
        <v>4</v>
      </c>
      <c r="AK245">
        <v>56</v>
      </c>
      <c r="AL245" t="s">
        <v>138</v>
      </c>
      <c r="AM245" t="s">
        <v>246</v>
      </c>
      <c r="AN245" t="s">
        <v>247</v>
      </c>
      <c r="AO245" t="s">
        <v>141</v>
      </c>
      <c r="AP245" t="s">
        <v>142</v>
      </c>
      <c r="AQ245" t="s">
        <v>74</v>
      </c>
      <c r="AR245" t="s">
        <v>143</v>
      </c>
      <c r="AS245" t="s">
        <v>144</v>
      </c>
      <c r="AT245" t="s">
        <v>275</v>
      </c>
      <c r="AU245">
        <v>2019</v>
      </c>
      <c r="AV245">
        <v>183</v>
      </c>
      <c r="AW245" t="s">
        <v>74</v>
      </c>
      <c r="AX245" t="s">
        <v>74</v>
      </c>
      <c r="AY245" t="s">
        <v>74</v>
      </c>
      <c r="AZ245" t="s">
        <v>74</v>
      </c>
      <c r="BA245" t="s">
        <v>74</v>
      </c>
      <c r="BB245">
        <v>261</v>
      </c>
      <c r="BC245">
        <v>275</v>
      </c>
      <c r="BD245" t="s">
        <v>74</v>
      </c>
      <c r="BE245" t="s">
        <v>4363</v>
      </c>
      <c r="BF245" t="str">
        <f>HYPERLINK("http://dx.doi.org/10.1016/j.ress.2018.11.028","http://dx.doi.org/10.1016/j.ress.2018.11.028")</f>
        <v>http://dx.doi.org/10.1016/j.ress.2018.11.028</v>
      </c>
      <c r="BG245" t="s">
        <v>74</v>
      </c>
      <c r="BH245" t="s">
        <v>74</v>
      </c>
      <c r="BI245">
        <v>15</v>
      </c>
      <c r="BJ245" t="s">
        <v>148</v>
      </c>
      <c r="BK245" t="s">
        <v>149</v>
      </c>
      <c r="BL245" t="s">
        <v>150</v>
      </c>
      <c r="BM245" t="s">
        <v>4364</v>
      </c>
      <c r="BN245" t="s">
        <v>74</v>
      </c>
      <c r="BO245" t="s">
        <v>74</v>
      </c>
      <c r="BP245" t="s">
        <v>74</v>
      </c>
      <c r="BQ245" t="s">
        <v>74</v>
      </c>
      <c r="BR245" t="s">
        <v>104</v>
      </c>
      <c r="BS245" t="s">
        <v>4365</v>
      </c>
      <c r="BT245" t="str">
        <f>HYPERLINK("https%3A%2F%2Fwww.webofscience.com%2Fwos%2Fwoscc%2Ffull-record%2FWOS:000455693700021","View Full Record in Web of Science")</f>
        <v>View Full Record in Web of Science</v>
      </c>
    </row>
    <row r="246" spans="1:72" x14ac:dyDescent="0.25">
      <c r="A246" t="s">
        <v>72</v>
      </c>
      <c r="B246" t="s">
        <v>4366</v>
      </c>
      <c r="C246" t="s">
        <v>74</v>
      </c>
      <c r="D246" t="s">
        <v>74</v>
      </c>
      <c r="E246" t="s">
        <v>74</v>
      </c>
      <c r="F246" t="s">
        <v>4367</v>
      </c>
      <c r="G246" t="s">
        <v>74</v>
      </c>
      <c r="H246" t="s">
        <v>74</v>
      </c>
      <c r="I246" t="s">
        <v>4368</v>
      </c>
      <c r="J246" t="s">
        <v>4369</v>
      </c>
      <c r="K246" t="s">
        <v>74</v>
      </c>
      <c r="L246" t="s">
        <v>74</v>
      </c>
      <c r="M246" t="s">
        <v>78</v>
      </c>
      <c r="N246" t="s">
        <v>79</v>
      </c>
      <c r="O246" t="s">
        <v>74</v>
      </c>
      <c r="P246" t="s">
        <v>74</v>
      </c>
      <c r="Q246" t="s">
        <v>74</v>
      </c>
      <c r="R246" t="s">
        <v>74</v>
      </c>
      <c r="S246" t="s">
        <v>74</v>
      </c>
      <c r="T246" t="s">
        <v>4370</v>
      </c>
      <c r="U246" t="s">
        <v>4371</v>
      </c>
      <c r="V246" t="s">
        <v>4372</v>
      </c>
      <c r="W246" t="s">
        <v>4373</v>
      </c>
      <c r="X246" t="s">
        <v>4374</v>
      </c>
      <c r="Y246" t="s">
        <v>4375</v>
      </c>
      <c r="Z246" t="s">
        <v>4376</v>
      </c>
      <c r="AA246" t="s">
        <v>74</v>
      </c>
      <c r="AB246" t="s">
        <v>74</v>
      </c>
      <c r="AC246" t="s">
        <v>74</v>
      </c>
      <c r="AD246" t="s">
        <v>74</v>
      </c>
      <c r="AE246" t="s">
        <v>74</v>
      </c>
      <c r="AF246" t="s">
        <v>74</v>
      </c>
      <c r="AG246">
        <v>19</v>
      </c>
      <c r="AH246">
        <v>5</v>
      </c>
      <c r="AI246">
        <v>5</v>
      </c>
      <c r="AJ246">
        <v>2</v>
      </c>
      <c r="AK246">
        <v>16</v>
      </c>
      <c r="AL246" t="s">
        <v>3631</v>
      </c>
      <c r="AM246" t="s">
        <v>3632</v>
      </c>
      <c r="AN246" t="s">
        <v>3633</v>
      </c>
      <c r="AO246" t="s">
        <v>4377</v>
      </c>
      <c r="AP246" t="s">
        <v>4378</v>
      </c>
      <c r="AQ246" t="s">
        <v>74</v>
      </c>
      <c r="AR246" t="s">
        <v>4379</v>
      </c>
      <c r="AS246" t="s">
        <v>4380</v>
      </c>
      <c r="AT246" t="s">
        <v>275</v>
      </c>
      <c r="AU246">
        <v>2019</v>
      </c>
      <c r="AV246">
        <v>44</v>
      </c>
      <c r="AW246">
        <v>3</v>
      </c>
      <c r="AX246" t="s">
        <v>74</v>
      </c>
      <c r="AY246" t="s">
        <v>74</v>
      </c>
      <c r="AZ246" t="s">
        <v>74</v>
      </c>
      <c r="BA246" t="s">
        <v>74</v>
      </c>
      <c r="BB246">
        <v>2497</v>
      </c>
      <c r="BC246">
        <v>2502</v>
      </c>
      <c r="BD246" t="s">
        <v>74</v>
      </c>
      <c r="BE246" t="s">
        <v>4381</v>
      </c>
      <c r="BF246" t="str">
        <f>HYPERLINK("http://dx.doi.org/10.1007/s13369-018-3206-2","http://dx.doi.org/10.1007/s13369-018-3206-2")</f>
        <v>http://dx.doi.org/10.1007/s13369-018-3206-2</v>
      </c>
      <c r="BG246" t="s">
        <v>74</v>
      </c>
      <c r="BH246" t="s">
        <v>74</v>
      </c>
      <c r="BI246">
        <v>6</v>
      </c>
      <c r="BJ246" t="s">
        <v>517</v>
      </c>
      <c r="BK246" t="s">
        <v>149</v>
      </c>
      <c r="BL246" t="s">
        <v>518</v>
      </c>
      <c r="BM246" t="s">
        <v>4382</v>
      </c>
      <c r="BN246" t="s">
        <v>74</v>
      </c>
      <c r="BO246" t="s">
        <v>74</v>
      </c>
      <c r="BP246" t="s">
        <v>74</v>
      </c>
      <c r="BQ246" t="s">
        <v>74</v>
      </c>
      <c r="BR246" t="s">
        <v>104</v>
      </c>
      <c r="BS246" t="s">
        <v>4383</v>
      </c>
      <c r="BT246" t="str">
        <f>HYPERLINK("https%3A%2F%2Fwww.webofscience.com%2Fwos%2Fwoscc%2Ffull-record%2FWOS:000461619400056","View Full Record in Web of Science")</f>
        <v>View Full Record in Web of Science</v>
      </c>
    </row>
    <row r="247" spans="1:72" x14ac:dyDescent="0.25">
      <c r="A247" t="s">
        <v>72</v>
      </c>
      <c r="B247" t="s">
        <v>4384</v>
      </c>
      <c r="C247" t="s">
        <v>74</v>
      </c>
      <c r="D247" t="s">
        <v>74</v>
      </c>
      <c r="E247" t="s">
        <v>74</v>
      </c>
      <c r="F247" t="s">
        <v>4385</v>
      </c>
      <c r="G247" t="s">
        <v>74</v>
      </c>
      <c r="H247" t="s">
        <v>74</v>
      </c>
      <c r="I247" t="s">
        <v>4386</v>
      </c>
      <c r="J247" t="s">
        <v>4387</v>
      </c>
      <c r="K247" t="s">
        <v>74</v>
      </c>
      <c r="L247" t="s">
        <v>74</v>
      </c>
      <c r="M247" t="s">
        <v>78</v>
      </c>
      <c r="N247" t="s">
        <v>79</v>
      </c>
      <c r="O247" t="s">
        <v>74</v>
      </c>
      <c r="P247" t="s">
        <v>74</v>
      </c>
      <c r="Q247" t="s">
        <v>74</v>
      </c>
      <c r="R247" t="s">
        <v>74</v>
      </c>
      <c r="S247" t="s">
        <v>74</v>
      </c>
      <c r="T247" t="s">
        <v>4388</v>
      </c>
      <c r="U247" t="s">
        <v>4389</v>
      </c>
      <c r="V247" t="s">
        <v>4390</v>
      </c>
      <c r="W247" t="s">
        <v>4391</v>
      </c>
      <c r="X247" t="s">
        <v>4392</v>
      </c>
      <c r="Y247" t="s">
        <v>4393</v>
      </c>
      <c r="Z247" t="s">
        <v>4394</v>
      </c>
      <c r="AA247" t="s">
        <v>4395</v>
      </c>
      <c r="AB247" t="s">
        <v>4396</v>
      </c>
      <c r="AC247" t="s">
        <v>4397</v>
      </c>
      <c r="AD247" t="s">
        <v>4398</v>
      </c>
      <c r="AE247" t="s">
        <v>4399</v>
      </c>
      <c r="AF247" t="s">
        <v>74</v>
      </c>
      <c r="AG247">
        <v>31</v>
      </c>
      <c r="AH247">
        <v>1</v>
      </c>
      <c r="AI247">
        <v>1</v>
      </c>
      <c r="AJ247">
        <v>21</v>
      </c>
      <c r="AK247">
        <v>42</v>
      </c>
      <c r="AL247" t="s">
        <v>339</v>
      </c>
      <c r="AM247" t="s">
        <v>340</v>
      </c>
      <c r="AN247" t="s">
        <v>341</v>
      </c>
      <c r="AO247" t="s">
        <v>4400</v>
      </c>
      <c r="AP247" t="s">
        <v>4401</v>
      </c>
      <c r="AQ247" t="s">
        <v>74</v>
      </c>
      <c r="AR247" t="s">
        <v>4402</v>
      </c>
      <c r="AS247" t="s">
        <v>4403</v>
      </c>
      <c r="AT247" t="s">
        <v>4404</v>
      </c>
      <c r="AU247">
        <v>2024</v>
      </c>
      <c r="AV247">
        <v>150</v>
      </c>
      <c r="AW247">
        <v>3</v>
      </c>
      <c r="AX247" t="s">
        <v>74</v>
      </c>
      <c r="AY247" t="s">
        <v>74</v>
      </c>
      <c r="AZ247" t="s">
        <v>74</v>
      </c>
      <c r="BA247" t="s">
        <v>74</v>
      </c>
      <c r="BB247" t="s">
        <v>74</v>
      </c>
      <c r="BC247" t="s">
        <v>74</v>
      </c>
      <c r="BD247">
        <v>4023167</v>
      </c>
      <c r="BE247" t="s">
        <v>4405</v>
      </c>
      <c r="BF247" t="str">
        <f>HYPERLINK("http://dx.doi.org/10.1061/JCEMD4.COENG-14176","http://dx.doi.org/10.1061/JCEMD4.COENG-14176")</f>
        <v>http://dx.doi.org/10.1061/JCEMD4.COENG-14176</v>
      </c>
      <c r="BG247" t="s">
        <v>74</v>
      </c>
      <c r="BH247" t="s">
        <v>74</v>
      </c>
      <c r="BI247">
        <v>12</v>
      </c>
      <c r="BJ247" t="s">
        <v>4406</v>
      </c>
      <c r="BK247" t="s">
        <v>149</v>
      </c>
      <c r="BL247" t="s">
        <v>4407</v>
      </c>
      <c r="BM247" t="s">
        <v>4408</v>
      </c>
      <c r="BN247" t="s">
        <v>74</v>
      </c>
      <c r="BO247" t="s">
        <v>74</v>
      </c>
      <c r="BP247" t="s">
        <v>74</v>
      </c>
      <c r="BQ247" t="s">
        <v>74</v>
      </c>
      <c r="BR247" t="s">
        <v>104</v>
      </c>
      <c r="BS247" t="s">
        <v>4409</v>
      </c>
      <c r="BT247" t="str">
        <f>HYPERLINK("https%3A%2F%2Fwww.webofscience.com%2Fwos%2Fwoscc%2Ffull-record%2FWOS:001142819900018","View Full Record in Web of Science")</f>
        <v>View Full Record in Web of Science</v>
      </c>
    </row>
    <row r="248" spans="1:72" x14ac:dyDescent="0.25">
      <c r="A248" t="s">
        <v>72</v>
      </c>
      <c r="B248" t="s">
        <v>1160</v>
      </c>
      <c r="C248" t="s">
        <v>74</v>
      </c>
      <c r="D248" t="s">
        <v>74</v>
      </c>
      <c r="E248" t="s">
        <v>74</v>
      </c>
      <c r="F248" t="s">
        <v>1161</v>
      </c>
      <c r="G248" t="s">
        <v>74</v>
      </c>
      <c r="H248" t="s">
        <v>74</v>
      </c>
      <c r="I248" t="s">
        <v>4410</v>
      </c>
      <c r="J248" t="s">
        <v>697</v>
      </c>
      <c r="K248" t="s">
        <v>74</v>
      </c>
      <c r="L248" t="s">
        <v>74</v>
      </c>
      <c r="M248" t="s">
        <v>78</v>
      </c>
      <c r="N248" t="s">
        <v>79</v>
      </c>
      <c r="O248" t="s">
        <v>74</v>
      </c>
      <c r="P248" t="s">
        <v>74</v>
      </c>
      <c r="Q248" t="s">
        <v>74</v>
      </c>
      <c r="R248" t="s">
        <v>74</v>
      </c>
      <c r="S248" t="s">
        <v>74</v>
      </c>
      <c r="T248" t="s">
        <v>4411</v>
      </c>
      <c r="U248" t="s">
        <v>4412</v>
      </c>
      <c r="V248" t="s">
        <v>4413</v>
      </c>
      <c r="W248" t="s">
        <v>4414</v>
      </c>
      <c r="X248" t="s">
        <v>2511</v>
      </c>
      <c r="Y248" t="s">
        <v>1168</v>
      </c>
      <c r="Z248" t="s">
        <v>1169</v>
      </c>
      <c r="AA248" t="s">
        <v>74</v>
      </c>
      <c r="AB248" t="s">
        <v>74</v>
      </c>
      <c r="AC248" t="s">
        <v>4415</v>
      </c>
      <c r="AD248" t="s">
        <v>2516</v>
      </c>
      <c r="AE248" t="s">
        <v>4416</v>
      </c>
      <c r="AF248" t="s">
        <v>74</v>
      </c>
      <c r="AG248">
        <v>43</v>
      </c>
      <c r="AH248">
        <v>5</v>
      </c>
      <c r="AI248">
        <v>6</v>
      </c>
      <c r="AJ248">
        <v>7</v>
      </c>
      <c r="AK248">
        <v>41</v>
      </c>
      <c r="AL248" t="s">
        <v>707</v>
      </c>
      <c r="AM248" t="s">
        <v>246</v>
      </c>
      <c r="AN248" t="s">
        <v>708</v>
      </c>
      <c r="AO248" t="s">
        <v>709</v>
      </c>
      <c r="AP248" t="s">
        <v>710</v>
      </c>
      <c r="AQ248" t="s">
        <v>74</v>
      </c>
      <c r="AR248" t="s">
        <v>711</v>
      </c>
      <c r="AS248" t="s">
        <v>712</v>
      </c>
      <c r="AT248" t="s">
        <v>2225</v>
      </c>
      <c r="AU248">
        <v>2023</v>
      </c>
      <c r="AV248">
        <v>182</v>
      </c>
      <c r="AW248" t="s">
        <v>74</v>
      </c>
      <c r="AX248" t="s">
        <v>74</v>
      </c>
      <c r="AY248" t="s">
        <v>74</v>
      </c>
      <c r="AZ248" t="s">
        <v>74</v>
      </c>
      <c r="BA248" t="s">
        <v>74</v>
      </c>
      <c r="BB248" t="s">
        <v>74</v>
      </c>
      <c r="BC248" t="s">
        <v>74</v>
      </c>
      <c r="BD248">
        <v>109411</v>
      </c>
      <c r="BE248" t="s">
        <v>4417</v>
      </c>
      <c r="BF248" t="str">
        <f>HYPERLINK("http://dx.doi.org/10.1016/j.cie.2023.109411","http://dx.doi.org/10.1016/j.cie.2023.109411")</f>
        <v>http://dx.doi.org/10.1016/j.cie.2023.109411</v>
      </c>
      <c r="BG248" t="s">
        <v>74</v>
      </c>
      <c r="BH248" t="s">
        <v>1155</v>
      </c>
      <c r="BI248">
        <v>13</v>
      </c>
      <c r="BJ248" t="s">
        <v>715</v>
      </c>
      <c r="BK248" t="s">
        <v>149</v>
      </c>
      <c r="BL248" t="s">
        <v>716</v>
      </c>
      <c r="BM248" t="s">
        <v>4418</v>
      </c>
      <c r="BN248" t="s">
        <v>74</v>
      </c>
      <c r="BO248" t="s">
        <v>74</v>
      </c>
      <c r="BP248" t="s">
        <v>74</v>
      </c>
      <c r="BQ248" t="s">
        <v>74</v>
      </c>
      <c r="BR248" t="s">
        <v>104</v>
      </c>
      <c r="BS248" t="s">
        <v>4419</v>
      </c>
      <c r="BT248" t="str">
        <f>HYPERLINK("https%3A%2F%2Fwww.webofscience.com%2Fwos%2Fwoscc%2Ffull-record%2FWOS:001029066800001","View Full Record in Web of Science")</f>
        <v>View Full Record in Web of Science</v>
      </c>
    </row>
    <row r="249" spans="1:72" x14ac:dyDescent="0.25">
      <c r="A249" t="s">
        <v>72</v>
      </c>
      <c r="B249" t="s">
        <v>4420</v>
      </c>
      <c r="C249" t="s">
        <v>74</v>
      </c>
      <c r="D249" t="s">
        <v>74</v>
      </c>
      <c r="E249" t="s">
        <v>74</v>
      </c>
      <c r="F249" t="s">
        <v>4421</v>
      </c>
      <c r="G249" t="s">
        <v>74</v>
      </c>
      <c r="H249" t="s">
        <v>74</v>
      </c>
      <c r="I249" t="s">
        <v>4422</v>
      </c>
      <c r="J249" t="s">
        <v>1814</v>
      </c>
      <c r="K249" t="s">
        <v>74</v>
      </c>
      <c r="L249" t="s">
        <v>74</v>
      </c>
      <c r="M249" t="s">
        <v>78</v>
      </c>
      <c r="N249" t="s">
        <v>79</v>
      </c>
      <c r="O249" t="s">
        <v>74</v>
      </c>
      <c r="P249" t="s">
        <v>74</v>
      </c>
      <c r="Q249" t="s">
        <v>74</v>
      </c>
      <c r="R249" t="s">
        <v>74</v>
      </c>
      <c r="S249" t="s">
        <v>74</v>
      </c>
      <c r="T249" t="s">
        <v>4423</v>
      </c>
      <c r="U249" t="s">
        <v>4424</v>
      </c>
      <c r="V249" t="s">
        <v>4425</v>
      </c>
      <c r="W249" t="s">
        <v>4426</v>
      </c>
      <c r="X249" t="s">
        <v>4427</v>
      </c>
      <c r="Y249" t="s">
        <v>4428</v>
      </c>
      <c r="Z249" t="s">
        <v>4429</v>
      </c>
      <c r="AA249" t="s">
        <v>4430</v>
      </c>
      <c r="AB249" t="s">
        <v>4431</v>
      </c>
      <c r="AC249" t="s">
        <v>4432</v>
      </c>
      <c r="AD249" t="s">
        <v>4433</v>
      </c>
      <c r="AE249" t="s">
        <v>4434</v>
      </c>
      <c r="AF249" t="s">
        <v>74</v>
      </c>
      <c r="AG249">
        <v>36</v>
      </c>
      <c r="AH249">
        <v>15</v>
      </c>
      <c r="AI249">
        <v>15</v>
      </c>
      <c r="AJ249">
        <v>5</v>
      </c>
      <c r="AK249">
        <v>43</v>
      </c>
      <c r="AL249" t="s">
        <v>509</v>
      </c>
      <c r="AM249" t="s">
        <v>510</v>
      </c>
      <c r="AN249" t="s">
        <v>511</v>
      </c>
      <c r="AO249" t="s">
        <v>1824</v>
      </c>
      <c r="AP249" t="s">
        <v>1825</v>
      </c>
      <c r="AQ249" t="s">
        <v>74</v>
      </c>
      <c r="AR249" t="s">
        <v>1826</v>
      </c>
      <c r="AS249" t="s">
        <v>1827</v>
      </c>
      <c r="AT249" t="s">
        <v>145</v>
      </c>
      <c r="AU249">
        <v>2022</v>
      </c>
      <c r="AV249">
        <v>254</v>
      </c>
      <c r="AW249" t="s">
        <v>74</v>
      </c>
      <c r="AX249" t="s">
        <v>74</v>
      </c>
      <c r="AY249" t="s">
        <v>74</v>
      </c>
      <c r="AZ249" t="s">
        <v>74</v>
      </c>
      <c r="BA249" t="s">
        <v>74</v>
      </c>
      <c r="BB249" t="s">
        <v>74</v>
      </c>
      <c r="BC249" t="s">
        <v>74</v>
      </c>
      <c r="BD249">
        <v>108580</v>
      </c>
      <c r="BE249" t="s">
        <v>4435</v>
      </c>
      <c r="BF249" t="str">
        <f>HYPERLINK("http://dx.doi.org/10.1016/j.ijpe.2022.108580","http://dx.doi.org/10.1016/j.ijpe.2022.108580")</f>
        <v>http://dx.doi.org/10.1016/j.ijpe.2022.108580</v>
      </c>
      <c r="BG249" t="s">
        <v>74</v>
      </c>
      <c r="BH249" t="s">
        <v>658</v>
      </c>
      <c r="BI249">
        <v>12</v>
      </c>
      <c r="BJ249" t="s">
        <v>321</v>
      </c>
      <c r="BK249" t="s">
        <v>149</v>
      </c>
      <c r="BL249" t="s">
        <v>150</v>
      </c>
      <c r="BM249" t="s">
        <v>4436</v>
      </c>
      <c r="BN249" t="s">
        <v>74</v>
      </c>
      <c r="BO249" t="s">
        <v>74</v>
      </c>
      <c r="BP249" t="s">
        <v>74</v>
      </c>
      <c r="BQ249" t="s">
        <v>74</v>
      </c>
      <c r="BR249" t="s">
        <v>104</v>
      </c>
      <c r="BS249" t="s">
        <v>4437</v>
      </c>
      <c r="BT249" t="str">
        <f>HYPERLINK("https%3A%2F%2Fwww.webofscience.com%2Fwos%2Fwoscc%2Ffull-record%2FWOS:000855227700002","View Full Record in Web of Science")</f>
        <v>View Full Record in Web of Science</v>
      </c>
    </row>
    <row r="250" spans="1:72" x14ac:dyDescent="0.25">
      <c r="A250" t="s">
        <v>72</v>
      </c>
      <c r="B250" t="s">
        <v>4438</v>
      </c>
      <c r="C250" t="s">
        <v>74</v>
      </c>
      <c r="D250" t="s">
        <v>74</v>
      </c>
      <c r="E250" t="s">
        <v>74</v>
      </c>
      <c r="F250" t="s">
        <v>4439</v>
      </c>
      <c r="G250" t="s">
        <v>74</v>
      </c>
      <c r="H250" t="s">
        <v>74</v>
      </c>
      <c r="I250" t="s">
        <v>4440</v>
      </c>
      <c r="J250" t="s">
        <v>128</v>
      </c>
      <c r="K250" t="s">
        <v>74</v>
      </c>
      <c r="L250" t="s">
        <v>74</v>
      </c>
      <c r="M250" t="s">
        <v>78</v>
      </c>
      <c r="N250" t="s">
        <v>79</v>
      </c>
      <c r="O250" t="s">
        <v>74</v>
      </c>
      <c r="P250" t="s">
        <v>74</v>
      </c>
      <c r="Q250" t="s">
        <v>74</v>
      </c>
      <c r="R250" t="s">
        <v>74</v>
      </c>
      <c r="S250" t="s">
        <v>74</v>
      </c>
      <c r="T250" t="s">
        <v>4441</v>
      </c>
      <c r="U250" t="s">
        <v>4442</v>
      </c>
      <c r="V250" t="s">
        <v>4443</v>
      </c>
      <c r="W250" t="s">
        <v>4444</v>
      </c>
      <c r="X250" t="s">
        <v>4445</v>
      </c>
      <c r="Y250" t="s">
        <v>4446</v>
      </c>
      <c r="Z250" t="s">
        <v>4447</v>
      </c>
      <c r="AA250" t="s">
        <v>74</v>
      </c>
      <c r="AB250" t="s">
        <v>74</v>
      </c>
      <c r="AC250" t="s">
        <v>2036</v>
      </c>
      <c r="AD250" t="s">
        <v>482</v>
      </c>
      <c r="AE250" t="s">
        <v>4448</v>
      </c>
      <c r="AF250" t="s">
        <v>74</v>
      </c>
      <c r="AG250">
        <v>59</v>
      </c>
      <c r="AH250">
        <v>1</v>
      </c>
      <c r="AI250">
        <v>1</v>
      </c>
      <c r="AJ250">
        <v>35</v>
      </c>
      <c r="AK250">
        <v>38</v>
      </c>
      <c r="AL250" t="s">
        <v>138</v>
      </c>
      <c r="AM250" t="s">
        <v>139</v>
      </c>
      <c r="AN250" t="s">
        <v>140</v>
      </c>
      <c r="AO250" t="s">
        <v>141</v>
      </c>
      <c r="AP250" t="s">
        <v>142</v>
      </c>
      <c r="AQ250" t="s">
        <v>74</v>
      </c>
      <c r="AR250" t="s">
        <v>143</v>
      </c>
      <c r="AS250" t="s">
        <v>144</v>
      </c>
      <c r="AT250" t="s">
        <v>145</v>
      </c>
      <c r="AU250">
        <v>2024</v>
      </c>
      <c r="AV250">
        <v>252</v>
      </c>
      <c r="AW250" t="s">
        <v>74</v>
      </c>
      <c r="AX250" t="s">
        <v>74</v>
      </c>
      <c r="AY250" t="s">
        <v>74</v>
      </c>
      <c r="AZ250" t="s">
        <v>74</v>
      </c>
      <c r="BA250" t="s">
        <v>74</v>
      </c>
      <c r="BB250" t="s">
        <v>74</v>
      </c>
      <c r="BC250" t="s">
        <v>74</v>
      </c>
      <c r="BD250">
        <v>110447</v>
      </c>
      <c r="BE250" t="s">
        <v>4449</v>
      </c>
      <c r="BF250" t="str">
        <f>HYPERLINK("http://dx.doi.org/10.1016/j.ress.2024.110447","http://dx.doi.org/10.1016/j.ress.2024.110447")</f>
        <v>http://dx.doi.org/10.1016/j.ress.2024.110447</v>
      </c>
      <c r="BG250" t="s">
        <v>74</v>
      </c>
      <c r="BH250" t="s">
        <v>989</v>
      </c>
      <c r="BI250">
        <v>16</v>
      </c>
      <c r="BJ250" t="s">
        <v>148</v>
      </c>
      <c r="BK250" t="s">
        <v>149</v>
      </c>
      <c r="BL250" t="s">
        <v>150</v>
      </c>
      <c r="BM250" t="s">
        <v>4450</v>
      </c>
      <c r="BN250" t="s">
        <v>74</v>
      </c>
      <c r="BO250" t="s">
        <v>74</v>
      </c>
      <c r="BP250" t="s">
        <v>74</v>
      </c>
      <c r="BQ250" t="s">
        <v>74</v>
      </c>
      <c r="BR250" t="s">
        <v>104</v>
      </c>
      <c r="BS250" t="s">
        <v>4451</v>
      </c>
      <c r="BT250" t="str">
        <f>HYPERLINK("https%3A%2F%2Fwww.webofscience.com%2Fwos%2Fwoscc%2Ffull-record%2FWOS:001301322000001","View Full Record in Web of Science")</f>
        <v>View Full Record in Web of Science</v>
      </c>
    </row>
    <row r="251" spans="1:72" x14ac:dyDescent="0.25">
      <c r="A251" t="s">
        <v>72</v>
      </c>
      <c r="B251" t="s">
        <v>4452</v>
      </c>
      <c r="C251" t="s">
        <v>74</v>
      </c>
      <c r="D251" t="s">
        <v>74</v>
      </c>
      <c r="E251" t="s">
        <v>74</v>
      </c>
      <c r="F251" t="s">
        <v>4453</v>
      </c>
      <c r="G251" t="s">
        <v>74</v>
      </c>
      <c r="H251" t="s">
        <v>74</v>
      </c>
      <c r="I251" t="s">
        <v>4454</v>
      </c>
      <c r="J251" t="s">
        <v>128</v>
      </c>
      <c r="K251" t="s">
        <v>74</v>
      </c>
      <c r="L251" t="s">
        <v>74</v>
      </c>
      <c r="M251" t="s">
        <v>78</v>
      </c>
      <c r="N251" t="s">
        <v>79</v>
      </c>
      <c r="O251" t="s">
        <v>74</v>
      </c>
      <c r="P251" t="s">
        <v>74</v>
      </c>
      <c r="Q251" t="s">
        <v>74</v>
      </c>
      <c r="R251" t="s">
        <v>74</v>
      </c>
      <c r="S251" t="s">
        <v>74</v>
      </c>
      <c r="T251" t="s">
        <v>4455</v>
      </c>
      <c r="U251" t="s">
        <v>355</v>
      </c>
      <c r="V251" t="s">
        <v>4456</v>
      </c>
      <c r="W251" t="s">
        <v>4457</v>
      </c>
      <c r="X251" t="s">
        <v>4223</v>
      </c>
      <c r="Y251" t="s">
        <v>4094</v>
      </c>
      <c r="Z251" t="s">
        <v>806</v>
      </c>
      <c r="AA251" t="s">
        <v>705</v>
      </c>
      <c r="AB251" t="s">
        <v>706</v>
      </c>
      <c r="AC251" t="s">
        <v>3521</v>
      </c>
      <c r="AD251" t="s">
        <v>482</v>
      </c>
      <c r="AE251" t="s">
        <v>4458</v>
      </c>
      <c r="AF251" t="s">
        <v>74</v>
      </c>
      <c r="AG251">
        <v>40</v>
      </c>
      <c r="AH251">
        <v>1</v>
      </c>
      <c r="AI251">
        <v>1</v>
      </c>
      <c r="AJ251">
        <v>26</v>
      </c>
      <c r="AK251">
        <v>26</v>
      </c>
      <c r="AL251" t="s">
        <v>138</v>
      </c>
      <c r="AM251" t="s">
        <v>139</v>
      </c>
      <c r="AN251" t="s">
        <v>140</v>
      </c>
      <c r="AO251" t="s">
        <v>141</v>
      </c>
      <c r="AP251" t="s">
        <v>142</v>
      </c>
      <c r="AQ251" t="s">
        <v>74</v>
      </c>
      <c r="AR251" t="s">
        <v>143</v>
      </c>
      <c r="AS251" t="s">
        <v>144</v>
      </c>
      <c r="AT251" t="s">
        <v>1008</v>
      </c>
      <c r="AU251">
        <v>2025</v>
      </c>
      <c r="AV251">
        <v>253</v>
      </c>
      <c r="AW251" t="s">
        <v>74</v>
      </c>
      <c r="AX251" t="s">
        <v>74</v>
      </c>
      <c r="AY251" t="s">
        <v>74</v>
      </c>
      <c r="AZ251" t="s">
        <v>74</v>
      </c>
      <c r="BA251" t="s">
        <v>74</v>
      </c>
      <c r="BB251" t="s">
        <v>74</v>
      </c>
      <c r="BC251" t="s">
        <v>74</v>
      </c>
      <c r="BD251">
        <v>110548</v>
      </c>
      <c r="BE251" t="s">
        <v>4459</v>
      </c>
      <c r="BF251" t="str">
        <f>HYPERLINK("http://dx.doi.org/10.1016/j.ress.2024.110548","http://dx.doi.org/10.1016/j.ress.2024.110548")</f>
        <v>http://dx.doi.org/10.1016/j.ress.2024.110548</v>
      </c>
      <c r="BG251" t="s">
        <v>74</v>
      </c>
      <c r="BH251" t="s">
        <v>415</v>
      </c>
      <c r="BI251">
        <v>11</v>
      </c>
      <c r="BJ251" t="s">
        <v>148</v>
      </c>
      <c r="BK251" t="s">
        <v>149</v>
      </c>
      <c r="BL251" t="s">
        <v>150</v>
      </c>
      <c r="BM251" t="s">
        <v>4460</v>
      </c>
      <c r="BN251" t="s">
        <v>74</v>
      </c>
      <c r="BO251" t="s">
        <v>74</v>
      </c>
      <c r="BP251" t="s">
        <v>74</v>
      </c>
      <c r="BQ251" t="s">
        <v>74</v>
      </c>
      <c r="BR251" t="s">
        <v>104</v>
      </c>
      <c r="BS251" t="s">
        <v>4461</v>
      </c>
      <c r="BT251" t="str">
        <f>HYPERLINK("https%3A%2F%2Fwww.webofscience.com%2Fwos%2Fwoscc%2Ffull-record%2FWOS:001334659200001","View Full Record in Web of Science")</f>
        <v>View Full Record in Web of Science</v>
      </c>
    </row>
    <row r="252" spans="1:72" x14ac:dyDescent="0.25">
      <c r="A252" t="s">
        <v>72</v>
      </c>
      <c r="B252" t="s">
        <v>4462</v>
      </c>
      <c r="C252" t="s">
        <v>74</v>
      </c>
      <c r="D252" t="s">
        <v>74</v>
      </c>
      <c r="E252" t="s">
        <v>74</v>
      </c>
      <c r="F252" t="s">
        <v>4463</v>
      </c>
      <c r="G252" t="s">
        <v>74</v>
      </c>
      <c r="H252" t="s">
        <v>74</v>
      </c>
      <c r="I252" t="s">
        <v>4464</v>
      </c>
      <c r="J252" t="s">
        <v>722</v>
      </c>
      <c r="K252" t="s">
        <v>74</v>
      </c>
      <c r="L252" t="s">
        <v>74</v>
      </c>
      <c r="M252" t="s">
        <v>78</v>
      </c>
      <c r="N252" t="s">
        <v>79</v>
      </c>
      <c r="O252" t="s">
        <v>74</v>
      </c>
      <c r="P252" t="s">
        <v>74</v>
      </c>
      <c r="Q252" t="s">
        <v>74</v>
      </c>
      <c r="R252" t="s">
        <v>74</v>
      </c>
      <c r="S252" t="s">
        <v>74</v>
      </c>
      <c r="T252" t="s">
        <v>4465</v>
      </c>
      <c r="U252" t="s">
        <v>4466</v>
      </c>
      <c r="V252" t="s">
        <v>4467</v>
      </c>
      <c r="W252" t="s">
        <v>4468</v>
      </c>
      <c r="X252" t="s">
        <v>4469</v>
      </c>
      <c r="Y252" t="s">
        <v>4470</v>
      </c>
      <c r="Z252" t="s">
        <v>4471</v>
      </c>
      <c r="AA252" t="s">
        <v>4472</v>
      </c>
      <c r="AB252" t="s">
        <v>4473</v>
      </c>
      <c r="AC252" t="s">
        <v>74</v>
      </c>
      <c r="AD252" t="s">
        <v>74</v>
      </c>
      <c r="AE252" t="s">
        <v>74</v>
      </c>
      <c r="AF252" t="s">
        <v>74</v>
      </c>
      <c r="AG252">
        <v>52</v>
      </c>
      <c r="AH252">
        <v>3</v>
      </c>
      <c r="AI252">
        <v>3</v>
      </c>
      <c r="AJ252">
        <v>1</v>
      </c>
      <c r="AK252">
        <v>20</v>
      </c>
      <c r="AL252" t="s">
        <v>732</v>
      </c>
      <c r="AM252" t="s">
        <v>733</v>
      </c>
      <c r="AN252" t="s">
        <v>734</v>
      </c>
      <c r="AO252" t="s">
        <v>735</v>
      </c>
      <c r="AP252" t="s">
        <v>736</v>
      </c>
      <c r="AQ252" t="s">
        <v>74</v>
      </c>
      <c r="AR252" t="s">
        <v>737</v>
      </c>
      <c r="AS252" t="s">
        <v>738</v>
      </c>
      <c r="AT252" t="s">
        <v>74</v>
      </c>
      <c r="AU252">
        <v>2021</v>
      </c>
      <c r="AV252">
        <v>15</v>
      </c>
      <c r="AW252">
        <v>5</v>
      </c>
      <c r="AX252" t="s">
        <v>74</v>
      </c>
      <c r="AY252" t="s">
        <v>74</v>
      </c>
      <c r="AZ252" t="s">
        <v>74</v>
      </c>
      <c r="BA252" t="s">
        <v>74</v>
      </c>
      <c r="BB252">
        <v>616</v>
      </c>
      <c r="BC252">
        <v>642</v>
      </c>
      <c r="BD252" t="s">
        <v>74</v>
      </c>
      <c r="BE252" t="s">
        <v>4474</v>
      </c>
      <c r="BF252" t="str">
        <f>HYPERLINK("http://dx.doi.org/10.1504/EJIE.2021.117319","http://dx.doi.org/10.1504/EJIE.2021.117319")</f>
        <v>http://dx.doi.org/10.1504/EJIE.2021.117319</v>
      </c>
      <c r="BG252" t="s">
        <v>74</v>
      </c>
      <c r="BH252" t="s">
        <v>74</v>
      </c>
      <c r="BI252">
        <v>27</v>
      </c>
      <c r="BJ252" t="s">
        <v>148</v>
      </c>
      <c r="BK252" t="s">
        <v>149</v>
      </c>
      <c r="BL252" t="s">
        <v>150</v>
      </c>
      <c r="BM252" t="s">
        <v>4475</v>
      </c>
      <c r="BN252" t="s">
        <v>74</v>
      </c>
      <c r="BO252" t="s">
        <v>74</v>
      </c>
      <c r="BP252" t="s">
        <v>74</v>
      </c>
      <c r="BQ252" t="s">
        <v>74</v>
      </c>
      <c r="BR252" t="s">
        <v>104</v>
      </c>
      <c r="BS252" t="s">
        <v>4476</v>
      </c>
      <c r="BT252" t="str">
        <f>HYPERLINK("https%3A%2F%2Fwww.webofscience.com%2Fwos%2Fwoscc%2Ffull-record%2FWOS:000692767800002","View Full Record in Web of Science")</f>
        <v>View Full Record in Web of Science</v>
      </c>
    </row>
    <row r="253" spans="1:72" x14ac:dyDescent="0.25">
      <c r="A253" t="s">
        <v>72</v>
      </c>
      <c r="B253" t="s">
        <v>4477</v>
      </c>
      <c r="C253" t="s">
        <v>74</v>
      </c>
      <c r="D253" t="s">
        <v>74</v>
      </c>
      <c r="E253" t="s">
        <v>74</v>
      </c>
      <c r="F253" t="s">
        <v>4478</v>
      </c>
      <c r="G253" t="s">
        <v>74</v>
      </c>
      <c r="H253" t="s">
        <v>74</v>
      </c>
      <c r="I253" t="s">
        <v>4479</v>
      </c>
      <c r="J253" t="s">
        <v>542</v>
      </c>
      <c r="K253" t="s">
        <v>74</v>
      </c>
      <c r="L253" t="s">
        <v>74</v>
      </c>
      <c r="M253" t="s">
        <v>78</v>
      </c>
      <c r="N253" t="s">
        <v>79</v>
      </c>
      <c r="O253" t="s">
        <v>74</v>
      </c>
      <c r="P253" t="s">
        <v>74</v>
      </c>
      <c r="Q253" t="s">
        <v>74</v>
      </c>
      <c r="R253" t="s">
        <v>74</v>
      </c>
      <c r="S253" t="s">
        <v>74</v>
      </c>
      <c r="T253" t="s">
        <v>4480</v>
      </c>
      <c r="U253" t="s">
        <v>4481</v>
      </c>
      <c r="V253" t="s">
        <v>4482</v>
      </c>
      <c r="W253" t="s">
        <v>4483</v>
      </c>
      <c r="X253" t="s">
        <v>4484</v>
      </c>
      <c r="Y253" t="s">
        <v>4485</v>
      </c>
      <c r="Z253" t="s">
        <v>4486</v>
      </c>
      <c r="AA253" t="s">
        <v>74</v>
      </c>
      <c r="AB253" t="s">
        <v>4487</v>
      </c>
      <c r="AC253" t="s">
        <v>4488</v>
      </c>
      <c r="AD253" t="s">
        <v>4489</v>
      </c>
      <c r="AE253" t="s">
        <v>4490</v>
      </c>
      <c r="AF253" t="s">
        <v>74</v>
      </c>
      <c r="AG253">
        <v>38</v>
      </c>
      <c r="AH253">
        <v>13</v>
      </c>
      <c r="AI253">
        <v>15</v>
      </c>
      <c r="AJ253">
        <v>5</v>
      </c>
      <c r="AK253">
        <v>58</v>
      </c>
      <c r="AL253" t="s">
        <v>552</v>
      </c>
      <c r="AM253" t="s">
        <v>553</v>
      </c>
      <c r="AN253" t="s">
        <v>554</v>
      </c>
      <c r="AO253" t="s">
        <v>555</v>
      </c>
      <c r="AP253" t="s">
        <v>556</v>
      </c>
      <c r="AQ253" t="s">
        <v>74</v>
      </c>
      <c r="AR253" t="s">
        <v>557</v>
      </c>
      <c r="AS253" t="s">
        <v>558</v>
      </c>
      <c r="AT253" t="s">
        <v>533</v>
      </c>
      <c r="AU253">
        <v>2020</v>
      </c>
      <c r="AV253">
        <v>234</v>
      </c>
      <c r="AW253">
        <v>1</v>
      </c>
      <c r="AX253" t="s">
        <v>74</v>
      </c>
      <c r="AY253" t="s">
        <v>74</v>
      </c>
      <c r="AZ253" t="s">
        <v>74</v>
      </c>
      <c r="BA253" t="s">
        <v>74</v>
      </c>
      <c r="BB253">
        <v>74</v>
      </c>
      <c r="BC253">
        <v>87</v>
      </c>
      <c r="BD253" t="s">
        <v>4491</v>
      </c>
      <c r="BE253" t="s">
        <v>4492</v>
      </c>
      <c r="BF253" t="str">
        <f>HYPERLINK("http://dx.doi.org/10.1177/1748006X19868892","http://dx.doi.org/10.1177/1748006X19868892")</f>
        <v>http://dx.doi.org/10.1177/1748006X19868892</v>
      </c>
      <c r="BG253" t="s">
        <v>74</v>
      </c>
      <c r="BH253" t="s">
        <v>4493</v>
      </c>
      <c r="BI253">
        <v>14</v>
      </c>
      <c r="BJ253" t="s">
        <v>494</v>
      </c>
      <c r="BK253" t="s">
        <v>149</v>
      </c>
      <c r="BL253" t="s">
        <v>150</v>
      </c>
      <c r="BM253" t="s">
        <v>2666</v>
      </c>
      <c r="BN253" t="s">
        <v>74</v>
      </c>
      <c r="BO253" t="s">
        <v>74</v>
      </c>
      <c r="BP253" t="s">
        <v>74</v>
      </c>
      <c r="BQ253" t="s">
        <v>74</v>
      </c>
      <c r="BR253" t="s">
        <v>104</v>
      </c>
      <c r="BS253" t="s">
        <v>4494</v>
      </c>
      <c r="BT253" t="str">
        <f>HYPERLINK("https%3A%2F%2Fwww.webofscience.com%2Fwos%2Fwoscc%2Ffull-record%2FWOS:000483753800001","View Full Record in Web of Science")</f>
        <v>View Full Record in Web of Science</v>
      </c>
    </row>
    <row r="254" spans="1:72" x14ac:dyDescent="0.25">
      <c r="A254" t="s">
        <v>72</v>
      </c>
      <c r="B254" t="s">
        <v>4495</v>
      </c>
      <c r="C254" t="s">
        <v>74</v>
      </c>
      <c r="D254" t="s">
        <v>74</v>
      </c>
      <c r="E254" t="s">
        <v>74</v>
      </c>
      <c r="F254" t="s">
        <v>4496</v>
      </c>
      <c r="G254" t="s">
        <v>74</v>
      </c>
      <c r="H254" t="s">
        <v>74</v>
      </c>
      <c r="I254" t="s">
        <v>4497</v>
      </c>
      <c r="J254" t="s">
        <v>128</v>
      </c>
      <c r="K254" t="s">
        <v>74</v>
      </c>
      <c r="L254" t="s">
        <v>74</v>
      </c>
      <c r="M254" t="s">
        <v>78</v>
      </c>
      <c r="N254" t="s">
        <v>79</v>
      </c>
      <c r="O254" t="s">
        <v>74</v>
      </c>
      <c r="P254" t="s">
        <v>74</v>
      </c>
      <c r="Q254" t="s">
        <v>74</v>
      </c>
      <c r="R254" t="s">
        <v>74</v>
      </c>
      <c r="S254" t="s">
        <v>74</v>
      </c>
      <c r="T254" t="s">
        <v>4498</v>
      </c>
      <c r="U254" t="s">
        <v>4499</v>
      </c>
      <c r="V254" t="s">
        <v>4500</v>
      </c>
      <c r="W254" t="s">
        <v>4501</v>
      </c>
      <c r="X254" t="s">
        <v>4502</v>
      </c>
      <c r="Y254" t="s">
        <v>4503</v>
      </c>
      <c r="Z254" t="s">
        <v>4504</v>
      </c>
      <c r="AA254" t="s">
        <v>4505</v>
      </c>
      <c r="AB254" t="s">
        <v>4506</v>
      </c>
      <c r="AC254" t="s">
        <v>74</v>
      </c>
      <c r="AD254" t="s">
        <v>74</v>
      </c>
      <c r="AE254" t="s">
        <v>74</v>
      </c>
      <c r="AF254" t="s">
        <v>74</v>
      </c>
      <c r="AG254">
        <v>47</v>
      </c>
      <c r="AH254">
        <v>24</v>
      </c>
      <c r="AI254">
        <v>24</v>
      </c>
      <c r="AJ254">
        <v>3</v>
      </c>
      <c r="AK254">
        <v>32</v>
      </c>
      <c r="AL254" t="s">
        <v>138</v>
      </c>
      <c r="AM254" t="s">
        <v>246</v>
      </c>
      <c r="AN254" t="s">
        <v>247</v>
      </c>
      <c r="AO254" t="s">
        <v>141</v>
      </c>
      <c r="AP254" t="s">
        <v>142</v>
      </c>
      <c r="AQ254" t="s">
        <v>74</v>
      </c>
      <c r="AR254" t="s">
        <v>143</v>
      </c>
      <c r="AS254" t="s">
        <v>144</v>
      </c>
      <c r="AT254" t="s">
        <v>1008</v>
      </c>
      <c r="AU254">
        <v>2022</v>
      </c>
      <c r="AV254">
        <v>217</v>
      </c>
      <c r="AW254" t="s">
        <v>74</v>
      </c>
      <c r="AX254" t="s">
        <v>74</v>
      </c>
      <c r="AY254" t="s">
        <v>74</v>
      </c>
      <c r="AZ254" t="s">
        <v>74</v>
      </c>
      <c r="BA254" t="s">
        <v>74</v>
      </c>
      <c r="BB254" t="s">
        <v>74</v>
      </c>
      <c r="BC254" t="s">
        <v>74</v>
      </c>
      <c r="BD254">
        <v>108113</v>
      </c>
      <c r="BE254" t="s">
        <v>4507</v>
      </c>
      <c r="BF254" t="str">
        <f>HYPERLINK("http://dx.doi.org/10.1016/j.ress.2021.108113","http://dx.doi.org/10.1016/j.ress.2021.108113")</f>
        <v>http://dx.doi.org/10.1016/j.ress.2021.108113</v>
      </c>
      <c r="BG254" t="s">
        <v>74</v>
      </c>
      <c r="BH254" t="s">
        <v>99</v>
      </c>
      <c r="BI254">
        <v>14</v>
      </c>
      <c r="BJ254" t="s">
        <v>148</v>
      </c>
      <c r="BK254" t="s">
        <v>149</v>
      </c>
      <c r="BL254" t="s">
        <v>150</v>
      </c>
      <c r="BM254" t="s">
        <v>4508</v>
      </c>
      <c r="BN254" t="s">
        <v>74</v>
      </c>
      <c r="BO254" t="s">
        <v>74</v>
      </c>
      <c r="BP254" t="s">
        <v>74</v>
      </c>
      <c r="BQ254" t="s">
        <v>74</v>
      </c>
      <c r="BR254" t="s">
        <v>104</v>
      </c>
      <c r="BS254" t="s">
        <v>4509</v>
      </c>
      <c r="BT254" t="str">
        <f>HYPERLINK("https%3A%2F%2Fwww.webofscience.com%2Fwos%2Fwoscc%2Ffull-record%2FWOS:000708365800028","View Full Record in Web of Science")</f>
        <v>View Full Record in Web of Science</v>
      </c>
    </row>
    <row r="255" spans="1:72" x14ac:dyDescent="0.25">
      <c r="A255" t="s">
        <v>72</v>
      </c>
      <c r="B255" t="s">
        <v>4510</v>
      </c>
      <c r="C255" t="s">
        <v>74</v>
      </c>
      <c r="D255" t="s">
        <v>74</v>
      </c>
      <c r="E255" t="s">
        <v>74</v>
      </c>
      <c r="F255" t="s">
        <v>4511</v>
      </c>
      <c r="G255" t="s">
        <v>74</v>
      </c>
      <c r="H255" t="s">
        <v>74</v>
      </c>
      <c r="I255" t="s">
        <v>4512</v>
      </c>
      <c r="J255" t="s">
        <v>128</v>
      </c>
      <c r="K255" t="s">
        <v>74</v>
      </c>
      <c r="L255" t="s">
        <v>74</v>
      </c>
      <c r="M255" t="s">
        <v>78</v>
      </c>
      <c r="N255" t="s">
        <v>79</v>
      </c>
      <c r="O255" t="s">
        <v>74</v>
      </c>
      <c r="P255" t="s">
        <v>74</v>
      </c>
      <c r="Q255" t="s">
        <v>74</v>
      </c>
      <c r="R255" t="s">
        <v>74</v>
      </c>
      <c r="S255" t="s">
        <v>74</v>
      </c>
      <c r="T255" t="s">
        <v>4513</v>
      </c>
      <c r="U255" t="s">
        <v>4514</v>
      </c>
      <c r="V255" t="s">
        <v>4515</v>
      </c>
      <c r="W255" t="s">
        <v>4516</v>
      </c>
      <c r="X255" t="s">
        <v>4517</v>
      </c>
      <c r="Y255" t="s">
        <v>4518</v>
      </c>
      <c r="Z255" t="s">
        <v>4519</v>
      </c>
      <c r="AA255" t="s">
        <v>4520</v>
      </c>
      <c r="AB255" t="s">
        <v>4521</v>
      </c>
      <c r="AC255" t="s">
        <v>4522</v>
      </c>
      <c r="AD255" t="s">
        <v>4523</v>
      </c>
      <c r="AE255" t="s">
        <v>4524</v>
      </c>
      <c r="AF255" t="s">
        <v>74</v>
      </c>
      <c r="AG255">
        <v>40</v>
      </c>
      <c r="AH255">
        <v>0</v>
      </c>
      <c r="AI255">
        <v>0</v>
      </c>
      <c r="AJ255">
        <v>20</v>
      </c>
      <c r="AK255">
        <v>20</v>
      </c>
      <c r="AL255" t="s">
        <v>138</v>
      </c>
      <c r="AM255" t="s">
        <v>139</v>
      </c>
      <c r="AN255" t="s">
        <v>140</v>
      </c>
      <c r="AO255" t="s">
        <v>141</v>
      </c>
      <c r="AP255" t="s">
        <v>142</v>
      </c>
      <c r="AQ255" t="s">
        <v>74</v>
      </c>
      <c r="AR255" t="s">
        <v>143</v>
      </c>
      <c r="AS255" t="s">
        <v>144</v>
      </c>
      <c r="AT255" t="s">
        <v>145</v>
      </c>
      <c r="AU255">
        <v>2024</v>
      </c>
      <c r="AV255">
        <v>252</v>
      </c>
      <c r="AW255" t="s">
        <v>74</v>
      </c>
      <c r="AX255" t="s">
        <v>74</v>
      </c>
      <c r="AY255" t="s">
        <v>74</v>
      </c>
      <c r="AZ255" t="s">
        <v>74</v>
      </c>
      <c r="BA255" t="s">
        <v>74</v>
      </c>
      <c r="BB255" t="s">
        <v>74</v>
      </c>
      <c r="BC255" t="s">
        <v>74</v>
      </c>
      <c r="BD255">
        <v>110483</v>
      </c>
      <c r="BE255" t="s">
        <v>4525</v>
      </c>
      <c r="BF255" t="str">
        <f>HYPERLINK("http://dx.doi.org/10.1016/j.ress.2024.110483","http://dx.doi.org/10.1016/j.ress.2024.110483")</f>
        <v>http://dx.doi.org/10.1016/j.ress.2024.110483</v>
      </c>
      <c r="BG255" t="s">
        <v>74</v>
      </c>
      <c r="BH255" t="s">
        <v>516</v>
      </c>
      <c r="BI255">
        <v>11</v>
      </c>
      <c r="BJ255" t="s">
        <v>148</v>
      </c>
      <c r="BK255" t="s">
        <v>149</v>
      </c>
      <c r="BL255" t="s">
        <v>150</v>
      </c>
      <c r="BM255" t="s">
        <v>4526</v>
      </c>
      <c r="BN255" t="s">
        <v>74</v>
      </c>
      <c r="BO255" t="s">
        <v>74</v>
      </c>
      <c r="BP255" t="s">
        <v>74</v>
      </c>
      <c r="BQ255" t="s">
        <v>74</v>
      </c>
      <c r="BR255" t="s">
        <v>104</v>
      </c>
      <c r="BS255" t="s">
        <v>4527</v>
      </c>
      <c r="BT255" t="str">
        <f>HYPERLINK("https%3A%2F%2Fwww.webofscience.com%2Fwos%2Fwoscc%2Ffull-record%2FWOS:001309693300001","View Full Record in Web of Science")</f>
        <v>View Full Record in Web of Science</v>
      </c>
    </row>
    <row r="256" spans="1:72" x14ac:dyDescent="0.25">
      <c r="A256" t="s">
        <v>72</v>
      </c>
      <c r="B256" t="s">
        <v>4528</v>
      </c>
      <c r="C256" t="s">
        <v>74</v>
      </c>
      <c r="D256" t="s">
        <v>74</v>
      </c>
      <c r="E256" t="s">
        <v>74</v>
      </c>
      <c r="F256" t="s">
        <v>4529</v>
      </c>
      <c r="G256" t="s">
        <v>74</v>
      </c>
      <c r="H256" t="s">
        <v>74</v>
      </c>
      <c r="I256" t="s">
        <v>4530</v>
      </c>
      <c r="J256" t="s">
        <v>128</v>
      </c>
      <c r="K256" t="s">
        <v>74</v>
      </c>
      <c r="L256" t="s">
        <v>74</v>
      </c>
      <c r="M256" t="s">
        <v>78</v>
      </c>
      <c r="N256" t="s">
        <v>79</v>
      </c>
      <c r="O256" t="s">
        <v>74</v>
      </c>
      <c r="P256" t="s">
        <v>74</v>
      </c>
      <c r="Q256" t="s">
        <v>74</v>
      </c>
      <c r="R256" t="s">
        <v>74</v>
      </c>
      <c r="S256" t="s">
        <v>74</v>
      </c>
      <c r="T256" t="s">
        <v>4531</v>
      </c>
      <c r="U256" t="s">
        <v>4532</v>
      </c>
      <c r="V256" t="s">
        <v>4533</v>
      </c>
      <c r="W256" t="s">
        <v>4534</v>
      </c>
      <c r="X256" t="s">
        <v>4535</v>
      </c>
      <c r="Y256" t="s">
        <v>4536</v>
      </c>
      <c r="Z256" t="s">
        <v>4537</v>
      </c>
      <c r="AA256" t="s">
        <v>4538</v>
      </c>
      <c r="AB256" t="s">
        <v>4539</v>
      </c>
      <c r="AC256" t="s">
        <v>74</v>
      </c>
      <c r="AD256" t="s">
        <v>74</v>
      </c>
      <c r="AE256" t="s">
        <v>74</v>
      </c>
      <c r="AF256" t="s">
        <v>74</v>
      </c>
      <c r="AG256">
        <v>44</v>
      </c>
      <c r="AH256">
        <v>11</v>
      </c>
      <c r="AI256">
        <v>11</v>
      </c>
      <c r="AJ256">
        <v>3</v>
      </c>
      <c r="AK256">
        <v>24</v>
      </c>
      <c r="AL256" t="s">
        <v>138</v>
      </c>
      <c r="AM256" t="s">
        <v>246</v>
      </c>
      <c r="AN256" t="s">
        <v>247</v>
      </c>
      <c r="AO256" t="s">
        <v>141</v>
      </c>
      <c r="AP256" t="s">
        <v>142</v>
      </c>
      <c r="AQ256" t="s">
        <v>74</v>
      </c>
      <c r="AR256" t="s">
        <v>143</v>
      </c>
      <c r="AS256" t="s">
        <v>144</v>
      </c>
      <c r="AT256" t="s">
        <v>145</v>
      </c>
      <c r="AU256">
        <v>2021</v>
      </c>
      <c r="AV256">
        <v>216</v>
      </c>
      <c r="AW256" t="s">
        <v>74</v>
      </c>
      <c r="AX256" t="s">
        <v>74</v>
      </c>
      <c r="AY256" t="s">
        <v>74</v>
      </c>
      <c r="AZ256" t="s">
        <v>74</v>
      </c>
      <c r="BA256" t="s">
        <v>74</v>
      </c>
      <c r="BB256" t="s">
        <v>74</v>
      </c>
      <c r="BC256" t="s">
        <v>74</v>
      </c>
      <c r="BD256">
        <v>107940</v>
      </c>
      <c r="BE256" t="s">
        <v>4540</v>
      </c>
      <c r="BF256" t="str">
        <f>HYPERLINK("http://dx.doi.org/10.1016/j.ress.2021.107940","http://dx.doi.org/10.1016/j.ress.2021.107940")</f>
        <v>http://dx.doi.org/10.1016/j.ress.2021.107940</v>
      </c>
      <c r="BG256" t="s">
        <v>74</v>
      </c>
      <c r="BH256" t="s">
        <v>2573</v>
      </c>
      <c r="BI256">
        <v>13</v>
      </c>
      <c r="BJ256" t="s">
        <v>148</v>
      </c>
      <c r="BK256" t="s">
        <v>149</v>
      </c>
      <c r="BL256" t="s">
        <v>150</v>
      </c>
      <c r="BM256" t="s">
        <v>2090</v>
      </c>
      <c r="BN256" t="s">
        <v>74</v>
      </c>
      <c r="BO256" t="s">
        <v>400</v>
      </c>
      <c r="BP256" t="s">
        <v>74</v>
      </c>
      <c r="BQ256" t="s">
        <v>74</v>
      </c>
      <c r="BR256" t="s">
        <v>104</v>
      </c>
      <c r="BS256" t="s">
        <v>4541</v>
      </c>
      <c r="BT256" t="str">
        <f>HYPERLINK("https%3A%2F%2Fwww.webofscience.com%2Fwos%2Fwoscc%2Ffull-record%2FWOS:000702351700029","View Full Record in Web of Science")</f>
        <v>View Full Record in Web of Science</v>
      </c>
    </row>
    <row r="257" spans="1:72" x14ac:dyDescent="0.25">
      <c r="A257" t="s">
        <v>72</v>
      </c>
      <c r="B257" t="s">
        <v>4542</v>
      </c>
      <c r="C257" t="s">
        <v>74</v>
      </c>
      <c r="D257" t="s">
        <v>74</v>
      </c>
      <c r="E257" t="s">
        <v>74</v>
      </c>
      <c r="F257" t="s">
        <v>4543</v>
      </c>
      <c r="G257" t="s">
        <v>74</v>
      </c>
      <c r="H257" t="s">
        <v>74</v>
      </c>
      <c r="I257" t="s">
        <v>4544</v>
      </c>
      <c r="J257" t="s">
        <v>128</v>
      </c>
      <c r="K257" t="s">
        <v>74</v>
      </c>
      <c r="L257" t="s">
        <v>74</v>
      </c>
      <c r="M257" t="s">
        <v>78</v>
      </c>
      <c r="N257" t="s">
        <v>79</v>
      </c>
      <c r="O257" t="s">
        <v>74</v>
      </c>
      <c r="P257" t="s">
        <v>74</v>
      </c>
      <c r="Q257" t="s">
        <v>74</v>
      </c>
      <c r="R257" t="s">
        <v>74</v>
      </c>
      <c r="S257" t="s">
        <v>74</v>
      </c>
      <c r="T257" t="s">
        <v>4545</v>
      </c>
      <c r="U257" t="s">
        <v>4546</v>
      </c>
      <c r="V257" t="s">
        <v>4547</v>
      </c>
      <c r="W257" t="s">
        <v>4548</v>
      </c>
      <c r="X257" t="s">
        <v>4549</v>
      </c>
      <c r="Y257" t="s">
        <v>4550</v>
      </c>
      <c r="Z257" t="s">
        <v>4551</v>
      </c>
      <c r="AA257" t="s">
        <v>4552</v>
      </c>
      <c r="AB257" t="s">
        <v>74</v>
      </c>
      <c r="AC257" t="s">
        <v>4553</v>
      </c>
      <c r="AD257" t="s">
        <v>4554</v>
      </c>
      <c r="AE257" t="s">
        <v>4555</v>
      </c>
      <c r="AF257" t="s">
        <v>74</v>
      </c>
      <c r="AG257">
        <v>37</v>
      </c>
      <c r="AH257">
        <v>124</v>
      </c>
      <c r="AI257">
        <v>126</v>
      </c>
      <c r="AJ257">
        <v>17</v>
      </c>
      <c r="AK257">
        <v>194</v>
      </c>
      <c r="AL257" t="s">
        <v>138</v>
      </c>
      <c r="AM257" t="s">
        <v>246</v>
      </c>
      <c r="AN257" t="s">
        <v>247</v>
      </c>
      <c r="AO257" t="s">
        <v>141</v>
      </c>
      <c r="AP257" t="s">
        <v>142</v>
      </c>
      <c r="AQ257" t="s">
        <v>74</v>
      </c>
      <c r="AR257" t="s">
        <v>143</v>
      </c>
      <c r="AS257" t="s">
        <v>144</v>
      </c>
      <c r="AT257" t="s">
        <v>559</v>
      </c>
      <c r="AU257">
        <v>2021</v>
      </c>
      <c r="AV257">
        <v>210</v>
      </c>
      <c r="AW257" t="s">
        <v>74</v>
      </c>
      <c r="AX257" t="s">
        <v>74</v>
      </c>
      <c r="AY257" t="s">
        <v>74</v>
      </c>
      <c r="AZ257" t="s">
        <v>74</v>
      </c>
      <c r="BA257" t="s">
        <v>74</v>
      </c>
      <c r="BB257" t="s">
        <v>74</v>
      </c>
      <c r="BC257" t="s">
        <v>74</v>
      </c>
      <c r="BD257">
        <v>107560</v>
      </c>
      <c r="BE257" t="s">
        <v>4556</v>
      </c>
      <c r="BF257" t="str">
        <f>HYPERLINK("http://dx.doi.org/10.1016/j.ress.2021.107560","http://dx.doi.org/10.1016/j.ress.2021.107560")</f>
        <v>http://dx.doi.org/10.1016/j.ress.2021.107560</v>
      </c>
      <c r="BG257" t="s">
        <v>74</v>
      </c>
      <c r="BH257" t="s">
        <v>639</v>
      </c>
      <c r="BI257">
        <v>11</v>
      </c>
      <c r="BJ257" t="s">
        <v>148</v>
      </c>
      <c r="BK257" t="s">
        <v>149</v>
      </c>
      <c r="BL257" t="s">
        <v>150</v>
      </c>
      <c r="BM257" t="s">
        <v>640</v>
      </c>
      <c r="BN257" t="s">
        <v>74</v>
      </c>
      <c r="BO257" t="s">
        <v>74</v>
      </c>
      <c r="BP257" t="s">
        <v>74</v>
      </c>
      <c r="BQ257" t="s">
        <v>74</v>
      </c>
      <c r="BR257" t="s">
        <v>104</v>
      </c>
      <c r="BS257" t="s">
        <v>4557</v>
      </c>
      <c r="BT257" t="str">
        <f>HYPERLINK("https%3A%2F%2Fwww.webofscience.com%2Fwos%2Fwoscc%2Ffull-record%2FWOS:000663909400050","View Full Record in Web of Science")</f>
        <v>View Full Record in Web of Science</v>
      </c>
    </row>
    <row r="258" spans="1:72" x14ac:dyDescent="0.25">
      <c r="A258" t="s">
        <v>72</v>
      </c>
      <c r="B258" t="s">
        <v>4558</v>
      </c>
      <c r="C258" t="s">
        <v>74</v>
      </c>
      <c r="D258" t="s">
        <v>74</v>
      </c>
      <c r="E258" t="s">
        <v>74</v>
      </c>
      <c r="F258" t="s">
        <v>4559</v>
      </c>
      <c r="G258" t="s">
        <v>74</v>
      </c>
      <c r="H258" t="s">
        <v>74</v>
      </c>
      <c r="I258" t="s">
        <v>4560</v>
      </c>
      <c r="J258" t="s">
        <v>697</v>
      </c>
      <c r="K258" t="s">
        <v>74</v>
      </c>
      <c r="L258" t="s">
        <v>74</v>
      </c>
      <c r="M258" t="s">
        <v>78</v>
      </c>
      <c r="N258" t="s">
        <v>79</v>
      </c>
      <c r="O258" t="s">
        <v>74</v>
      </c>
      <c r="P258" t="s">
        <v>74</v>
      </c>
      <c r="Q258" t="s">
        <v>74</v>
      </c>
      <c r="R258" t="s">
        <v>74</v>
      </c>
      <c r="S258" t="s">
        <v>74</v>
      </c>
      <c r="T258" t="s">
        <v>4561</v>
      </c>
      <c r="U258" t="s">
        <v>4562</v>
      </c>
      <c r="V258" t="s">
        <v>4563</v>
      </c>
      <c r="W258" t="s">
        <v>4564</v>
      </c>
      <c r="X258" t="s">
        <v>4517</v>
      </c>
      <c r="Y258" t="s">
        <v>4565</v>
      </c>
      <c r="Z258" t="s">
        <v>4519</v>
      </c>
      <c r="AA258" t="s">
        <v>4566</v>
      </c>
      <c r="AB258" t="s">
        <v>4521</v>
      </c>
      <c r="AC258" t="s">
        <v>4567</v>
      </c>
      <c r="AD258" t="s">
        <v>4568</v>
      </c>
      <c r="AE258" t="s">
        <v>4569</v>
      </c>
      <c r="AF258" t="s">
        <v>74</v>
      </c>
      <c r="AG258">
        <v>33</v>
      </c>
      <c r="AH258">
        <v>0</v>
      </c>
      <c r="AI258">
        <v>0</v>
      </c>
      <c r="AJ258">
        <v>14</v>
      </c>
      <c r="AK258">
        <v>14</v>
      </c>
      <c r="AL258" t="s">
        <v>707</v>
      </c>
      <c r="AM258" t="s">
        <v>246</v>
      </c>
      <c r="AN258" t="s">
        <v>708</v>
      </c>
      <c r="AO258" t="s">
        <v>709</v>
      </c>
      <c r="AP258" t="s">
        <v>710</v>
      </c>
      <c r="AQ258" t="s">
        <v>74</v>
      </c>
      <c r="AR258" t="s">
        <v>711</v>
      </c>
      <c r="AS258" t="s">
        <v>712</v>
      </c>
      <c r="AT258" t="s">
        <v>491</v>
      </c>
      <c r="AU258">
        <v>2024</v>
      </c>
      <c r="AV258">
        <v>197</v>
      </c>
      <c r="AW258" t="s">
        <v>74</v>
      </c>
      <c r="AX258" t="s">
        <v>74</v>
      </c>
      <c r="AY258" t="s">
        <v>74</v>
      </c>
      <c r="AZ258" t="s">
        <v>74</v>
      </c>
      <c r="BA258" t="s">
        <v>74</v>
      </c>
      <c r="BB258" t="s">
        <v>74</v>
      </c>
      <c r="BC258" t="s">
        <v>74</v>
      </c>
      <c r="BD258">
        <v>110550</v>
      </c>
      <c r="BE258" t="s">
        <v>4570</v>
      </c>
      <c r="BF258" t="str">
        <f>HYPERLINK("http://dx.doi.org/10.1016/j.cie.2024.110550","http://dx.doi.org/10.1016/j.cie.2024.110550")</f>
        <v>http://dx.doi.org/10.1016/j.cie.2024.110550</v>
      </c>
      <c r="BG258" t="s">
        <v>74</v>
      </c>
      <c r="BH258" t="s">
        <v>516</v>
      </c>
      <c r="BI258">
        <v>11</v>
      </c>
      <c r="BJ258" t="s">
        <v>715</v>
      </c>
      <c r="BK258" t="s">
        <v>149</v>
      </c>
      <c r="BL258" t="s">
        <v>716</v>
      </c>
      <c r="BM258" t="s">
        <v>4571</v>
      </c>
      <c r="BN258" t="s">
        <v>74</v>
      </c>
      <c r="BO258" t="s">
        <v>74</v>
      </c>
      <c r="BP258" t="s">
        <v>74</v>
      </c>
      <c r="BQ258" t="s">
        <v>74</v>
      </c>
      <c r="BR258" t="s">
        <v>104</v>
      </c>
      <c r="BS258" t="s">
        <v>4572</v>
      </c>
      <c r="BT258" t="str">
        <f>HYPERLINK("https%3A%2F%2Fwww.webofscience.com%2Fwos%2Fwoscc%2Ffull-record%2FWOS:001310823700001","View Full Record in Web of Science")</f>
        <v>View Full Record in Web of Science</v>
      </c>
    </row>
    <row r="259" spans="1:72" x14ac:dyDescent="0.25">
      <c r="A259" t="s">
        <v>72</v>
      </c>
      <c r="B259" t="s">
        <v>4573</v>
      </c>
      <c r="C259" t="s">
        <v>74</v>
      </c>
      <c r="D259" t="s">
        <v>74</v>
      </c>
      <c r="E259" t="s">
        <v>74</v>
      </c>
      <c r="F259" t="s">
        <v>4574</v>
      </c>
      <c r="G259" t="s">
        <v>74</v>
      </c>
      <c r="H259" t="s">
        <v>74</v>
      </c>
      <c r="I259" t="s">
        <v>4575</v>
      </c>
      <c r="J259" t="s">
        <v>940</v>
      </c>
      <c r="K259" t="s">
        <v>74</v>
      </c>
      <c r="L259" t="s">
        <v>74</v>
      </c>
      <c r="M259" t="s">
        <v>78</v>
      </c>
      <c r="N259" t="s">
        <v>79</v>
      </c>
      <c r="O259" t="s">
        <v>74</v>
      </c>
      <c r="P259" t="s">
        <v>74</v>
      </c>
      <c r="Q259" t="s">
        <v>74</v>
      </c>
      <c r="R259" t="s">
        <v>74</v>
      </c>
      <c r="S259" t="s">
        <v>74</v>
      </c>
      <c r="T259" t="s">
        <v>4576</v>
      </c>
      <c r="U259" t="s">
        <v>74</v>
      </c>
      <c r="V259" t="s">
        <v>4577</v>
      </c>
      <c r="W259" t="s">
        <v>4578</v>
      </c>
      <c r="X259" t="s">
        <v>4579</v>
      </c>
      <c r="Y259" t="s">
        <v>4580</v>
      </c>
      <c r="Z259" t="s">
        <v>4581</v>
      </c>
      <c r="AA259" t="s">
        <v>4582</v>
      </c>
      <c r="AB259" t="s">
        <v>4583</v>
      </c>
      <c r="AC259" t="s">
        <v>74</v>
      </c>
      <c r="AD259" t="s">
        <v>74</v>
      </c>
      <c r="AE259" t="s">
        <v>74</v>
      </c>
      <c r="AF259" t="s">
        <v>74</v>
      </c>
      <c r="AG259">
        <v>45</v>
      </c>
      <c r="AH259">
        <v>11</v>
      </c>
      <c r="AI259">
        <v>11</v>
      </c>
      <c r="AJ259">
        <v>8</v>
      </c>
      <c r="AK259">
        <v>54</v>
      </c>
      <c r="AL259" t="s">
        <v>220</v>
      </c>
      <c r="AM259" t="s">
        <v>221</v>
      </c>
      <c r="AN259" t="s">
        <v>222</v>
      </c>
      <c r="AO259" t="s">
        <v>950</v>
      </c>
      <c r="AP259" t="s">
        <v>951</v>
      </c>
      <c r="AQ259" t="s">
        <v>74</v>
      </c>
      <c r="AR259" t="s">
        <v>952</v>
      </c>
      <c r="AS259" t="s">
        <v>953</v>
      </c>
      <c r="AT259" t="s">
        <v>145</v>
      </c>
      <c r="AU259">
        <v>2022</v>
      </c>
      <c r="AV259">
        <v>69</v>
      </c>
      <c r="AW259">
        <v>6</v>
      </c>
      <c r="AX259" t="s">
        <v>74</v>
      </c>
      <c r="AY259" t="s">
        <v>74</v>
      </c>
      <c r="AZ259" t="s">
        <v>74</v>
      </c>
      <c r="BA259" t="s">
        <v>74</v>
      </c>
      <c r="BB259">
        <v>4006</v>
      </c>
      <c r="BC259">
        <v>4018</v>
      </c>
      <c r="BD259" t="s">
        <v>74</v>
      </c>
      <c r="BE259" t="s">
        <v>4584</v>
      </c>
      <c r="BF259" t="str">
        <f>HYPERLINK("http://dx.doi.org/10.1109/TEM.2021.3089438","http://dx.doi.org/10.1109/TEM.2021.3089438")</f>
        <v>http://dx.doi.org/10.1109/TEM.2021.3089438</v>
      </c>
      <c r="BG259" t="s">
        <v>74</v>
      </c>
      <c r="BH259" t="s">
        <v>1059</v>
      </c>
      <c r="BI259">
        <v>13</v>
      </c>
      <c r="BJ259" t="s">
        <v>955</v>
      </c>
      <c r="BK259" t="s">
        <v>322</v>
      </c>
      <c r="BL259" t="s">
        <v>956</v>
      </c>
      <c r="BM259" t="s">
        <v>4585</v>
      </c>
      <c r="BN259" t="s">
        <v>74</v>
      </c>
      <c r="BO259" t="s">
        <v>74</v>
      </c>
      <c r="BP259" t="s">
        <v>74</v>
      </c>
      <c r="BQ259" t="s">
        <v>74</v>
      </c>
      <c r="BR259" t="s">
        <v>104</v>
      </c>
      <c r="BS259" t="s">
        <v>4586</v>
      </c>
      <c r="BT259" t="str">
        <f>HYPERLINK("https%3A%2F%2Fwww.webofscience.com%2Fwos%2Fwoscc%2Ffull-record%2FWOS:000732651600001","View Full Record in Web of Science")</f>
        <v>View Full Record in Web of Science</v>
      </c>
    </row>
    <row r="260" spans="1:72" x14ac:dyDescent="0.25">
      <c r="A260" t="s">
        <v>72</v>
      </c>
      <c r="B260" t="s">
        <v>4587</v>
      </c>
      <c r="C260" t="s">
        <v>74</v>
      </c>
      <c r="D260" t="s">
        <v>74</v>
      </c>
      <c r="E260" t="s">
        <v>74</v>
      </c>
      <c r="F260" t="s">
        <v>4588</v>
      </c>
      <c r="G260" t="s">
        <v>74</v>
      </c>
      <c r="H260" t="s">
        <v>74</v>
      </c>
      <c r="I260" t="s">
        <v>4589</v>
      </c>
      <c r="J260" t="s">
        <v>2969</v>
      </c>
      <c r="K260" t="s">
        <v>74</v>
      </c>
      <c r="L260" t="s">
        <v>74</v>
      </c>
      <c r="M260" t="s">
        <v>78</v>
      </c>
      <c r="N260" t="s">
        <v>79</v>
      </c>
      <c r="O260" t="s">
        <v>74</v>
      </c>
      <c r="P260" t="s">
        <v>74</v>
      </c>
      <c r="Q260" t="s">
        <v>74</v>
      </c>
      <c r="R260" t="s">
        <v>74</v>
      </c>
      <c r="S260" t="s">
        <v>74</v>
      </c>
      <c r="T260" t="s">
        <v>4590</v>
      </c>
      <c r="U260" t="s">
        <v>4591</v>
      </c>
      <c r="V260" t="s">
        <v>4592</v>
      </c>
      <c r="W260" t="s">
        <v>4593</v>
      </c>
      <c r="X260" t="s">
        <v>4594</v>
      </c>
      <c r="Y260" t="s">
        <v>4595</v>
      </c>
      <c r="Z260" t="s">
        <v>4596</v>
      </c>
      <c r="AA260" t="s">
        <v>4597</v>
      </c>
      <c r="AB260" t="s">
        <v>4598</v>
      </c>
      <c r="AC260" t="s">
        <v>4599</v>
      </c>
      <c r="AD260" t="s">
        <v>4600</v>
      </c>
      <c r="AE260" t="s">
        <v>4601</v>
      </c>
      <c r="AF260" t="s">
        <v>74</v>
      </c>
      <c r="AG260">
        <v>31</v>
      </c>
      <c r="AH260">
        <v>0</v>
      </c>
      <c r="AI260">
        <v>0</v>
      </c>
      <c r="AJ260">
        <v>1</v>
      </c>
      <c r="AK260">
        <v>3</v>
      </c>
      <c r="AL260" t="s">
        <v>707</v>
      </c>
      <c r="AM260" t="s">
        <v>246</v>
      </c>
      <c r="AN260" t="s">
        <v>708</v>
      </c>
      <c r="AO260" t="s">
        <v>2979</v>
      </c>
      <c r="AP260" t="s">
        <v>2980</v>
      </c>
      <c r="AQ260" t="s">
        <v>74</v>
      </c>
      <c r="AR260" t="s">
        <v>2981</v>
      </c>
      <c r="AS260" t="s">
        <v>2982</v>
      </c>
      <c r="AT260" t="s">
        <v>1076</v>
      </c>
      <c r="AU260">
        <v>2024</v>
      </c>
      <c r="AV260">
        <v>170</v>
      </c>
      <c r="AW260" t="s">
        <v>74</v>
      </c>
      <c r="AX260" t="s">
        <v>74</v>
      </c>
      <c r="AY260" t="s">
        <v>74</v>
      </c>
      <c r="AZ260" t="s">
        <v>74</v>
      </c>
      <c r="BA260" t="s">
        <v>74</v>
      </c>
      <c r="BB260" t="s">
        <v>74</v>
      </c>
      <c r="BC260" t="s">
        <v>74</v>
      </c>
      <c r="BD260">
        <v>106763</v>
      </c>
      <c r="BE260" t="s">
        <v>4602</v>
      </c>
      <c r="BF260" t="str">
        <f>HYPERLINK("http://dx.doi.org/10.1016/j.cor.2024.106763","http://dx.doi.org/10.1016/j.cor.2024.106763")</f>
        <v>http://dx.doi.org/10.1016/j.cor.2024.106763</v>
      </c>
      <c r="BG260" t="s">
        <v>74</v>
      </c>
      <c r="BH260" t="s">
        <v>493</v>
      </c>
      <c r="BI260">
        <v>11</v>
      </c>
      <c r="BJ260" t="s">
        <v>2985</v>
      </c>
      <c r="BK260" t="s">
        <v>149</v>
      </c>
      <c r="BL260" t="s">
        <v>1576</v>
      </c>
      <c r="BM260" t="s">
        <v>4603</v>
      </c>
      <c r="BN260" t="s">
        <v>74</v>
      </c>
      <c r="BO260" t="s">
        <v>123</v>
      </c>
      <c r="BP260" t="s">
        <v>74</v>
      </c>
      <c r="BQ260" t="s">
        <v>74</v>
      </c>
      <c r="BR260" t="s">
        <v>104</v>
      </c>
      <c r="BS260" t="s">
        <v>4604</v>
      </c>
      <c r="BT260" t="str">
        <f>HYPERLINK("https%3A%2F%2Fwww.webofscience.com%2Fwos%2Fwoscc%2Ffull-record%2FWOS:001269346600001","View Full Record in Web of Science")</f>
        <v>View Full Record in Web of Science</v>
      </c>
    </row>
    <row r="261" spans="1:72" x14ac:dyDescent="0.25">
      <c r="A261" t="s">
        <v>72</v>
      </c>
      <c r="B261" t="s">
        <v>4605</v>
      </c>
      <c r="C261" t="s">
        <v>74</v>
      </c>
      <c r="D261" t="s">
        <v>74</v>
      </c>
      <c r="E261" t="s">
        <v>74</v>
      </c>
      <c r="F261" t="s">
        <v>4606</v>
      </c>
      <c r="G261" t="s">
        <v>74</v>
      </c>
      <c r="H261" t="s">
        <v>74</v>
      </c>
      <c r="I261" t="s">
        <v>4607</v>
      </c>
      <c r="J261" t="s">
        <v>4608</v>
      </c>
      <c r="K261" t="s">
        <v>74</v>
      </c>
      <c r="L261" t="s">
        <v>74</v>
      </c>
      <c r="M261" t="s">
        <v>78</v>
      </c>
      <c r="N261" t="s">
        <v>79</v>
      </c>
      <c r="O261" t="s">
        <v>74</v>
      </c>
      <c r="P261" t="s">
        <v>74</v>
      </c>
      <c r="Q261" t="s">
        <v>74</v>
      </c>
      <c r="R261" t="s">
        <v>74</v>
      </c>
      <c r="S261" t="s">
        <v>74</v>
      </c>
      <c r="T261" t="s">
        <v>4609</v>
      </c>
      <c r="U261" t="s">
        <v>4610</v>
      </c>
      <c r="V261" t="s">
        <v>4611</v>
      </c>
      <c r="W261" t="s">
        <v>4612</v>
      </c>
      <c r="X261" t="s">
        <v>74</v>
      </c>
      <c r="Y261" t="s">
        <v>4613</v>
      </c>
      <c r="Z261" t="s">
        <v>4614</v>
      </c>
      <c r="AA261" t="s">
        <v>74</v>
      </c>
      <c r="AB261" t="s">
        <v>74</v>
      </c>
      <c r="AC261" t="s">
        <v>74</v>
      </c>
      <c r="AD261" t="s">
        <v>74</v>
      </c>
      <c r="AE261" t="s">
        <v>74</v>
      </c>
      <c r="AF261" t="s">
        <v>74</v>
      </c>
      <c r="AG261">
        <v>36</v>
      </c>
      <c r="AH261">
        <v>0</v>
      </c>
      <c r="AI261">
        <v>0</v>
      </c>
      <c r="AJ261">
        <v>3</v>
      </c>
      <c r="AK261">
        <v>6</v>
      </c>
      <c r="AL261" t="s">
        <v>4615</v>
      </c>
      <c r="AM261" t="s">
        <v>4616</v>
      </c>
      <c r="AN261" t="s">
        <v>4617</v>
      </c>
      <c r="AO261" t="s">
        <v>4618</v>
      </c>
      <c r="AP261" t="s">
        <v>4619</v>
      </c>
      <c r="AQ261" t="s">
        <v>74</v>
      </c>
      <c r="AR261" t="s">
        <v>4620</v>
      </c>
      <c r="AS261" t="s">
        <v>4621</v>
      </c>
      <c r="AT261" t="s">
        <v>346</v>
      </c>
      <c r="AU261">
        <v>2024</v>
      </c>
      <c r="AV261">
        <v>49</v>
      </c>
      <c r="AW261">
        <v>2</v>
      </c>
      <c r="AX261" t="s">
        <v>74</v>
      </c>
      <c r="AY261" t="s">
        <v>74</v>
      </c>
      <c r="AZ261" t="s">
        <v>74</v>
      </c>
      <c r="BA261" t="s">
        <v>74</v>
      </c>
      <c r="BB261">
        <v>139</v>
      </c>
      <c r="BC261">
        <v>160</v>
      </c>
      <c r="BD261" t="s">
        <v>74</v>
      </c>
      <c r="BE261" t="s">
        <v>4622</v>
      </c>
      <c r="BF261" t="str">
        <f>HYPERLINK("http://dx.doi.org/10.2478/fcds-2024-0009","http://dx.doi.org/10.2478/fcds-2024-0009")</f>
        <v>http://dx.doi.org/10.2478/fcds-2024-0009</v>
      </c>
      <c r="BG261" t="s">
        <v>74</v>
      </c>
      <c r="BH261" t="s">
        <v>74</v>
      </c>
      <c r="BI261">
        <v>22</v>
      </c>
      <c r="BJ261" t="s">
        <v>1267</v>
      </c>
      <c r="BK261" t="s">
        <v>101</v>
      </c>
      <c r="BL261" t="s">
        <v>1228</v>
      </c>
      <c r="BM261" t="s">
        <v>4623</v>
      </c>
      <c r="BN261" t="s">
        <v>74</v>
      </c>
      <c r="BO261" t="s">
        <v>208</v>
      </c>
      <c r="BP261" t="s">
        <v>74</v>
      </c>
      <c r="BQ261" t="s">
        <v>74</v>
      </c>
      <c r="BR261" t="s">
        <v>104</v>
      </c>
      <c r="BS261" t="s">
        <v>4624</v>
      </c>
      <c r="BT261" t="str">
        <f>HYPERLINK("https%3A%2F%2Fwww.webofscience.com%2Fwos%2Fwoscc%2Ffull-record%2FWOS:001230858000002","View Full Record in Web of Science")</f>
        <v>View Full Record in Web of Science</v>
      </c>
    </row>
    <row r="262" spans="1:72" x14ac:dyDescent="0.25">
      <c r="A262" t="s">
        <v>72</v>
      </c>
      <c r="B262" t="s">
        <v>4625</v>
      </c>
      <c r="C262" t="s">
        <v>74</v>
      </c>
      <c r="D262" t="s">
        <v>74</v>
      </c>
      <c r="E262" t="s">
        <v>74</v>
      </c>
      <c r="F262" t="s">
        <v>4626</v>
      </c>
      <c r="G262" t="s">
        <v>74</v>
      </c>
      <c r="H262" t="s">
        <v>74</v>
      </c>
      <c r="I262" t="s">
        <v>4627</v>
      </c>
      <c r="J262" t="s">
        <v>697</v>
      </c>
      <c r="K262" t="s">
        <v>74</v>
      </c>
      <c r="L262" t="s">
        <v>74</v>
      </c>
      <c r="M262" t="s">
        <v>78</v>
      </c>
      <c r="N262" t="s">
        <v>79</v>
      </c>
      <c r="O262" t="s">
        <v>74</v>
      </c>
      <c r="P262" t="s">
        <v>74</v>
      </c>
      <c r="Q262" t="s">
        <v>74</v>
      </c>
      <c r="R262" t="s">
        <v>74</v>
      </c>
      <c r="S262" t="s">
        <v>74</v>
      </c>
      <c r="T262" t="s">
        <v>4628</v>
      </c>
      <c r="U262" t="s">
        <v>4629</v>
      </c>
      <c r="V262" t="s">
        <v>4630</v>
      </c>
      <c r="W262" t="s">
        <v>4631</v>
      </c>
      <c r="X262" t="s">
        <v>4632</v>
      </c>
      <c r="Y262" t="s">
        <v>2033</v>
      </c>
      <c r="Z262" t="s">
        <v>2034</v>
      </c>
      <c r="AA262" t="s">
        <v>4633</v>
      </c>
      <c r="AB262" t="s">
        <v>74</v>
      </c>
      <c r="AC262" t="s">
        <v>4634</v>
      </c>
      <c r="AD262" t="s">
        <v>4635</v>
      </c>
      <c r="AE262" t="s">
        <v>4636</v>
      </c>
      <c r="AF262" t="s">
        <v>74</v>
      </c>
      <c r="AG262">
        <v>39</v>
      </c>
      <c r="AH262">
        <v>40</v>
      </c>
      <c r="AI262">
        <v>40</v>
      </c>
      <c r="AJ262">
        <v>5</v>
      </c>
      <c r="AK262">
        <v>69</v>
      </c>
      <c r="AL262" t="s">
        <v>707</v>
      </c>
      <c r="AM262" t="s">
        <v>246</v>
      </c>
      <c r="AN262" t="s">
        <v>708</v>
      </c>
      <c r="AO262" t="s">
        <v>709</v>
      </c>
      <c r="AP262" t="s">
        <v>710</v>
      </c>
      <c r="AQ262" t="s">
        <v>74</v>
      </c>
      <c r="AR262" t="s">
        <v>711</v>
      </c>
      <c r="AS262" t="s">
        <v>712</v>
      </c>
      <c r="AT262" t="s">
        <v>275</v>
      </c>
      <c r="AU262">
        <v>2020</v>
      </c>
      <c r="AV262">
        <v>141</v>
      </c>
      <c r="AW262" t="s">
        <v>74</v>
      </c>
      <c r="AX262" t="s">
        <v>74</v>
      </c>
      <c r="AY262" t="s">
        <v>74</v>
      </c>
      <c r="AZ262" t="s">
        <v>74</v>
      </c>
      <c r="BA262" t="s">
        <v>74</v>
      </c>
      <c r="BB262" t="s">
        <v>74</v>
      </c>
      <c r="BC262" t="s">
        <v>74</v>
      </c>
      <c r="BD262">
        <v>106294</v>
      </c>
      <c r="BE262" t="s">
        <v>4637</v>
      </c>
      <c r="BF262" t="str">
        <f>HYPERLINK("http://dx.doi.org/10.1016/j.cie.2020.106294","http://dx.doi.org/10.1016/j.cie.2020.106294")</f>
        <v>http://dx.doi.org/10.1016/j.cie.2020.106294</v>
      </c>
      <c r="BG262" t="s">
        <v>74</v>
      </c>
      <c r="BH262" t="s">
        <v>74</v>
      </c>
      <c r="BI262">
        <v>15</v>
      </c>
      <c r="BJ262" t="s">
        <v>715</v>
      </c>
      <c r="BK262" t="s">
        <v>322</v>
      </c>
      <c r="BL262" t="s">
        <v>716</v>
      </c>
      <c r="BM262" t="s">
        <v>4638</v>
      </c>
      <c r="BN262" t="s">
        <v>74</v>
      </c>
      <c r="BO262" t="s">
        <v>74</v>
      </c>
      <c r="BP262" t="s">
        <v>74</v>
      </c>
      <c r="BQ262" t="s">
        <v>74</v>
      </c>
      <c r="BR262" t="s">
        <v>104</v>
      </c>
      <c r="BS262" t="s">
        <v>4639</v>
      </c>
      <c r="BT262" t="str">
        <f>HYPERLINK("https%3A%2F%2Fwww.webofscience.com%2Fwos%2Fwoscc%2Ffull-record%2FWOS:000517654200023","View Full Record in Web of Science")</f>
        <v>View Full Record in Web of Science</v>
      </c>
    </row>
    <row r="263" spans="1:72" x14ac:dyDescent="0.25">
      <c r="A263" t="s">
        <v>72</v>
      </c>
      <c r="B263" t="s">
        <v>4640</v>
      </c>
      <c r="C263" t="s">
        <v>74</v>
      </c>
      <c r="D263" t="s">
        <v>74</v>
      </c>
      <c r="E263" t="s">
        <v>74</v>
      </c>
      <c r="F263" t="s">
        <v>4641</v>
      </c>
      <c r="G263" t="s">
        <v>74</v>
      </c>
      <c r="H263" t="s">
        <v>74</v>
      </c>
      <c r="I263" t="s">
        <v>4642</v>
      </c>
      <c r="J263" t="s">
        <v>128</v>
      </c>
      <c r="K263" t="s">
        <v>74</v>
      </c>
      <c r="L263" t="s">
        <v>74</v>
      </c>
      <c r="M263" t="s">
        <v>78</v>
      </c>
      <c r="N263" t="s">
        <v>79</v>
      </c>
      <c r="O263" t="s">
        <v>74</v>
      </c>
      <c r="P263" t="s">
        <v>74</v>
      </c>
      <c r="Q263" t="s">
        <v>74</v>
      </c>
      <c r="R263" t="s">
        <v>74</v>
      </c>
      <c r="S263" t="s">
        <v>74</v>
      </c>
      <c r="T263" t="s">
        <v>4643</v>
      </c>
      <c r="U263" t="s">
        <v>4644</v>
      </c>
      <c r="V263" t="s">
        <v>4645</v>
      </c>
      <c r="W263" t="s">
        <v>4646</v>
      </c>
      <c r="X263" t="s">
        <v>1344</v>
      </c>
      <c r="Y263" t="s">
        <v>4647</v>
      </c>
      <c r="Z263" t="s">
        <v>4648</v>
      </c>
      <c r="AA263" t="s">
        <v>4649</v>
      </c>
      <c r="AB263" t="s">
        <v>74</v>
      </c>
      <c r="AC263" t="s">
        <v>74</v>
      </c>
      <c r="AD263" t="s">
        <v>74</v>
      </c>
      <c r="AE263" t="s">
        <v>74</v>
      </c>
      <c r="AF263" t="s">
        <v>74</v>
      </c>
      <c r="AG263">
        <v>40</v>
      </c>
      <c r="AH263">
        <v>18</v>
      </c>
      <c r="AI263">
        <v>19</v>
      </c>
      <c r="AJ263">
        <v>2</v>
      </c>
      <c r="AK263">
        <v>10</v>
      </c>
      <c r="AL263" t="s">
        <v>138</v>
      </c>
      <c r="AM263" t="s">
        <v>246</v>
      </c>
      <c r="AN263" t="s">
        <v>247</v>
      </c>
      <c r="AO263" t="s">
        <v>141</v>
      </c>
      <c r="AP263" t="s">
        <v>142</v>
      </c>
      <c r="AQ263" t="s">
        <v>74</v>
      </c>
      <c r="AR263" t="s">
        <v>143</v>
      </c>
      <c r="AS263" t="s">
        <v>144</v>
      </c>
      <c r="AT263" t="s">
        <v>145</v>
      </c>
      <c r="AU263">
        <v>2020</v>
      </c>
      <c r="AV263">
        <v>204</v>
      </c>
      <c r="AW263" t="s">
        <v>74</v>
      </c>
      <c r="AX263" t="s">
        <v>74</v>
      </c>
      <c r="AY263" t="s">
        <v>74</v>
      </c>
      <c r="AZ263" t="s">
        <v>74</v>
      </c>
      <c r="BA263" t="s">
        <v>74</v>
      </c>
      <c r="BB263" t="s">
        <v>74</v>
      </c>
      <c r="BC263" t="s">
        <v>74</v>
      </c>
      <c r="BD263">
        <v>107200</v>
      </c>
      <c r="BE263" t="s">
        <v>4650</v>
      </c>
      <c r="BF263" t="str">
        <f>HYPERLINK("http://dx.doi.org/10.1016/j.ress.2020.107200","http://dx.doi.org/10.1016/j.ress.2020.107200")</f>
        <v>http://dx.doi.org/10.1016/j.ress.2020.107200</v>
      </c>
      <c r="BG263" t="s">
        <v>74</v>
      </c>
      <c r="BH263" t="s">
        <v>74</v>
      </c>
      <c r="BI263">
        <v>16</v>
      </c>
      <c r="BJ263" t="s">
        <v>148</v>
      </c>
      <c r="BK263" t="s">
        <v>149</v>
      </c>
      <c r="BL263" t="s">
        <v>150</v>
      </c>
      <c r="BM263" t="s">
        <v>4651</v>
      </c>
      <c r="BN263" t="s">
        <v>74</v>
      </c>
      <c r="BO263" t="s">
        <v>4652</v>
      </c>
      <c r="BP263" t="s">
        <v>74</v>
      </c>
      <c r="BQ263" t="s">
        <v>74</v>
      </c>
      <c r="BR263" t="s">
        <v>104</v>
      </c>
      <c r="BS263" t="s">
        <v>4653</v>
      </c>
      <c r="BT263" t="str">
        <f>HYPERLINK("https%3A%2F%2Fwww.webofscience.com%2Fwos%2Fwoscc%2Ffull-record%2FWOS:000583913400059","View Full Record in Web of Science")</f>
        <v>View Full Record in Web of Science</v>
      </c>
    </row>
    <row r="264" spans="1:72" x14ac:dyDescent="0.25">
      <c r="A264" t="s">
        <v>72</v>
      </c>
      <c r="B264" t="s">
        <v>4654</v>
      </c>
      <c r="C264" t="s">
        <v>74</v>
      </c>
      <c r="D264" t="s">
        <v>74</v>
      </c>
      <c r="E264" t="s">
        <v>74</v>
      </c>
      <c r="F264" t="s">
        <v>4655</v>
      </c>
      <c r="G264" t="s">
        <v>74</v>
      </c>
      <c r="H264" t="s">
        <v>74</v>
      </c>
      <c r="I264" t="s">
        <v>4656</v>
      </c>
      <c r="J264" t="s">
        <v>1402</v>
      </c>
      <c r="K264" t="s">
        <v>74</v>
      </c>
      <c r="L264" t="s">
        <v>74</v>
      </c>
      <c r="M264" t="s">
        <v>78</v>
      </c>
      <c r="N264" t="s">
        <v>79</v>
      </c>
      <c r="O264" t="s">
        <v>74</v>
      </c>
      <c r="P264" t="s">
        <v>74</v>
      </c>
      <c r="Q264" t="s">
        <v>74</v>
      </c>
      <c r="R264" t="s">
        <v>74</v>
      </c>
      <c r="S264" t="s">
        <v>74</v>
      </c>
      <c r="T264" t="s">
        <v>4657</v>
      </c>
      <c r="U264" t="s">
        <v>4658</v>
      </c>
      <c r="V264" t="s">
        <v>4659</v>
      </c>
      <c r="W264" t="s">
        <v>4660</v>
      </c>
      <c r="X264" t="s">
        <v>4661</v>
      </c>
      <c r="Y264" t="s">
        <v>2613</v>
      </c>
      <c r="Z264" t="s">
        <v>2614</v>
      </c>
      <c r="AA264" t="s">
        <v>2332</v>
      </c>
      <c r="AB264" t="s">
        <v>4662</v>
      </c>
      <c r="AC264" t="s">
        <v>4663</v>
      </c>
      <c r="AD264" t="s">
        <v>4664</v>
      </c>
      <c r="AE264" t="s">
        <v>4665</v>
      </c>
      <c r="AF264" t="s">
        <v>74</v>
      </c>
      <c r="AG264">
        <v>37</v>
      </c>
      <c r="AH264">
        <v>6</v>
      </c>
      <c r="AI264">
        <v>6</v>
      </c>
      <c r="AJ264">
        <v>10</v>
      </c>
      <c r="AK264">
        <v>61</v>
      </c>
      <c r="AL264" t="s">
        <v>1415</v>
      </c>
      <c r="AM264" t="s">
        <v>1416</v>
      </c>
      <c r="AN264" t="s">
        <v>1417</v>
      </c>
      <c r="AO264" t="s">
        <v>1418</v>
      </c>
      <c r="AP264" t="s">
        <v>1419</v>
      </c>
      <c r="AQ264" t="s">
        <v>74</v>
      </c>
      <c r="AR264" t="s">
        <v>1420</v>
      </c>
      <c r="AS264" t="s">
        <v>1421</v>
      </c>
      <c r="AT264" t="s">
        <v>3765</v>
      </c>
      <c r="AU264">
        <v>2022</v>
      </c>
      <c r="AV264">
        <v>54</v>
      </c>
      <c r="AW264">
        <v>11</v>
      </c>
      <c r="AX264" t="s">
        <v>74</v>
      </c>
      <c r="AY264" t="s">
        <v>74</v>
      </c>
      <c r="AZ264" t="s">
        <v>74</v>
      </c>
      <c r="BA264" t="s">
        <v>74</v>
      </c>
      <c r="BB264">
        <v>1072</v>
      </c>
      <c r="BC264">
        <v>1083</v>
      </c>
      <c r="BD264" t="s">
        <v>74</v>
      </c>
      <c r="BE264" t="s">
        <v>4666</v>
      </c>
      <c r="BF264" t="str">
        <f>HYPERLINK("http://dx.doi.org/10.1080/24725854.2021.1973156","http://dx.doi.org/10.1080/24725854.2021.1973156")</f>
        <v>http://dx.doi.org/10.1080/24725854.2021.1973156</v>
      </c>
      <c r="BG264" t="s">
        <v>74</v>
      </c>
      <c r="BH264" t="s">
        <v>2089</v>
      </c>
      <c r="BI264">
        <v>12</v>
      </c>
      <c r="BJ264" t="s">
        <v>148</v>
      </c>
      <c r="BK264" t="s">
        <v>149</v>
      </c>
      <c r="BL264" t="s">
        <v>150</v>
      </c>
      <c r="BM264" t="s">
        <v>4667</v>
      </c>
      <c r="BN264" t="s">
        <v>74</v>
      </c>
      <c r="BO264" t="s">
        <v>400</v>
      </c>
      <c r="BP264" t="s">
        <v>74</v>
      </c>
      <c r="BQ264" t="s">
        <v>74</v>
      </c>
      <c r="BR264" t="s">
        <v>104</v>
      </c>
      <c r="BS264" t="s">
        <v>4668</v>
      </c>
      <c r="BT264" t="str">
        <f>HYPERLINK("https%3A%2F%2Fwww.webofscience.com%2Fwos%2Fwoscc%2Ffull-record%2FWOS:000707621800001","View Full Record in Web of Science")</f>
        <v>View Full Record in Web of Science</v>
      </c>
    </row>
    <row r="265" spans="1:72" x14ac:dyDescent="0.25">
      <c r="A265" t="s">
        <v>72</v>
      </c>
      <c r="B265" t="s">
        <v>4669</v>
      </c>
      <c r="C265" t="s">
        <v>74</v>
      </c>
      <c r="D265" t="s">
        <v>74</v>
      </c>
      <c r="E265" t="s">
        <v>74</v>
      </c>
      <c r="F265" t="s">
        <v>4670</v>
      </c>
      <c r="G265" t="s">
        <v>74</v>
      </c>
      <c r="H265" t="s">
        <v>74</v>
      </c>
      <c r="I265" t="s">
        <v>4671</v>
      </c>
      <c r="J265" t="s">
        <v>697</v>
      </c>
      <c r="K265" t="s">
        <v>74</v>
      </c>
      <c r="L265" t="s">
        <v>74</v>
      </c>
      <c r="M265" t="s">
        <v>78</v>
      </c>
      <c r="N265" t="s">
        <v>79</v>
      </c>
      <c r="O265" t="s">
        <v>74</v>
      </c>
      <c r="P265" t="s">
        <v>74</v>
      </c>
      <c r="Q265" t="s">
        <v>74</v>
      </c>
      <c r="R265" t="s">
        <v>74</v>
      </c>
      <c r="S265" t="s">
        <v>74</v>
      </c>
      <c r="T265" t="s">
        <v>4672</v>
      </c>
      <c r="U265" t="s">
        <v>4673</v>
      </c>
      <c r="V265" t="s">
        <v>4674</v>
      </c>
      <c r="W265" t="s">
        <v>4675</v>
      </c>
      <c r="X265" t="s">
        <v>4676</v>
      </c>
      <c r="Y265" t="s">
        <v>4677</v>
      </c>
      <c r="Z265" t="s">
        <v>4678</v>
      </c>
      <c r="AA265" t="s">
        <v>4679</v>
      </c>
      <c r="AB265" t="s">
        <v>4680</v>
      </c>
      <c r="AC265" t="s">
        <v>4681</v>
      </c>
      <c r="AD265" t="s">
        <v>3704</v>
      </c>
      <c r="AE265" t="s">
        <v>4682</v>
      </c>
      <c r="AF265" t="s">
        <v>74</v>
      </c>
      <c r="AG265">
        <v>44</v>
      </c>
      <c r="AH265">
        <v>56</v>
      </c>
      <c r="AI265">
        <v>56</v>
      </c>
      <c r="AJ265">
        <v>5</v>
      </c>
      <c r="AK265">
        <v>31</v>
      </c>
      <c r="AL265" t="s">
        <v>707</v>
      </c>
      <c r="AM265" t="s">
        <v>246</v>
      </c>
      <c r="AN265" t="s">
        <v>708</v>
      </c>
      <c r="AO265" t="s">
        <v>709</v>
      </c>
      <c r="AP265" t="s">
        <v>710</v>
      </c>
      <c r="AQ265" t="s">
        <v>74</v>
      </c>
      <c r="AR265" t="s">
        <v>711</v>
      </c>
      <c r="AS265" t="s">
        <v>712</v>
      </c>
      <c r="AT265" t="s">
        <v>533</v>
      </c>
      <c r="AU265">
        <v>2020</v>
      </c>
      <c r="AV265">
        <v>140</v>
      </c>
      <c r="AW265" t="s">
        <v>74</v>
      </c>
      <c r="AX265" t="s">
        <v>74</v>
      </c>
      <c r="AY265" t="s">
        <v>74</v>
      </c>
      <c r="AZ265" t="s">
        <v>74</v>
      </c>
      <c r="BA265" t="s">
        <v>74</v>
      </c>
      <c r="BB265" t="s">
        <v>74</v>
      </c>
      <c r="BC265" t="s">
        <v>74</v>
      </c>
      <c r="BD265">
        <v>106273</v>
      </c>
      <c r="BE265" t="s">
        <v>4683</v>
      </c>
      <c r="BF265" t="str">
        <f>HYPERLINK("http://dx.doi.org/10.1016/j.cie.2020.106273","http://dx.doi.org/10.1016/j.cie.2020.106273")</f>
        <v>http://dx.doi.org/10.1016/j.cie.2020.106273</v>
      </c>
      <c r="BG265" t="s">
        <v>74</v>
      </c>
      <c r="BH265" t="s">
        <v>74</v>
      </c>
      <c r="BI265">
        <v>18</v>
      </c>
      <c r="BJ265" t="s">
        <v>715</v>
      </c>
      <c r="BK265" t="s">
        <v>149</v>
      </c>
      <c r="BL265" t="s">
        <v>716</v>
      </c>
      <c r="BM265" t="s">
        <v>4684</v>
      </c>
      <c r="BN265" t="s">
        <v>74</v>
      </c>
      <c r="BO265" t="s">
        <v>74</v>
      </c>
      <c r="BP265" t="s">
        <v>74</v>
      </c>
      <c r="BQ265" t="s">
        <v>74</v>
      </c>
      <c r="BR265" t="s">
        <v>104</v>
      </c>
      <c r="BS265" t="s">
        <v>4685</v>
      </c>
      <c r="BT265" t="str">
        <f>HYPERLINK("https%3A%2F%2Fwww.webofscience.com%2Fwos%2Fwoscc%2Ffull-record%2FWOS:000515417800036","View Full Record in Web of Science")</f>
        <v>View Full Record in Web of Science</v>
      </c>
    </row>
    <row r="266" spans="1:72" x14ac:dyDescent="0.25">
      <c r="A266" t="s">
        <v>72</v>
      </c>
      <c r="B266" t="s">
        <v>4686</v>
      </c>
      <c r="C266" t="s">
        <v>74</v>
      </c>
      <c r="D266" t="s">
        <v>74</v>
      </c>
      <c r="E266" t="s">
        <v>74</v>
      </c>
      <c r="F266" t="s">
        <v>4687</v>
      </c>
      <c r="G266" t="s">
        <v>74</v>
      </c>
      <c r="H266" t="s">
        <v>74</v>
      </c>
      <c r="I266" t="s">
        <v>4688</v>
      </c>
      <c r="J266" t="s">
        <v>128</v>
      </c>
      <c r="K266" t="s">
        <v>74</v>
      </c>
      <c r="L266" t="s">
        <v>74</v>
      </c>
      <c r="M266" t="s">
        <v>78</v>
      </c>
      <c r="N266" t="s">
        <v>79</v>
      </c>
      <c r="O266" t="s">
        <v>74</v>
      </c>
      <c r="P266" t="s">
        <v>74</v>
      </c>
      <c r="Q266" t="s">
        <v>74</v>
      </c>
      <c r="R266" t="s">
        <v>74</v>
      </c>
      <c r="S266" t="s">
        <v>74</v>
      </c>
      <c r="T266" t="s">
        <v>4689</v>
      </c>
      <c r="U266" t="s">
        <v>4690</v>
      </c>
      <c r="V266" t="s">
        <v>4691</v>
      </c>
      <c r="W266" t="s">
        <v>4692</v>
      </c>
      <c r="X266" t="s">
        <v>4693</v>
      </c>
      <c r="Y266" t="s">
        <v>4694</v>
      </c>
      <c r="Z266" t="s">
        <v>4695</v>
      </c>
      <c r="AA266" t="s">
        <v>74</v>
      </c>
      <c r="AB266" t="s">
        <v>4696</v>
      </c>
      <c r="AC266" t="s">
        <v>4697</v>
      </c>
      <c r="AD266" t="s">
        <v>4698</v>
      </c>
      <c r="AE266" t="s">
        <v>4699</v>
      </c>
      <c r="AF266" t="s">
        <v>74</v>
      </c>
      <c r="AG266">
        <v>50</v>
      </c>
      <c r="AH266">
        <v>6</v>
      </c>
      <c r="AI266">
        <v>6</v>
      </c>
      <c r="AJ266">
        <v>1</v>
      </c>
      <c r="AK266">
        <v>28</v>
      </c>
      <c r="AL266" t="s">
        <v>138</v>
      </c>
      <c r="AM266" t="s">
        <v>246</v>
      </c>
      <c r="AN266" t="s">
        <v>247</v>
      </c>
      <c r="AO266" t="s">
        <v>141</v>
      </c>
      <c r="AP266" t="s">
        <v>142</v>
      </c>
      <c r="AQ266" t="s">
        <v>74</v>
      </c>
      <c r="AR266" t="s">
        <v>143</v>
      </c>
      <c r="AS266" t="s">
        <v>144</v>
      </c>
      <c r="AT266" t="s">
        <v>491</v>
      </c>
      <c r="AU266">
        <v>2019</v>
      </c>
      <c r="AV266">
        <v>191</v>
      </c>
      <c r="AW266" t="s">
        <v>74</v>
      </c>
      <c r="AX266" t="s">
        <v>74</v>
      </c>
      <c r="AY266" t="s">
        <v>74</v>
      </c>
      <c r="AZ266" t="s">
        <v>74</v>
      </c>
      <c r="BA266" t="s">
        <v>74</v>
      </c>
      <c r="BB266" t="s">
        <v>74</v>
      </c>
      <c r="BC266" t="s">
        <v>74</v>
      </c>
      <c r="BD266">
        <v>106576</v>
      </c>
      <c r="BE266" t="s">
        <v>4700</v>
      </c>
      <c r="BF266" t="str">
        <f>HYPERLINK("http://dx.doi.org/10.1016/j.ress.2019.106576","http://dx.doi.org/10.1016/j.ress.2019.106576")</f>
        <v>http://dx.doi.org/10.1016/j.ress.2019.106576</v>
      </c>
      <c r="BG266" t="s">
        <v>74</v>
      </c>
      <c r="BH266" t="s">
        <v>74</v>
      </c>
      <c r="BI266">
        <v>12</v>
      </c>
      <c r="BJ266" t="s">
        <v>148</v>
      </c>
      <c r="BK266" t="s">
        <v>149</v>
      </c>
      <c r="BL266" t="s">
        <v>150</v>
      </c>
      <c r="BM266" t="s">
        <v>3322</v>
      </c>
      <c r="BN266" t="s">
        <v>74</v>
      </c>
      <c r="BO266" t="s">
        <v>74</v>
      </c>
      <c r="BP266" t="s">
        <v>74</v>
      </c>
      <c r="BQ266" t="s">
        <v>74</v>
      </c>
      <c r="BR266" t="s">
        <v>104</v>
      </c>
      <c r="BS266" t="s">
        <v>4701</v>
      </c>
      <c r="BT266" t="str">
        <f>HYPERLINK("https%3A%2F%2Fwww.webofscience.com%2Fwos%2Fwoscc%2Ffull-record%2FWOS:000491685000040","View Full Record in Web of Science")</f>
        <v>View Full Record in Web of Science</v>
      </c>
    </row>
    <row r="267" spans="1:72" x14ac:dyDescent="0.25">
      <c r="A267" t="s">
        <v>72</v>
      </c>
      <c r="B267" t="s">
        <v>4702</v>
      </c>
      <c r="C267" t="s">
        <v>74</v>
      </c>
      <c r="D267" t="s">
        <v>74</v>
      </c>
      <c r="E267" t="s">
        <v>74</v>
      </c>
      <c r="F267" t="s">
        <v>4703</v>
      </c>
      <c r="G267" t="s">
        <v>74</v>
      </c>
      <c r="H267" t="s">
        <v>74</v>
      </c>
      <c r="I267" t="s">
        <v>4704</v>
      </c>
      <c r="J267" t="s">
        <v>697</v>
      </c>
      <c r="K267" t="s">
        <v>74</v>
      </c>
      <c r="L267" t="s">
        <v>74</v>
      </c>
      <c r="M267" t="s">
        <v>78</v>
      </c>
      <c r="N267" t="s">
        <v>1777</v>
      </c>
      <c r="O267" t="s">
        <v>1778</v>
      </c>
      <c r="P267" t="s">
        <v>1779</v>
      </c>
      <c r="Q267" t="s">
        <v>1780</v>
      </c>
      <c r="R267" t="s">
        <v>74</v>
      </c>
      <c r="S267" t="s">
        <v>74</v>
      </c>
      <c r="T267" t="s">
        <v>4705</v>
      </c>
      <c r="U267" t="s">
        <v>4706</v>
      </c>
      <c r="V267" t="s">
        <v>4707</v>
      </c>
      <c r="W267" t="s">
        <v>4708</v>
      </c>
      <c r="X267" t="s">
        <v>4709</v>
      </c>
      <c r="Y267" t="s">
        <v>4710</v>
      </c>
      <c r="Z267" t="s">
        <v>4711</v>
      </c>
      <c r="AA267" t="s">
        <v>4712</v>
      </c>
      <c r="AB267" t="s">
        <v>4713</v>
      </c>
      <c r="AC267" t="s">
        <v>74</v>
      </c>
      <c r="AD267" t="s">
        <v>74</v>
      </c>
      <c r="AE267" t="s">
        <v>74</v>
      </c>
      <c r="AF267" t="s">
        <v>74</v>
      </c>
      <c r="AG267">
        <v>41</v>
      </c>
      <c r="AH267">
        <v>26</v>
      </c>
      <c r="AI267">
        <v>27</v>
      </c>
      <c r="AJ267">
        <v>9</v>
      </c>
      <c r="AK267">
        <v>35</v>
      </c>
      <c r="AL267" t="s">
        <v>707</v>
      </c>
      <c r="AM267" t="s">
        <v>246</v>
      </c>
      <c r="AN267" t="s">
        <v>708</v>
      </c>
      <c r="AO267" t="s">
        <v>709</v>
      </c>
      <c r="AP267" t="s">
        <v>710</v>
      </c>
      <c r="AQ267" t="s">
        <v>74</v>
      </c>
      <c r="AR267" t="s">
        <v>711</v>
      </c>
      <c r="AS267" t="s">
        <v>712</v>
      </c>
      <c r="AT267" t="s">
        <v>248</v>
      </c>
      <c r="AU267">
        <v>2021</v>
      </c>
      <c r="AV267">
        <v>157</v>
      </c>
      <c r="AW267" t="s">
        <v>74</v>
      </c>
      <c r="AX267" t="s">
        <v>74</v>
      </c>
      <c r="AY267" t="s">
        <v>74</v>
      </c>
      <c r="AZ267" t="s">
        <v>74</v>
      </c>
      <c r="BA267" t="s">
        <v>74</v>
      </c>
      <c r="BB267" t="s">
        <v>74</v>
      </c>
      <c r="BC267" t="s">
        <v>74</v>
      </c>
      <c r="BD267">
        <v>107304</v>
      </c>
      <c r="BE267" t="s">
        <v>4714</v>
      </c>
      <c r="BF267" t="str">
        <f>HYPERLINK("http://dx.doi.org/10.1016/j.cie.2021.107304","http://dx.doi.org/10.1016/j.cie.2021.107304")</f>
        <v>http://dx.doi.org/10.1016/j.cie.2021.107304</v>
      </c>
      <c r="BG267" t="s">
        <v>74</v>
      </c>
      <c r="BH267" t="s">
        <v>714</v>
      </c>
      <c r="BI267">
        <v>15</v>
      </c>
      <c r="BJ267" t="s">
        <v>715</v>
      </c>
      <c r="BK267" t="s">
        <v>1792</v>
      </c>
      <c r="BL267" t="s">
        <v>716</v>
      </c>
      <c r="BM267" t="s">
        <v>1793</v>
      </c>
      <c r="BN267" t="s">
        <v>74</v>
      </c>
      <c r="BO267" t="s">
        <v>74</v>
      </c>
      <c r="BP267" t="s">
        <v>74</v>
      </c>
      <c r="BQ267" t="s">
        <v>74</v>
      </c>
      <c r="BR267" t="s">
        <v>104</v>
      </c>
      <c r="BS267" t="s">
        <v>4715</v>
      </c>
      <c r="BT267" t="str">
        <f>HYPERLINK("https%3A%2F%2Fwww.webofscience.com%2Fwos%2Fwoscc%2Ffull-record%2FWOS:000659146800002","View Full Record in Web of Science")</f>
        <v>View Full Record in Web of Science</v>
      </c>
    </row>
    <row r="268" spans="1:72" x14ac:dyDescent="0.25">
      <c r="A268" t="s">
        <v>72</v>
      </c>
      <c r="B268" t="s">
        <v>4716</v>
      </c>
      <c r="C268" t="s">
        <v>74</v>
      </c>
      <c r="D268" t="s">
        <v>74</v>
      </c>
      <c r="E268" t="s">
        <v>74</v>
      </c>
      <c r="F268" t="s">
        <v>4717</v>
      </c>
      <c r="G268" t="s">
        <v>74</v>
      </c>
      <c r="H268" t="s">
        <v>74</v>
      </c>
      <c r="I268" t="s">
        <v>4718</v>
      </c>
      <c r="J268" t="s">
        <v>542</v>
      </c>
      <c r="K268" t="s">
        <v>74</v>
      </c>
      <c r="L268" t="s">
        <v>74</v>
      </c>
      <c r="M268" t="s">
        <v>78</v>
      </c>
      <c r="N268" t="s">
        <v>79</v>
      </c>
      <c r="O268" t="s">
        <v>74</v>
      </c>
      <c r="P268" t="s">
        <v>74</v>
      </c>
      <c r="Q268" t="s">
        <v>74</v>
      </c>
      <c r="R268" t="s">
        <v>74</v>
      </c>
      <c r="S268" t="s">
        <v>74</v>
      </c>
      <c r="T268" t="s">
        <v>4719</v>
      </c>
      <c r="U268" t="s">
        <v>4720</v>
      </c>
      <c r="V268" t="s">
        <v>4721</v>
      </c>
      <c r="W268" t="s">
        <v>4722</v>
      </c>
      <c r="X268" t="s">
        <v>3361</v>
      </c>
      <c r="Y268" t="s">
        <v>4723</v>
      </c>
      <c r="Z268" t="s">
        <v>3363</v>
      </c>
      <c r="AA268" t="s">
        <v>3364</v>
      </c>
      <c r="AB268" t="s">
        <v>1299</v>
      </c>
      <c r="AC268" t="s">
        <v>3365</v>
      </c>
      <c r="AD268" t="s">
        <v>482</v>
      </c>
      <c r="AE268" t="s">
        <v>4724</v>
      </c>
      <c r="AF268" t="s">
        <v>74</v>
      </c>
      <c r="AG268">
        <v>43</v>
      </c>
      <c r="AH268">
        <v>42</v>
      </c>
      <c r="AI268">
        <v>43</v>
      </c>
      <c r="AJ268">
        <v>4</v>
      </c>
      <c r="AK268">
        <v>35</v>
      </c>
      <c r="AL268" t="s">
        <v>552</v>
      </c>
      <c r="AM268" t="s">
        <v>553</v>
      </c>
      <c r="AN268" t="s">
        <v>554</v>
      </c>
      <c r="AO268" t="s">
        <v>555</v>
      </c>
      <c r="AP268" t="s">
        <v>556</v>
      </c>
      <c r="AQ268" t="s">
        <v>74</v>
      </c>
      <c r="AR268" t="s">
        <v>557</v>
      </c>
      <c r="AS268" t="s">
        <v>558</v>
      </c>
      <c r="AT268" t="s">
        <v>1867</v>
      </c>
      <c r="AU268">
        <v>2019</v>
      </c>
      <c r="AV268">
        <v>233</v>
      </c>
      <c r="AW268">
        <v>2</v>
      </c>
      <c r="AX268" t="s">
        <v>74</v>
      </c>
      <c r="AY268" t="s">
        <v>74</v>
      </c>
      <c r="AZ268" t="s">
        <v>74</v>
      </c>
      <c r="BA268" t="s">
        <v>74</v>
      </c>
      <c r="BB268">
        <v>200</v>
      </c>
      <c r="BC268">
        <v>210</v>
      </c>
      <c r="BD268" t="s">
        <v>74</v>
      </c>
      <c r="BE268" t="s">
        <v>4725</v>
      </c>
      <c r="BF268" t="str">
        <f>HYPERLINK("http://dx.doi.org/10.1177/1748006X18768713","http://dx.doi.org/10.1177/1748006X18768713")</f>
        <v>http://dx.doi.org/10.1177/1748006X18768713</v>
      </c>
      <c r="BG268" t="s">
        <v>74</v>
      </c>
      <c r="BH268" t="s">
        <v>74</v>
      </c>
      <c r="BI268">
        <v>11</v>
      </c>
      <c r="BJ268" t="s">
        <v>494</v>
      </c>
      <c r="BK268" t="s">
        <v>149</v>
      </c>
      <c r="BL268" t="s">
        <v>150</v>
      </c>
      <c r="BM268" t="s">
        <v>4726</v>
      </c>
      <c r="BN268" t="s">
        <v>74</v>
      </c>
      <c r="BO268" t="s">
        <v>74</v>
      </c>
      <c r="BP268" t="s">
        <v>74</v>
      </c>
      <c r="BQ268" t="s">
        <v>74</v>
      </c>
      <c r="BR268" t="s">
        <v>104</v>
      </c>
      <c r="BS268" t="s">
        <v>4727</v>
      </c>
      <c r="BT268" t="str">
        <f>HYPERLINK("https%3A%2F%2Fwww.webofscience.com%2Fwos%2Fwoscc%2Ffull-record%2FWOS:000463036500008","View Full Record in Web of Science")</f>
        <v>View Full Record in Web of Science</v>
      </c>
    </row>
    <row r="269" spans="1:72" x14ac:dyDescent="0.25">
      <c r="A269" t="s">
        <v>72</v>
      </c>
      <c r="B269" t="s">
        <v>4728</v>
      </c>
      <c r="C269" t="s">
        <v>74</v>
      </c>
      <c r="D269" t="s">
        <v>74</v>
      </c>
      <c r="E269" t="s">
        <v>74</v>
      </c>
      <c r="F269" t="s">
        <v>4729</v>
      </c>
      <c r="G269" t="s">
        <v>74</v>
      </c>
      <c r="H269" t="s">
        <v>74</v>
      </c>
      <c r="I269" t="s">
        <v>4730</v>
      </c>
      <c r="J269" t="s">
        <v>1814</v>
      </c>
      <c r="K269" t="s">
        <v>74</v>
      </c>
      <c r="L269" t="s">
        <v>74</v>
      </c>
      <c r="M269" t="s">
        <v>78</v>
      </c>
      <c r="N269" t="s">
        <v>79</v>
      </c>
      <c r="O269" t="s">
        <v>74</v>
      </c>
      <c r="P269" t="s">
        <v>74</v>
      </c>
      <c r="Q269" t="s">
        <v>74</v>
      </c>
      <c r="R269" t="s">
        <v>74</v>
      </c>
      <c r="S269" t="s">
        <v>74</v>
      </c>
      <c r="T269" t="s">
        <v>4731</v>
      </c>
      <c r="U269" t="s">
        <v>4732</v>
      </c>
      <c r="V269" t="s">
        <v>4733</v>
      </c>
      <c r="W269" t="s">
        <v>4734</v>
      </c>
      <c r="X269" t="s">
        <v>1447</v>
      </c>
      <c r="Y269" t="s">
        <v>4735</v>
      </c>
      <c r="Z269" t="s">
        <v>4736</v>
      </c>
      <c r="AA269" t="s">
        <v>74</v>
      </c>
      <c r="AB269" t="s">
        <v>1450</v>
      </c>
      <c r="AC269" t="s">
        <v>4737</v>
      </c>
      <c r="AD269" t="s">
        <v>4738</v>
      </c>
      <c r="AE269" t="s">
        <v>4739</v>
      </c>
      <c r="AF269" t="s">
        <v>74</v>
      </c>
      <c r="AG269">
        <v>50</v>
      </c>
      <c r="AH269">
        <v>0</v>
      </c>
      <c r="AI269">
        <v>0</v>
      </c>
      <c r="AJ269">
        <v>13</v>
      </c>
      <c r="AK269">
        <v>13</v>
      </c>
      <c r="AL269" t="s">
        <v>509</v>
      </c>
      <c r="AM269" t="s">
        <v>510</v>
      </c>
      <c r="AN269" t="s">
        <v>511</v>
      </c>
      <c r="AO269" t="s">
        <v>1824</v>
      </c>
      <c r="AP269" t="s">
        <v>1825</v>
      </c>
      <c r="AQ269" t="s">
        <v>74</v>
      </c>
      <c r="AR269" t="s">
        <v>1826</v>
      </c>
      <c r="AS269" t="s">
        <v>1827</v>
      </c>
      <c r="AT269" t="s">
        <v>533</v>
      </c>
      <c r="AU269">
        <v>2025</v>
      </c>
      <c r="AV269">
        <v>280</v>
      </c>
      <c r="AW269" t="s">
        <v>74</v>
      </c>
      <c r="AX269" t="s">
        <v>74</v>
      </c>
      <c r="AY269" t="s">
        <v>74</v>
      </c>
      <c r="AZ269" t="s">
        <v>74</v>
      </c>
      <c r="BA269" t="s">
        <v>74</v>
      </c>
      <c r="BB269" t="s">
        <v>74</v>
      </c>
      <c r="BC269" t="s">
        <v>74</v>
      </c>
      <c r="BD269">
        <v>109489</v>
      </c>
      <c r="BE269" t="s">
        <v>4740</v>
      </c>
      <c r="BF269" t="str">
        <f>HYPERLINK("http://dx.doi.org/10.1016/j.ijpe.2024.109489","http://dx.doi.org/10.1016/j.ijpe.2024.109489")</f>
        <v>http://dx.doi.org/10.1016/j.ijpe.2024.109489</v>
      </c>
      <c r="BG269" t="s">
        <v>74</v>
      </c>
      <c r="BH269" t="s">
        <v>1869</v>
      </c>
      <c r="BI269">
        <v>17</v>
      </c>
      <c r="BJ269" t="s">
        <v>321</v>
      </c>
      <c r="BK269" t="s">
        <v>149</v>
      </c>
      <c r="BL269" t="s">
        <v>150</v>
      </c>
      <c r="BM269" t="s">
        <v>4741</v>
      </c>
      <c r="BN269" t="s">
        <v>74</v>
      </c>
      <c r="BO269" t="s">
        <v>74</v>
      </c>
      <c r="BP269" t="s">
        <v>74</v>
      </c>
      <c r="BQ269" t="s">
        <v>74</v>
      </c>
      <c r="BR269" t="s">
        <v>104</v>
      </c>
      <c r="BS269" t="s">
        <v>4742</v>
      </c>
      <c r="BT269" t="str">
        <f>HYPERLINK("https%3A%2F%2Fwww.webofscience.com%2Fwos%2Fwoscc%2Ffull-record%2FWOS:001386007600001","View Full Record in Web of Science")</f>
        <v>View Full Record in Web of Science</v>
      </c>
    </row>
    <row r="270" spans="1:72" x14ac:dyDescent="0.25">
      <c r="A270" t="s">
        <v>72</v>
      </c>
      <c r="B270" t="s">
        <v>4743</v>
      </c>
      <c r="C270" t="s">
        <v>74</v>
      </c>
      <c r="D270" t="s">
        <v>74</v>
      </c>
      <c r="E270" t="s">
        <v>74</v>
      </c>
      <c r="F270" t="s">
        <v>4744</v>
      </c>
      <c r="G270" t="s">
        <v>74</v>
      </c>
      <c r="H270" t="s">
        <v>74</v>
      </c>
      <c r="I270" t="s">
        <v>4745</v>
      </c>
      <c r="J270" t="s">
        <v>128</v>
      </c>
      <c r="K270" t="s">
        <v>74</v>
      </c>
      <c r="L270" t="s">
        <v>74</v>
      </c>
      <c r="M270" t="s">
        <v>78</v>
      </c>
      <c r="N270" t="s">
        <v>79</v>
      </c>
      <c r="O270" t="s">
        <v>74</v>
      </c>
      <c r="P270" t="s">
        <v>74</v>
      </c>
      <c r="Q270" t="s">
        <v>74</v>
      </c>
      <c r="R270" t="s">
        <v>74</v>
      </c>
      <c r="S270" t="s">
        <v>74</v>
      </c>
      <c r="T270" t="s">
        <v>4746</v>
      </c>
      <c r="U270" t="s">
        <v>4747</v>
      </c>
      <c r="V270" t="s">
        <v>4748</v>
      </c>
      <c r="W270" t="s">
        <v>4749</v>
      </c>
      <c r="X270" t="s">
        <v>1344</v>
      </c>
      <c r="Y270" t="s">
        <v>4750</v>
      </c>
      <c r="Z270" t="s">
        <v>4751</v>
      </c>
      <c r="AA270" t="s">
        <v>4649</v>
      </c>
      <c r="AB270" t="s">
        <v>4752</v>
      </c>
      <c r="AC270" t="s">
        <v>74</v>
      </c>
      <c r="AD270" t="s">
        <v>74</v>
      </c>
      <c r="AE270" t="s">
        <v>74</v>
      </c>
      <c r="AF270" t="s">
        <v>74</v>
      </c>
      <c r="AG270">
        <v>46</v>
      </c>
      <c r="AH270">
        <v>25</v>
      </c>
      <c r="AI270">
        <v>26</v>
      </c>
      <c r="AJ270">
        <v>10</v>
      </c>
      <c r="AK270">
        <v>30</v>
      </c>
      <c r="AL270" t="s">
        <v>138</v>
      </c>
      <c r="AM270" t="s">
        <v>246</v>
      </c>
      <c r="AN270" t="s">
        <v>247</v>
      </c>
      <c r="AO270" t="s">
        <v>141</v>
      </c>
      <c r="AP270" t="s">
        <v>142</v>
      </c>
      <c r="AQ270" t="s">
        <v>74</v>
      </c>
      <c r="AR270" t="s">
        <v>143</v>
      </c>
      <c r="AS270" t="s">
        <v>144</v>
      </c>
      <c r="AT270" t="s">
        <v>491</v>
      </c>
      <c r="AU270">
        <v>2021</v>
      </c>
      <c r="AV270">
        <v>215</v>
      </c>
      <c r="AW270" t="s">
        <v>74</v>
      </c>
      <c r="AX270" t="s">
        <v>74</v>
      </c>
      <c r="AY270" t="s">
        <v>74</v>
      </c>
      <c r="AZ270" t="s">
        <v>74</v>
      </c>
      <c r="BA270" t="s">
        <v>74</v>
      </c>
      <c r="BB270" t="s">
        <v>74</v>
      </c>
      <c r="BC270" t="s">
        <v>74</v>
      </c>
      <c r="BD270">
        <v>107872</v>
      </c>
      <c r="BE270" t="s">
        <v>4753</v>
      </c>
      <c r="BF270" t="str">
        <f>HYPERLINK("http://dx.doi.org/10.1016/j.ress.2021.107872","http://dx.doi.org/10.1016/j.ress.2021.107872")</f>
        <v>http://dx.doi.org/10.1016/j.ress.2021.107872</v>
      </c>
      <c r="BG270" t="s">
        <v>74</v>
      </c>
      <c r="BH270" t="s">
        <v>1059</v>
      </c>
      <c r="BI270">
        <v>17</v>
      </c>
      <c r="BJ270" t="s">
        <v>148</v>
      </c>
      <c r="BK270" t="s">
        <v>149</v>
      </c>
      <c r="BL270" t="s">
        <v>150</v>
      </c>
      <c r="BM270" t="s">
        <v>2260</v>
      </c>
      <c r="BN270" t="s">
        <v>74</v>
      </c>
      <c r="BO270" t="s">
        <v>1044</v>
      </c>
      <c r="BP270" t="s">
        <v>74</v>
      </c>
      <c r="BQ270" t="s">
        <v>74</v>
      </c>
      <c r="BR270" t="s">
        <v>104</v>
      </c>
      <c r="BS270" t="s">
        <v>4754</v>
      </c>
      <c r="BT270" t="str">
        <f>HYPERLINK("https%3A%2F%2Fwww.webofscience.com%2Fwos%2Fwoscc%2Ffull-record%2FWOS:000690283800059","View Full Record in Web of Science")</f>
        <v>View Full Record in Web of Science</v>
      </c>
    </row>
    <row r="271" spans="1:72" x14ac:dyDescent="0.25">
      <c r="A271" t="s">
        <v>72</v>
      </c>
      <c r="B271" t="s">
        <v>4755</v>
      </c>
      <c r="C271" t="s">
        <v>74</v>
      </c>
      <c r="D271" t="s">
        <v>74</v>
      </c>
      <c r="E271" t="s">
        <v>74</v>
      </c>
      <c r="F271" t="s">
        <v>4756</v>
      </c>
      <c r="G271" t="s">
        <v>74</v>
      </c>
      <c r="H271" t="s">
        <v>74</v>
      </c>
      <c r="I271" t="s">
        <v>4757</v>
      </c>
      <c r="J271" t="s">
        <v>4758</v>
      </c>
      <c r="K271" t="s">
        <v>74</v>
      </c>
      <c r="L271" t="s">
        <v>74</v>
      </c>
      <c r="M271" t="s">
        <v>78</v>
      </c>
      <c r="N271" t="s">
        <v>79</v>
      </c>
      <c r="O271" t="s">
        <v>74</v>
      </c>
      <c r="P271" t="s">
        <v>74</v>
      </c>
      <c r="Q271" t="s">
        <v>74</v>
      </c>
      <c r="R271" t="s">
        <v>74</v>
      </c>
      <c r="S271" t="s">
        <v>74</v>
      </c>
      <c r="T271" t="s">
        <v>4759</v>
      </c>
      <c r="U271" t="s">
        <v>4760</v>
      </c>
      <c r="V271" t="s">
        <v>4761</v>
      </c>
      <c r="W271" t="s">
        <v>4762</v>
      </c>
      <c r="X271" t="s">
        <v>4763</v>
      </c>
      <c r="Y271" t="s">
        <v>4764</v>
      </c>
      <c r="Z271" t="s">
        <v>4765</v>
      </c>
      <c r="AA271" t="s">
        <v>4766</v>
      </c>
      <c r="AB271" t="s">
        <v>4767</v>
      </c>
      <c r="AC271" t="s">
        <v>4768</v>
      </c>
      <c r="AD271" t="s">
        <v>4769</v>
      </c>
      <c r="AE271" t="s">
        <v>4770</v>
      </c>
      <c r="AF271" t="s">
        <v>74</v>
      </c>
      <c r="AG271">
        <v>49</v>
      </c>
      <c r="AH271">
        <v>0</v>
      </c>
      <c r="AI271">
        <v>0</v>
      </c>
      <c r="AJ271">
        <v>2</v>
      </c>
      <c r="AK271">
        <v>17</v>
      </c>
      <c r="AL271" t="s">
        <v>4771</v>
      </c>
      <c r="AM271" t="s">
        <v>4772</v>
      </c>
      <c r="AN271" t="s">
        <v>4773</v>
      </c>
      <c r="AO271" t="s">
        <v>74</v>
      </c>
      <c r="AP271" t="s">
        <v>4774</v>
      </c>
      <c r="AQ271" t="s">
        <v>74</v>
      </c>
      <c r="AR271" t="s">
        <v>4758</v>
      </c>
      <c r="AS271" t="s">
        <v>4775</v>
      </c>
      <c r="AT271" t="s">
        <v>275</v>
      </c>
      <c r="AU271">
        <v>2020</v>
      </c>
      <c r="AV271">
        <v>12</v>
      </c>
      <c r="AW271">
        <v>3</v>
      </c>
      <c r="AX271" t="s">
        <v>74</v>
      </c>
      <c r="AY271" t="s">
        <v>74</v>
      </c>
      <c r="AZ271" t="s">
        <v>74</v>
      </c>
      <c r="BA271" t="s">
        <v>74</v>
      </c>
      <c r="BB271" t="s">
        <v>74</v>
      </c>
      <c r="BC271" t="s">
        <v>74</v>
      </c>
      <c r="BD271">
        <v>375</v>
      </c>
      <c r="BE271" t="s">
        <v>4776</v>
      </c>
      <c r="BF271" t="str">
        <f>HYPERLINK("http://dx.doi.org/10.3390/sym12030375","http://dx.doi.org/10.3390/sym12030375")</f>
        <v>http://dx.doi.org/10.3390/sym12030375</v>
      </c>
      <c r="BG271" t="s">
        <v>74</v>
      </c>
      <c r="BH271" t="s">
        <v>74</v>
      </c>
      <c r="BI271">
        <v>14</v>
      </c>
      <c r="BJ271" t="s">
        <v>517</v>
      </c>
      <c r="BK271" t="s">
        <v>149</v>
      </c>
      <c r="BL271" t="s">
        <v>518</v>
      </c>
      <c r="BM271" t="s">
        <v>4777</v>
      </c>
      <c r="BN271" t="s">
        <v>74</v>
      </c>
      <c r="BO271" t="s">
        <v>208</v>
      </c>
      <c r="BP271" t="s">
        <v>74</v>
      </c>
      <c r="BQ271" t="s">
        <v>74</v>
      </c>
      <c r="BR271" t="s">
        <v>104</v>
      </c>
      <c r="BS271" t="s">
        <v>4778</v>
      </c>
      <c r="BT271" t="str">
        <f>HYPERLINK("https%3A%2F%2Fwww.webofscience.com%2Fwos%2Fwoscc%2Ffull-record%2FWOS:000525824300050","View Full Record in Web of Science")</f>
        <v>View Full Record in Web of Science</v>
      </c>
    </row>
    <row r="272" spans="1:72" x14ac:dyDescent="0.25">
      <c r="A272" t="s">
        <v>72</v>
      </c>
      <c r="B272" t="s">
        <v>4779</v>
      </c>
      <c r="C272" t="s">
        <v>74</v>
      </c>
      <c r="D272" t="s">
        <v>74</v>
      </c>
      <c r="E272" t="s">
        <v>74</v>
      </c>
      <c r="F272" t="s">
        <v>4780</v>
      </c>
      <c r="G272" t="s">
        <v>74</v>
      </c>
      <c r="H272" t="s">
        <v>74</v>
      </c>
      <c r="I272" t="s">
        <v>4781</v>
      </c>
      <c r="J272" t="s">
        <v>128</v>
      </c>
      <c r="K272" t="s">
        <v>74</v>
      </c>
      <c r="L272" t="s">
        <v>74</v>
      </c>
      <c r="M272" t="s">
        <v>78</v>
      </c>
      <c r="N272" t="s">
        <v>79</v>
      </c>
      <c r="O272" t="s">
        <v>74</v>
      </c>
      <c r="P272" t="s">
        <v>74</v>
      </c>
      <c r="Q272" t="s">
        <v>74</v>
      </c>
      <c r="R272" t="s">
        <v>74</v>
      </c>
      <c r="S272" t="s">
        <v>74</v>
      </c>
      <c r="T272" t="s">
        <v>4782</v>
      </c>
      <c r="U272" t="s">
        <v>74</v>
      </c>
      <c r="V272" t="s">
        <v>4783</v>
      </c>
      <c r="W272" t="s">
        <v>4784</v>
      </c>
      <c r="X272" t="s">
        <v>4785</v>
      </c>
      <c r="Y272" t="s">
        <v>4094</v>
      </c>
      <c r="Z272" t="s">
        <v>806</v>
      </c>
      <c r="AA272" t="s">
        <v>1071</v>
      </c>
      <c r="AB272" t="s">
        <v>74</v>
      </c>
      <c r="AC272" t="s">
        <v>4786</v>
      </c>
      <c r="AD272" t="s">
        <v>4787</v>
      </c>
      <c r="AE272" t="s">
        <v>4788</v>
      </c>
      <c r="AF272" t="s">
        <v>74</v>
      </c>
      <c r="AG272">
        <v>37</v>
      </c>
      <c r="AH272">
        <v>26</v>
      </c>
      <c r="AI272">
        <v>26</v>
      </c>
      <c r="AJ272">
        <v>19</v>
      </c>
      <c r="AK272">
        <v>19</v>
      </c>
      <c r="AL272" t="s">
        <v>138</v>
      </c>
      <c r="AM272" t="s">
        <v>139</v>
      </c>
      <c r="AN272" t="s">
        <v>140</v>
      </c>
      <c r="AO272" t="s">
        <v>141</v>
      </c>
      <c r="AP272" t="s">
        <v>142</v>
      </c>
      <c r="AQ272" t="s">
        <v>74</v>
      </c>
      <c r="AR272" t="s">
        <v>143</v>
      </c>
      <c r="AS272" t="s">
        <v>144</v>
      </c>
      <c r="AT272" t="s">
        <v>275</v>
      </c>
      <c r="AU272">
        <v>2025</v>
      </c>
      <c r="AV272">
        <v>255</v>
      </c>
      <c r="AW272" t="s">
        <v>74</v>
      </c>
      <c r="AX272" t="s">
        <v>74</v>
      </c>
      <c r="AY272" t="s">
        <v>74</v>
      </c>
      <c r="AZ272" t="s">
        <v>74</v>
      </c>
      <c r="BA272" t="s">
        <v>74</v>
      </c>
      <c r="BB272" t="s">
        <v>74</v>
      </c>
      <c r="BC272" t="s">
        <v>74</v>
      </c>
      <c r="BD272">
        <v>110673</v>
      </c>
      <c r="BE272" t="s">
        <v>4789</v>
      </c>
      <c r="BF272" t="str">
        <f>HYPERLINK("http://dx.doi.org/10.1016/j.ress.2024.110673","http://dx.doi.org/10.1016/j.ress.2024.110673")</f>
        <v>http://dx.doi.org/10.1016/j.ress.2024.110673</v>
      </c>
      <c r="BG272" t="s">
        <v>74</v>
      </c>
      <c r="BH272" t="s">
        <v>1174</v>
      </c>
      <c r="BI272">
        <v>16</v>
      </c>
      <c r="BJ272" t="s">
        <v>148</v>
      </c>
      <c r="BK272" t="s">
        <v>149</v>
      </c>
      <c r="BL272" t="s">
        <v>150</v>
      </c>
      <c r="BM272" t="s">
        <v>4790</v>
      </c>
      <c r="BN272" t="s">
        <v>74</v>
      </c>
      <c r="BO272" t="s">
        <v>74</v>
      </c>
      <c r="BP272" t="s">
        <v>74</v>
      </c>
      <c r="BQ272" t="s">
        <v>74</v>
      </c>
      <c r="BR272" t="s">
        <v>104</v>
      </c>
      <c r="BS272" t="s">
        <v>4791</v>
      </c>
      <c r="BT272" t="str">
        <f>HYPERLINK("https%3A%2F%2Fwww.webofscience.com%2Fwos%2Fwoscc%2Ffull-record%2FWOS:001367900200001","View Full Record in Web of Science")</f>
        <v>View Full Record in Web of Science</v>
      </c>
    </row>
    <row r="273" spans="1:72" x14ac:dyDescent="0.25">
      <c r="A273" t="s">
        <v>72</v>
      </c>
      <c r="B273" t="s">
        <v>4792</v>
      </c>
      <c r="C273" t="s">
        <v>74</v>
      </c>
      <c r="D273" t="s">
        <v>74</v>
      </c>
      <c r="E273" t="s">
        <v>74</v>
      </c>
      <c r="F273" t="s">
        <v>4793</v>
      </c>
      <c r="G273" t="s">
        <v>74</v>
      </c>
      <c r="H273" t="s">
        <v>74</v>
      </c>
      <c r="I273" t="s">
        <v>4794</v>
      </c>
      <c r="J273" t="s">
        <v>128</v>
      </c>
      <c r="K273" t="s">
        <v>74</v>
      </c>
      <c r="L273" t="s">
        <v>74</v>
      </c>
      <c r="M273" t="s">
        <v>78</v>
      </c>
      <c r="N273" t="s">
        <v>79</v>
      </c>
      <c r="O273" t="s">
        <v>74</v>
      </c>
      <c r="P273" t="s">
        <v>74</v>
      </c>
      <c r="Q273" t="s">
        <v>74</v>
      </c>
      <c r="R273" t="s">
        <v>74</v>
      </c>
      <c r="S273" t="s">
        <v>74</v>
      </c>
      <c r="T273" t="s">
        <v>4795</v>
      </c>
      <c r="U273" t="s">
        <v>4796</v>
      </c>
      <c r="V273" t="s">
        <v>4797</v>
      </c>
      <c r="W273" t="s">
        <v>4798</v>
      </c>
      <c r="X273" t="s">
        <v>4799</v>
      </c>
      <c r="Y273" t="s">
        <v>2315</v>
      </c>
      <c r="Z273" t="s">
        <v>3363</v>
      </c>
      <c r="AA273" t="s">
        <v>4800</v>
      </c>
      <c r="AB273" t="s">
        <v>4801</v>
      </c>
      <c r="AC273" t="s">
        <v>4802</v>
      </c>
      <c r="AD273" t="s">
        <v>482</v>
      </c>
      <c r="AE273" t="s">
        <v>4803</v>
      </c>
      <c r="AF273" t="s">
        <v>74</v>
      </c>
      <c r="AG273">
        <v>48</v>
      </c>
      <c r="AH273">
        <v>39</v>
      </c>
      <c r="AI273">
        <v>39</v>
      </c>
      <c r="AJ273">
        <v>18</v>
      </c>
      <c r="AK273">
        <v>85</v>
      </c>
      <c r="AL273" t="s">
        <v>138</v>
      </c>
      <c r="AM273" t="s">
        <v>139</v>
      </c>
      <c r="AN273" t="s">
        <v>140</v>
      </c>
      <c r="AO273" t="s">
        <v>141</v>
      </c>
      <c r="AP273" t="s">
        <v>142</v>
      </c>
      <c r="AQ273" t="s">
        <v>74</v>
      </c>
      <c r="AR273" t="s">
        <v>143</v>
      </c>
      <c r="AS273" t="s">
        <v>144</v>
      </c>
      <c r="AT273" t="s">
        <v>205</v>
      </c>
      <c r="AU273">
        <v>2022</v>
      </c>
      <c r="AV273">
        <v>225</v>
      </c>
      <c r="AW273" t="s">
        <v>74</v>
      </c>
      <c r="AX273" t="s">
        <v>74</v>
      </c>
      <c r="AY273" t="s">
        <v>74</v>
      </c>
      <c r="AZ273" t="s">
        <v>74</v>
      </c>
      <c r="BA273" t="s">
        <v>74</v>
      </c>
      <c r="BB273" t="s">
        <v>74</v>
      </c>
      <c r="BC273" t="s">
        <v>74</v>
      </c>
      <c r="BD273">
        <v>108643</v>
      </c>
      <c r="BE273" t="s">
        <v>4804</v>
      </c>
      <c r="BF273" t="str">
        <f>HYPERLINK("http://dx.doi.org/10.1016/j.ress.2022.108643","http://dx.doi.org/10.1016/j.ress.2022.108643")</f>
        <v>http://dx.doi.org/10.1016/j.ress.2022.108643</v>
      </c>
      <c r="BG273" t="s">
        <v>74</v>
      </c>
      <c r="BH273" t="s">
        <v>168</v>
      </c>
      <c r="BI273">
        <v>14</v>
      </c>
      <c r="BJ273" t="s">
        <v>148</v>
      </c>
      <c r="BK273" t="s">
        <v>149</v>
      </c>
      <c r="BL273" t="s">
        <v>150</v>
      </c>
      <c r="BM273" t="s">
        <v>4805</v>
      </c>
      <c r="BN273" t="s">
        <v>74</v>
      </c>
      <c r="BO273" t="s">
        <v>74</v>
      </c>
      <c r="BP273" t="s">
        <v>74</v>
      </c>
      <c r="BQ273" t="s">
        <v>74</v>
      </c>
      <c r="BR273" t="s">
        <v>104</v>
      </c>
      <c r="BS273" t="s">
        <v>4806</v>
      </c>
      <c r="BT273" t="str">
        <f>HYPERLINK("https%3A%2F%2Fwww.webofscience.com%2Fwos%2Fwoscc%2Ffull-record%2FWOS:000821999100006","View Full Record in Web of Science")</f>
        <v>View Full Record in Web of Science</v>
      </c>
    </row>
    <row r="274" spans="1:72" x14ac:dyDescent="0.25">
      <c r="A274" t="s">
        <v>72</v>
      </c>
      <c r="B274" t="s">
        <v>4807</v>
      </c>
      <c r="C274" t="s">
        <v>74</v>
      </c>
      <c r="D274" t="s">
        <v>74</v>
      </c>
      <c r="E274" t="s">
        <v>74</v>
      </c>
      <c r="F274" t="s">
        <v>4808</v>
      </c>
      <c r="G274" t="s">
        <v>74</v>
      </c>
      <c r="H274" t="s">
        <v>74</v>
      </c>
      <c r="I274" t="s">
        <v>4809</v>
      </c>
      <c r="J274" t="s">
        <v>4810</v>
      </c>
      <c r="K274" t="s">
        <v>74</v>
      </c>
      <c r="L274" t="s">
        <v>74</v>
      </c>
      <c r="M274" t="s">
        <v>78</v>
      </c>
      <c r="N274" t="s">
        <v>79</v>
      </c>
      <c r="O274" t="s">
        <v>74</v>
      </c>
      <c r="P274" t="s">
        <v>74</v>
      </c>
      <c r="Q274" t="s">
        <v>74</v>
      </c>
      <c r="R274" t="s">
        <v>74</v>
      </c>
      <c r="S274" t="s">
        <v>74</v>
      </c>
      <c r="T274" t="s">
        <v>4811</v>
      </c>
      <c r="U274" t="s">
        <v>4812</v>
      </c>
      <c r="V274" t="s">
        <v>4813</v>
      </c>
      <c r="W274" t="s">
        <v>4814</v>
      </c>
      <c r="X274" t="s">
        <v>4815</v>
      </c>
      <c r="Y274" t="s">
        <v>4816</v>
      </c>
      <c r="Z274" t="s">
        <v>4817</v>
      </c>
      <c r="AA274" t="s">
        <v>4818</v>
      </c>
      <c r="AB274" t="s">
        <v>4819</v>
      </c>
      <c r="AC274" t="s">
        <v>4820</v>
      </c>
      <c r="AD274" t="s">
        <v>4821</v>
      </c>
      <c r="AE274" t="s">
        <v>4822</v>
      </c>
      <c r="AF274" t="s">
        <v>74</v>
      </c>
      <c r="AG274">
        <v>57</v>
      </c>
      <c r="AH274">
        <v>1</v>
      </c>
      <c r="AI274">
        <v>1</v>
      </c>
      <c r="AJ274">
        <v>5</v>
      </c>
      <c r="AK274">
        <v>8</v>
      </c>
      <c r="AL274" t="s">
        <v>4823</v>
      </c>
      <c r="AM274" t="s">
        <v>4824</v>
      </c>
      <c r="AN274" t="s">
        <v>4825</v>
      </c>
      <c r="AO274" t="s">
        <v>4826</v>
      </c>
      <c r="AP274" t="s">
        <v>4827</v>
      </c>
      <c r="AQ274" t="s">
        <v>74</v>
      </c>
      <c r="AR274" t="s">
        <v>4828</v>
      </c>
      <c r="AS274" t="s">
        <v>4829</v>
      </c>
      <c r="AT274" t="s">
        <v>74</v>
      </c>
      <c r="AU274">
        <v>2024</v>
      </c>
      <c r="AV274">
        <v>18</v>
      </c>
      <c r="AW274">
        <v>2</v>
      </c>
      <c r="AX274" t="s">
        <v>74</v>
      </c>
      <c r="AY274" t="s">
        <v>74</v>
      </c>
      <c r="AZ274" t="s">
        <v>74</v>
      </c>
      <c r="BA274" t="s">
        <v>74</v>
      </c>
      <c r="BB274">
        <v>587</v>
      </c>
      <c r="BC274">
        <v>602</v>
      </c>
      <c r="BD274" t="s">
        <v>74</v>
      </c>
      <c r="BE274" t="s">
        <v>4830</v>
      </c>
      <c r="BF274" t="str">
        <f>HYPERLINK("http://dx.doi.org/10.24874/IJQR18.02-17","http://dx.doi.org/10.24874/IJQR18.02-17")</f>
        <v>http://dx.doi.org/10.24874/IJQR18.02-17</v>
      </c>
      <c r="BG274" t="s">
        <v>74</v>
      </c>
      <c r="BH274" t="s">
        <v>74</v>
      </c>
      <c r="BI274">
        <v>16</v>
      </c>
      <c r="BJ274" t="s">
        <v>100</v>
      </c>
      <c r="BK274" t="s">
        <v>101</v>
      </c>
      <c r="BL274" t="s">
        <v>102</v>
      </c>
      <c r="BM274" t="s">
        <v>4831</v>
      </c>
      <c r="BN274" t="s">
        <v>74</v>
      </c>
      <c r="BO274" t="s">
        <v>74</v>
      </c>
      <c r="BP274" t="s">
        <v>74</v>
      </c>
      <c r="BQ274" t="s">
        <v>74</v>
      </c>
      <c r="BR274" t="s">
        <v>104</v>
      </c>
      <c r="BS274" t="s">
        <v>4832</v>
      </c>
      <c r="BT274" t="str">
        <f>HYPERLINK("https%3A%2F%2Fwww.webofscience.com%2Fwos%2Fwoscc%2Ffull-record%2FWOS:001245753300017","View Full Record in Web of Science")</f>
        <v>View Full Record in Web of Science</v>
      </c>
    </row>
    <row r="275" spans="1:72" x14ac:dyDescent="0.25">
      <c r="A275" t="s">
        <v>72</v>
      </c>
      <c r="B275" t="s">
        <v>4833</v>
      </c>
      <c r="C275" t="s">
        <v>74</v>
      </c>
      <c r="D275" t="s">
        <v>74</v>
      </c>
      <c r="E275" t="s">
        <v>74</v>
      </c>
      <c r="F275" t="s">
        <v>4834</v>
      </c>
      <c r="G275" t="s">
        <v>74</v>
      </c>
      <c r="H275" t="s">
        <v>74</v>
      </c>
      <c r="I275" t="s">
        <v>4835</v>
      </c>
      <c r="J275" t="s">
        <v>542</v>
      </c>
      <c r="K275" t="s">
        <v>74</v>
      </c>
      <c r="L275" t="s">
        <v>74</v>
      </c>
      <c r="M275" t="s">
        <v>78</v>
      </c>
      <c r="N275" t="s">
        <v>79</v>
      </c>
      <c r="O275" t="s">
        <v>74</v>
      </c>
      <c r="P275" t="s">
        <v>74</v>
      </c>
      <c r="Q275" t="s">
        <v>74</v>
      </c>
      <c r="R275" t="s">
        <v>74</v>
      </c>
      <c r="S275" t="s">
        <v>74</v>
      </c>
      <c r="T275" t="s">
        <v>4836</v>
      </c>
      <c r="U275" t="s">
        <v>74</v>
      </c>
      <c r="V275" t="s">
        <v>4837</v>
      </c>
      <c r="W275" t="s">
        <v>4838</v>
      </c>
      <c r="X275" t="s">
        <v>4839</v>
      </c>
      <c r="Y275" t="s">
        <v>4840</v>
      </c>
      <c r="Z275" t="s">
        <v>4841</v>
      </c>
      <c r="AA275" t="s">
        <v>74</v>
      </c>
      <c r="AB275" t="s">
        <v>4842</v>
      </c>
      <c r="AC275" t="s">
        <v>4843</v>
      </c>
      <c r="AD275" t="s">
        <v>4844</v>
      </c>
      <c r="AE275" t="s">
        <v>4845</v>
      </c>
      <c r="AF275" t="s">
        <v>74</v>
      </c>
      <c r="AG275">
        <v>34</v>
      </c>
      <c r="AH275">
        <v>2</v>
      </c>
      <c r="AI275">
        <v>2</v>
      </c>
      <c r="AJ275">
        <v>7</v>
      </c>
      <c r="AK275">
        <v>23</v>
      </c>
      <c r="AL275" t="s">
        <v>552</v>
      </c>
      <c r="AM275" t="s">
        <v>553</v>
      </c>
      <c r="AN275" t="s">
        <v>554</v>
      </c>
      <c r="AO275" t="s">
        <v>555</v>
      </c>
      <c r="AP275" t="s">
        <v>556</v>
      </c>
      <c r="AQ275" t="s">
        <v>74</v>
      </c>
      <c r="AR275" t="s">
        <v>557</v>
      </c>
      <c r="AS275" t="s">
        <v>558</v>
      </c>
      <c r="AT275" t="s">
        <v>2225</v>
      </c>
      <c r="AU275">
        <v>2021</v>
      </c>
      <c r="AV275">
        <v>235</v>
      </c>
      <c r="AW275">
        <v>4</v>
      </c>
      <c r="AX275" t="s">
        <v>74</v>
      </c>
      <c r="AY275" t="s">
        <v>74</v>
      </c>
      <c r="AZ275" t="s">
        <v>560</v>
      </c>
      <c r="BA275" t="s">
        <v>74</v>
      </c>
      <c r="BB275">
        <v>545</v>
      </c>
      <c r="BC275">
        <v>555</v>
      </c>
      <c r="BD275" t="s">
        <v>4846</v>
      </c>
      <c r="BE275" t="s">
        <v>4847</v>
      </c>
      <c r="BF275" t="str">
        <f>HYPERLINK("http://dx.doi.org/10.1177/1748006X20978127","http://dx.doi.org/10.1177/1748006X20978127")</f>
        <v>http://dx.doi.org/10.1177/1748006X20978127</v>
      </c>
      <c r="BG275" t="s">
        <v>74</v>
      </c>
      <c r="BH275" t="s">
        <v>756</v>
      </c>
      <c r="BI275">
        <v>11</v>
      </c>
      <c r="BJ275" t="s">
        <v>494</v>
      </c>
      <c r="BK275" t="s">
        <v>149</v>
      </c>
      <c r="BL275" t="s">
        <v>150</v>
      </c>
      <c r="BM275" t="s">
        <v>4848</v>
      </c>
      <c r="BN275" t="s">
        <v>74</v>
      </c>
      <c r="BO275" t="s">
        <v>1044</v>
      </c>
      <c r="BP275" t="s">
        <v>74</v>
      </c>
      <c r="BQ275" t="s">
        <v>74</v>
      </c>
      <c r="BR275" t="s">
        <v>104</v>
      </c>
      <c r="BS275" t="s">
        <v>4849</v>
      </c>
      <c r="BT275" t="str">
        <f>HYPERLINK("https%3A%2F%2Fwww.webofscience.com%2Fwos%2Fwoscc%2Ffull-record%2FWOS:000637132500001","View Full Record in Web of Science")</f>
        <v>View Full Record in Web of Science</v>
      </c>
    </row>
    <row r="276" spans="1:72" x14ac:dyDescent="0.25">
      <c r="A276" t="s">
        <v>72</v>
      </c>
      <c r="B276" t="s">
        <v>4850</v>
      </c>
      <c r="C276" t="s">
        <v>74</v>
      </c>
      <c r="D276" t="s">
        <v>74</v>
      </c>
      <c r="E276" t="s">
        <v>74</v>
      </c>
      <c r="F276" t="s">
        <v>4851</v>
      </c>
      <c r="G276" t="s">
        <v>74</v>
      </c>
      <c r="H276" t="s">
        <v>74</v>
      </c>
      <c r="I276" t="s">
        <v>4852</v>
      </c>
      <c r="J276" t="s">
        <v>542</v>
      </c>
      <c r="K276" t="s">
        <v>74</v>
      </c>
      <c r="L276" t="s">
        <v>74</v>
      </c>
      <c r="M276" t="s">
        <v>78</v>
      </c>
      <c r="N276" t="s">
        <v>79</v>
      </c>
      <c r="O276" t="s">
        <v>74</v>
      </c>
      <c r="P276" t="s">
        <v>74</v>
      </c>
      <c r="Q276" t="s">
        <v>74</v>
      </c>
      <c r="R276" t="s">
        <v>74</v>
      </c>
      <c r="S276" t="s">
        <v>74</v>
      </c>
      <c r="T276" t="s">
        <v>4853</v>
      </c>
      <c r="U276" t="s">
        <v>4854</v>
      </c>
      <c r="V276" t="s">
        <v>4855</v>
      </c>
      <c r="W276" t="s">
        <v>4856</v>
      </c>
      <c r="X276" t="s">
        <v>74</v>
      </c>
      <c r="Y276" t="s">
        <v>4857</v>
      </c>
      <c r="Z276" t="s">
        <v>1391</v>
      </c>
      <c r="AA276" t="s">
        <v>4858</v>
      </c>
      <c r="AB276" t="s">
        <v>4859</v>
      </c>
      <c r="AC276" t="s">
        <v>4860</v>
      </c>
      <c r="AD276" t="s">
        <v>482</v>
      </c>
      <c r="AE276" t="s">
        <v>4861</v>
      </c>
      <c r="AF276" t="s">
        <v>74</v>
      </c>
      <c r="AG276">
        <v>45</v>
      </c>
      <c r="AH276">
        <v>7</v>
      </c>
      <c r="AI276">
        <v>7</v>
      </c>
      <c r="AJ276">
        <v>9</v>
      </c>
      <c r="AK276">
        <v>35</v>
      </c>
      <c r="AL276" t="s">
        <v>552</v>
      </c>
      <c r="AM276" t="s">
        <v>553</v>
      </c>
      <c r="AN276" t="s">
        <v>554</v>
      </c>
      <c r="AO276" t="s">
        <v>555</v>
      </c>
      <c r="AP276" t="s">
        <v>556</v>
      </c>
      <c r="AQ276" t="s">
        <v>74</v>
      </c>
      <c r="AR276" t="s">
        <v>557</v>
      </c>
      <c r="AS276" t="s">
        <v>558</v>
      </c>
      <c r="AT276" t="s">
        <v>559</v>
      </c>
      <c r="AU276">
        <v>2019</v>
      </c>
      <c r="AV276">
        <v>233</v>
      </c>
      <c r="AW276">
        <v>3</v>
      </c>
      <c r="AX276" t="s">
        <v>74</v>
      </c>
      <c r="AY276" t="s">
        <v>74</v>
      </c>
      <c r="AZ276" t="s">
        <v>74</v>
      </c>
      <c r="BA276" t="s">
        <v>74</v>
      </c>
      <c r="BB276">
        <v>379</v>
      </c>
      <c r="BC276">
        <v>400</v>
      </c>
      <c r="BD276" t="s">
        <v>74</v>
      </c>
      <c r="BE276" t="s">
        <v>4862</v>
      </c>
      <c r="BF276" t="str">
        <f>HYPERLINK("http://dx.doi.org/10.1177/1748006X18791724","http://dx.doi.org/10.1177/1748006X18791724")</f>
        <v>http://dx.doi.org/10.1177/1748006X18791724</v>
      </c>
      <c r="BG276" t="s">
        <v>74</v>
      </c>
      <c r="BH276" t="s">
        <v>74</v>
      </c>
      <c r="BI276">
        <v>22</v>
      </c>
      <c r="BJ276" t="s">
        <v>494</v>
      </c>
      <c r="BK276" t="s">
        <v>149</v>
      </c>
      <c r="BL276" t="s">
        <v>150</v>
      </c>
      <c r="BM276" t="s">
        <v>1397</v>
      </c>
      <c r="BN276" t="s">
        <v>74</v>
      </c>
      <c r="BO276" t="s">
        <v>74</v>
      </c>
      <c r="BP276" t="s">
        <v>74</v>
      </c>
      <c r="BQ276" t="s">
        <v>74</v>
      </c>
      <c r="BR276" t="s">
        <v>104</v>
      </c>
      <c r="BS276" t="s">
        <v>4863</v>
      </c>
      <c r="BT276" t="str">
        <f>HYPERLINK("https%3A%2F%2Fwww.webofscience.com%2Fwos%2Fwoscc%2Ffull-record%2FWOS:000471160800007","View Full Record in Web of Science")</f>
        <v>View Full Record in Web of Science</v>
      </c>
    </row>
    <row r="277" spans="1:72" x14ac:dyDescent="0.25">
      <c r="A277" t="s">
        <v>72</v>
      </c>
      <c r="B277" t="s">
        <v>4864</v>
      </c>
      <c r="C277" t="s">
        <v>74</v>
      </c>
      <c r="D277" t="s">
        <v>74</v>
      </c>
      <c r="E277" t="s">
        <v>74</v>
      </c>
      <c r="F277" t="s">
        <v>4865</v>
      </c>
      <c r="G277" t="s">
        <v>74</v>
      </c>
      <c r="H277" t="s">
        <v>74</v>
      </c>
      <c r="I277" t="s">
        <v>4866</v>
      </c>
      <c r="J277" t="s">
        <v>128</v>
      </c>
      <c r="K277" t="s">
        <v>74</v>
      </c>
      <c r="L277" t="s">
        <v>74</v>
      </c>
      <c r="M277" t="s">
        <v>78</v>
      </c>
      <c r="N277" t="s">
        <v>79</v>
      </c>
      <c r="O277" t="s">
        <v>74</v>
      </c>
      <c r="P277" t="s">
        <v>74</v>
      </c>
      <c r="Q277" t="s">
        <v>74</v>
      </c>
      <c r="R277" t="s">
        <v>74</v>
      </c>
      <c r="S277" t="s">
        <v>74</v>
      </c>
      <c r="T277" t="s">
        <v>4867</v>
      </c>
      <c r="U277" t="s">
        <v>4868</v>
      </c>
      <c r="V277" t="s">
        <v>4869</v>
      </c>
      <c r="W277" t="s">
        <v>4870</v>
      </c>
      <c r="X277" t="s">
        <v>4871</v>
      </c>
      <c r="Y277" t="s">
        <v>4872</v>
      </c>
      <c r="Z277" t="s">
        <v>4873</v>
      </c>
      <c r="AA277" t="s">
        <v>74</v>
      </c>
      <c r="AB277" t="s">
        <v>1719</v>
      </c>
      <c r="AC277" t="s">
        <v>4874</v>
      </c>
      <c r="AD277" t="s">
        <v>4875</v>
      </c>
      <c r="AE277" t="s">
        <v>4876</v>
      </c>
      <c r="AF277" t="s">
        <v>74</v>
      </c>
      <c r="AG277">
        <v>46</v>
      </c>
      <c r="AH277">
        <v>1</v>
      </c>
      <c r="AI277">
        <v>1</v>
      </c>
      <c r="AJ277">
        <v>9</v>
      </c>
      <c r="AK277">
        <v>19</v>
      </c>
      <c r="AL277" t="s">
        <v>138</v>
      </c>
      <c r="AM277" t="s">
        <v>139</v>
      </c>
      <c r="AN277" t="s">
        <v>140</v>
      </c>
      <c r="AO277" t="s">
        <v>141</v>
      </c>
      <c r="AP277" t="s">
        <v>142</v>
      </c>
      <c r="AQ277" t="s">
        <v>74</v>
      </c>
      <c r="AR277" t="s">
        <v>143</v>
      </c>
      <c r="AS277" t="s">
        <v>144</v>
      </c>
      <c r="AT277" t="s">
        <v>1867</v>
      </c>
      <c r="AU277">
        <v>2024</v>
      </c>
      <c r="AV277">
        <v>244</v>
      </c>
      <c r="AW277" t="s">
        <v>74</v>
      </c>
      <c r="AX277" t="s">
        <v>74</v>
      </c>
      <c r="AY277" t="s">
        <v>74</v>
      </c>
      <c r="AZ277" t="s">
        <v>74</v>
      </c>
      <c r="BA277" t="s">
        <v>74</v>
      </c>
      <c r="BB277" t="s">
        <v>74</v>
      </c>
      <c r="BC277" t="s">
        <v>74</v>
      </c>
      <c r="BD277">
        <v>109948</v>
      </c>
      <c r="BE277" t="s">
        <v>4877</v>
      </c>
      <c r="BF277" t="str">
        <f>HYPERLINK("http://dx.doi.org/10.1016/j.ress.2024.109948","http://dx.doi.org/10.1016/j.ress.2024.109948")</f>
        <v>http://dx.doi.org/10.1016/j.ress.2024.109948</v>
      </c>
      <c r="BG277" t="s">
        <v>74</v>
      </c>
      <c r="BH277" t="s">
        <v>3894</v>
      </c>
      <c r="BI277">
        <v>12</v>
      </c>
      <c r="BJ277" t="s">
        <v>148</v>
      </c>
      <c r="BK277" t="s">
        <v>149</v>
      </c>
      <c r="BL277" t="s">
        <v>150</v>
      </c>
      <c r="BM277" t="s">
        <v>4878</v>
      </c>
      <c r="BN277" t="s">
        <v>74</v>
      </c>
      <c r="BO277" t="s">
        <v>74</v>
      </c>
      <c r="BP277" t="s">
        <v>74</v>
      </c>
      <c r="BQ277" t="s">
        <v>74</v>
      </c>
      <c r="BR277" t="s">
        <v>104</v>
      </c>
      <c r="BS277" t="s">
        <v>4879</v>
      </c>
      <c r="BT277" t="str">
        <f>HYPERLINK("https%3A%2F%2Fwww.webofscience.com%2Fwos%2Fwoscc%2Ffull-record%2FWOS:001170484700001","View Full Record in Web of Science")</f>
        <v>View Full Record in Web of Science</v>
      </c>
    </row>
    <row r="278" spans="1:72" x14ac:dyDescent="0.25">
      <c r="A278" t="s">
        <v>72</v>
      </c>
      <c r="B278" t="s">
        <v>4880</v>
      </c>
      <c r="C278" t="s">
        <v>74</v>
      </c>
      <c r="D278" t="s">
        <v>74</v>
      </c>
      <c r="E278" t="s">
        <v>74</v>
      </c>
      <c r="F278" t="s">
        <v>4881</v>
      </c>
      <c r="G278" t="s">
        <v>74</v>
      </c>
      <c r="H278" t="s">
        <v>74</v>
      </c>
      <c r="I278" t="s">
        <v>4882</v>
      </c>
      <c r="J278" t="s">
        <v>472</v>
      </c>
      <c r="K278" t="s">
        <v>74</v>
      </c>
      <c r="L278" t="s">
        <v>74</v>
      </c>
      <c r="M278" t="s">
        <v>78</v>
      </c>
      <c r="N278" t="s">
        <v>79</v>
      </c>
      <c r="O278" t="s">
        <v>74</v>
      </c>
      <c r="P278" t="s">
        <v>74</v>
      </c>
      <c r="Q278" t="s">
        <v>74</v>
      </c>
      <c r="R278" t="s">
        <v>74</v>
      </c>
      <c r="S278" t="s">
        <v>74</v>
      </c>
      <c r="T278" t="s">
        <v>4883</v>
      </c>
      <c r="U278" t="s">
        <v>4884</v>
      </c>
      <c r="V278" t="s">
        <v>4885</v>
      </c>
      <c r="W278" t="s">
        <v>4886</v>
      </c>
      <c r="X278" t="s">
        <v>4887</v>
      </c>
      <c r="Y278" t="s">
        <v>3362</v>
      </c>
      <c r="Z278" t="s">
        <v>3363</v>
      </c>
      <c r="AA278" t="s">
        <v>3364</v>
      </c>
      <c r="AB278" t="s">
        <v>1299</v>
      </c>
      <c r="AC278" t="s">
        <v>3365</v>
      </c>
      <c r="AD278" t="s">
        <v>482</v>
      </c>
      <c r="AE278" t="s">
        <v>4888</v>
      </c>
      <c r="AF278" t="s">
        <v>74</v>
      </c>
      <c r="AG278">
        <v>36</v>
      </c>
      <c r="AH278">
        <v>36</v>
      </c>
      <c r="AI278">
        <v>36</v>
      </c>
      <c r="AJ278">
        <v>4</v>
      </c>
      <c r="AK278">
        <v>57</v>
      </c>
      <c r="AL278" t="s">
        <v>484</v>
      </c>
      <c r="AM278" t="s">
        <v>485</v>
      </c>
      <c r="AN278" t="s">
        <v>486</v>
      </c>
      <c r="AO278" t="s">
        <v>487</v>
      </c>
      <c r="AP278" t="s">
        <v>488</v>
      </c>
      <c r="AQ278" t="s">
        <v>74</v>
      </c>
      <c r="AR278" t="s">
        <v>489</v>
      </c>
      <c r="AS278" t="s">
        <v>490</v>
      </c>
      <c r="AT278" t="s">
        <v>275</v>
      </c>
      <c r="AU278">
        <v>2019</v>
      </c>
      <c r="AV278">
        <v>35</v>
      </c>
      <c r="AW278">
        <v>2</v>
      </c>
      <c r="AX278" t="s">
        <v>74</v>
      </c>
      <c r="AY278" t="s">
        <v>74</v>
      </c>
      <c r="AZ278" t="s">
        <v>74</v>
      </c>
      <c r="BA278" t="s">
        <v>74</v>
      </c>
      <c r="BB278">
        <v>550</v>
      </c>
      <c r="BC278">
        <v>560</v>
      </c>
      <c r="BD278" t="s">
        <v>74</v>
      </c>
      <c r="BE278" t="s">
        <v>4889</v>
      </c>
      <c r="BF278" t="str">
        <f>HYPERLINK("http://dx.doi.org/10.1002/qre.2420","http://dx.doi.org/10.1002/qre.2420")</f>
        <v>http://dx.doi.org/10.1002/qre.2420</v>
      </c>
      <c r="BG278" t="s">
        <v>74</v>
      </c>
      <c r="BH278" t="s">
        <v>74</v>
      </c>
      <c r="BI278">
        <v>11</v>
      </c>
      <c r="BJ278" t="s">
        <v>494</v>
      </c>
      <c r="BK278" t="s">
        <v>149</v>
      </c>
      <c r="BL278" t="s">
        <v>150</v>
      </c>
      <c r="BM278" t="s">
        <v>4890</v>
      </c>
      <c r="BN278" t="s">
        <v>74</v>
      </c>
      <c r="BO278" t="s">
        <v>74</v>
      </c>
      <c r="BP278" t="s">
        <v>74</v>
      </c>
      <c r="BQ278" t="s">
        <v>74</v>
      </c>
      <c r="BR278" t="s">
        <v>104</v>
      </c>
      <c r="BS278" t="s">
        <v>4891</v>
      </c>
      <c r="BT278" t="str">
        <f>HYPERLINK("https%3A%2F%2Fwww.webofscience.com%2Fwos%2Fwoscc%2Ffull-record%2FWOS:000458336400005","View Full Record in Web of Science")</f>
        <v>View Full Record in Web of Science</v>
      </c>
    </row>
    <row r="279" spans="1:72" x14ac:dyDescent="0.25">
      <c r="A279" t="s">
        <v>72</v>
      </c>
      <c r="B279" t="s">
        <v>4892</v>
      </c>
      <c r="C279" t="s">
        <v>74</v>
      </c>
      <c r="D279" t="s">
        <v>74</v>
      </c>
      <c r="E279" t="s">
        <v>74</v>
      </c>
      <c r="F279" t="s">
        <v>4893</v>
      </c>
      <c r="G279" t="s">
        <v>74</v>
      </c>
      <c r="H279" t="s">
        <v>74</v>
      </c>
      <c r="I279" t="s">
        <v>4894</v>
      </c>
      <c r="J279" t="s">
        <v>128</v>
      </c>
      <c r="K279" t="s">
        <v>74</v>
      </c>
      <c r="L279" t="s">
        <v>74</v>
      </c>
      <c r="M279" t="s">
        <v>78</v>
      </c>
      <c r="N279" t="s">
        <v>79</v>
      </c>
      <c r="O279" t="s">
        <v>74</v>
      </c>
      <c r="P279" t="s">
        <v>74</v>
      </c>
      <c r="Q279" t="s">
        <v>74</v>
      </c>
      <c r="R279" t="s">
        <v>74</v>
      </c>
      <c r="S279" t="s">
        <v>74</v>
      </c>
      <c r="T279" t="s">
        <v>4895</v>
      </c>
      <c r="U279" t="s">
        <v>4896</v>
      </c>
      <c r="V279" t="s">
        <v>4897</v>
      </c>
      <c r="W279" t="s">
        <v>4898</v>
      </c>
      <c r="X279" t="s">
        <v>4899</v>
      </c>
      <c r="Y279" t="s">
        <v>4900</v>
      </c>
      <c r="Z279" t="s">
        <v>4901</v>
      </c>
      <c r="AA279" t="s">
        <v>4902</v>
      </c>
      <c r="AB279" t="s">
        <v>74</v>
      </c>
      <c r="AC279" t="s">
        <v>4903</v>
      </c>
      <c r="AD279" t="s">
        <v>1789</v>
      </c>
      <c r="AE279" t="s">
        <v>4904</v>
      </c>
      <c r="AF279" t="s">
        <v>74</v>
      </c>
      <c r="AG279">
        <v>55</v>
      </c>
      <c r="AH279">
        <v>34</v>
      </c>
      <c r="AI279">
        <v>37</v>
      </c>
      <c r="AJ279">
        <v>7</v>
      </c>
      <c r="AK279">
        <v>53</v>
      </c>
      <c r="AL279" t="s">
        <v>138</v>
      </c>
      <c r="AM279" t="s">
        <v>246</v>
      </c>
      <c r="AN279" t="s">
        <v>247</v>
      </c>
      <c r="AO279" t="s">
        <v>141</v>
      </c>
      <c r="AP279" t="s">
        <v>142</v>
      </c>
      <c r="AQ279" t="s">
        <v>74</v>
      </c>
      <c r="AR279" t="s">
        <v>143</v>
      </c>
      <c r="AS279" t="s">
        <v>144</v>
      </c>
      <c r="AT279" t="s">
        <v>1867</v>
      </c>
      <c r="AU279">
        <v>2022</v>
      </c>
      <c r="AV279">
        <v>220</v>
      </c>
      <c r="AW279" t="s">
        <v>74</v>
      </c>
      <c r="AX279" t="s">
        <v>74</v>
      </c>
      <c r="AY279" t="s">
        <v>74</v>
      </c>
      <c r="AZ279" t="s">
        <v>74</v>
      </c>
      <c r="BA279" t="s">
        <v>74</v>
      </c>
      <c r="BB279" t="s">
        <v>74</v>
      </c>
      <c r="BC279" t="s">
        <v>74</v>
      </c>
      <c r="BD279">
        <v>108310</v>
      </c>
      <c r="BE279" t="s">
        <v>4905</v>
      </c>
      <c r="BF279" t="str">
        <f>HYPERLINK("http://dx.doi.org/10.1016/j.ress.2021.108310","http://dx.doi.org/10.1016/j.ress.2021.108310")</f>
        <v>http://dx.doi.org/10.1016/j.ress.2021.108310</v>
      </c>
      <c r="BG279" t="s">
        <v>74</v>
      </c>
      <c r="BH279" t="s">
        <v>2468</v>
      </c>
      <c r="BI279">
        <v>20</v>
      </c>
      <c r="BJ279" t="s">
        <v>148</v>
      </c>
      <c r="BK279" t="s">
        <v>149</v>
      </c>
      <c r="BL279" t="s">
        <v>150</v>
      </c>
      <c r="BM279" t="s">
        <v>2652</v>
      </c>
      <c r="BN279" t="s">
        <v>74</v>
      </c>
      <c r="BO279" t="s">
        <v>74</v>
      </c>
      <c r="BP279" t="s">
        <v>74</v>
      </c>
      <c r="BQ279" t="s">
        <v>74</v>
      </c>
      <c r="BR279" t="s">
        <v>104</v>
      </c>
      <c r="BS279" t="s">
        <v>4906</v>
      </c>
      <c r="BT279" t="str">
        <f>HYPERLINK("https%3A%2F%2Fwww.webofscience.com%2Fwos%2Fwoscc%2Ffull-record%2FWOS:000760343700029","View Full Record in Web of Science")</f>
        <v>View Full Record in Web of Science</v>
      </c>
    </row>
    <row r="280" spans="1:72" x14ac:dyDescent="0.25">
      <c r="A280" t="s">
        <v>72</v>
      </c>
      <c r="B280" t="s">
        <v>4907</v>
      </c>
      <c r="C280" t="s">
        <v>74</v>
      </c>
      <c r="D280" t="s">
        <v>74</v>
      </c>
      <c r="E280" t="s">
        <v>74</v>
      </c>
      <c r="F280" t="s">
        <v>4908</v>
      </c>
      <c r="G280" t="s">
        <v>74</v>
      </c>
      <c r="H280" t="s">
        <v>74</v>
      </c>
      <c r="I280" t="s">
        <v>4909</v>
      </c>
      <c r="J280" t="s">
        <v>472</v>
      </c>
      <c r="K280" t="s">
        <v>74</v>
      </c>
      <c r="L280" t="s">
        <v>74</v>
      </c>
      <c r="M280" t="s">
        <v>78</v>
      </c>
      <c r="N280" t="s">
        <v>79</v>
      </c>
      <c r="O280" t="s">
        <v>74</v>
      </c>
      <c r="P280" t="s">
        <v>74</v>
      </c>
      <c r="Q280" t="s">
        <v>74</v>
      </c>
      <c r="R280" t="s">
        <v>74</v>
      </c>
      <c r="S280" t="s">
        <v>74</v>
      </c>
      <c r="T280" t="s">
        <v>4910</v>
      </c>
      <c r="U280" t="s">
        <v>920</v>
      </c>
      <c r="V280" t="s">
        <v>4911</v>
      </c>
      <c r="W280" t="s">
        <v>4912</v>
      </c>
      <c r="X280" t="s">
        <v>4913</v>
      </c>
      <c r="Y280" t="s">
        <v>4914</v>
      </c>
      <c r="Z280" t="s">
        <v>2386</v>
      </c>
      <c r="AA280" t="s">
        <v>4915</v>
      </c>
      <c r="AB280" t="s">
        <v>2388</v>
      </c>
      <c r="AC280" t="s">
        <v>4916</v>
      </c>
      <c r="AD280" t="s">
        <v>4917</v>
      </c>
      <c r="AE280" t="s">
        <v>4918</v>
      </c>
      <c r="AF280" t="s">
        <v>74</v>
      </c>
      <c r="AG280">
        <v>27</v>
      </c>
      <c r="AH280">
        <v>0</v>
      </c>
      <c r="AI280">
        <v>0</v>
      </c>
      <c r="AJ280">
        <v>4</v>
      </c>
      <c r="AK280">
        <v>4</v>
      </c>
      <c r="AL280" t="s">
        <v>484</v>
      </c>
      <c r="AM280" t="s">
        <v>485</v>
      </c>
      <c r="AN280" t="s">
        <v>486</v>
      </c>
      <c r="AO280" t="s">
        <v>487</v>
      </c>
      <c r="AP280" t="s">
        <v>488</v>
      </c>
      <c r="AQ280" t="s">
        <v>74</v>
      </c>
      <c r="AR280" t="s">
        <v>489</v>
      </c>
      <c r="AS280" t="s">
        <v>490</v>
      </c>
      <c r="AT280" t="s">
        <v>1867</v>
      </c>
      <c r="AU280">
        <v>2025</v>
      </c>
      <c r="AV280">
        <v>41</v>
      </c>
      <c r="AW280">
        <v>3</v>
      </c>
      <c r="AX280" t="s">
        <v>74</v>
      </c>
      <c r="AY280" t="s">
        <v>74</v>
      </c>
      <c r="AZ280" t="s">
        <v>74</v>
      </c>
      <c r="BA280" t="s">
        <v>74</v>
      </c>
      <c r="BB280">
        <v>957</v>
      </c>
      <c r="BC280">
        <v>969</v>
      </c>
      <c r="BD280" t="s">
        <v>74</v>
      </c>
      <c r="BE280" t="s">
        <v>4919</v>
      </c>
      <c r="BF280" t="str">
        <f>HYPERLINK("http://dx.doi.org/10.1002/qre.3714","http://dx.doi.org/10.1002/qre.3714")</f>
        <v>http://dx.doi.org/10.1002/qre.3714</v>
      </c>
      <c r="BG280" t="s">
        <v>74</v>
      </c>
      <c r="BH280" t="s">
        <v>1869</v>
      </c>
      <c r="BI280">
        <v>13</v>
      </c>
      <c r="BJ280" t="s">
        <v>494</v>
      </c>
      <c r="BK280" t="s">
        <v>149</v>
      </c>
      <c r="BL280" t="s">
        <v>150</v>
      </c>
      <c r="BM280" t="s">
        <v>4920</v>
      </c>
      <c r="BN280" t="s">
        <v>74</v>
      </c>
      <c r="BO280" t="s">
        <v>74</v>
      </c>
      <c r="BP280" t="s">
        <v>74</v>
      </c>
      <c r="BQ280" t="s">
        <v>74</v>
      </c>
      <c r="BR280" t="s">
        <v>104</v>
      </c>
      <c r="BS280" t="s">
        <v>4921</v>
      </c>
      <c r="BT280" t="str">
        <f>HYPERLINK("https%3A%2F%2Fwww.webofscience.com%2Fwos%2Fwoscc%2Ffull-record%2FWOS:001382406000001","View Full Record in Web of Science")</f>
        <v>View Full Record in Web of Science</v>
      </c>
    </row>
    <row r="281" spans="1:72" x14ac:dyDescent="0.25">
      <c r="A281" t="s">
        <v>72</v>
      </c>
      <c r="B281" t="s">
        <v>4922</v>
      </c>
      <c r="C281" t="s">
        <v>74</v>
      </c>
      <c r="D281" t="s">
        <v>74</v>
      </c>
      <c r="E281" t="s">
        <v>74</v>
      </c>
      <c r="F281" t="s">
        <v>4923</v>
      </c>
      <c r="G281" t="s">
        <v>74</v>
      </c>
      <c r="H281" t="s">
        <v>74</v>
      </c>
      <c r="I281" t="s">
        <v>4924</v>
      </c>
      <c r="J281" t="s">
        <v>697</v>
      </c>
      <c r="K281" t="s">
        <v>74</v>
      </c>
      <c r="L281" t="s">
        <v>74</v>
      </c>
      <c r="M281" t="s">
        <v>78</v>
      </c>
      <c r="N281" t="s">
        <v>79</v>
      </c>
      <c r="O281" t="s">
        <v>74</v>
      </c>
      <c r="P281" t="s">
        <v>74</v>
      </c>
      <c r="Q281" t="s">
        <v>74</v>
      </c>
      <c r="R281" t="s">
        <v>74</v>
      </c>
      <c r="S281" t="s">
        <v>74</v>
      </c>
      <c r="T281" t="s">
        <v>4925</v>
      </c>
      <c r="U281" t="s">
        <v>4926</v>
      </c>
      <c r="V281" t="s">
        <v>4927</v>
      </c>
      <c r="W281" t="s">
        <v>4928</v>
      </c>
      <c r="X281" t="s">
        <v>3361</v>
      </c>
      <c r="Y281" t="s">
        <v>3423</v>
      </c>
      <c r="Z281" t="s">
        <v>4929</v>
      </c>
      <c r="AA281" t="s">
        <v>4930</v>
      </c>
      <c r="AB281" t="s">
        <v>4931</v>
      </c>
      <c r="AC281" t="s">
        <v>4932</v>
      </c>
      <c r="AD281" t="s">
        <v>4933</v>
      </c>
      <c r="AE281" t="s">
        <v>4934</v>
      </c>
      <c r="AF281" t="s">
        <v>74</v>
      </c>
      <c r="AG281">
        <v>44</v>
      </c>
      <c r="AH281">
        <v>46</v>
      </c>
      <c r="AI281">
        <v>46</v>
      </c>
      <c r="AJ281">
        <v>19</v>
      </c>
      <c r="AK281">
        <v>107</v>
      </c>
      <c r="AL281" t="s">
        <v>707</v>
      </c>
      <c r="AM281" t="s">
        <v>246</v>
      </c>
      <c r="AN281" t="s">
        <v>708</v>
      </c>
      <c r="AO281" t="s">
        <v>709</v>
      </c>
      <c r="AP281" t="s">
        <v>710</v>
      </c>
      <c r="AQ281" t="s">
        <v>74</v>
      </c>
      <c r="AR281" t="s">
        <v>711</v>
      </c>
      <c r="AS281" t="s">
        <v>712</v>
      </c>
      <c r="AT281" t="s">
        <v>559</v>
      </c>
      <c r="AU281">
        <v>2022</v>
      </c>
      <c r="AV281">
        <v>168</v>
      </c>
      <c r="AW281" t="s">
        <v>74</v>
      </c>
      <c r="AX281" t="s">
        <v>74</v>
      </c>
      <c r="AY281" t="s">
        <v>74</v>
      </c>
      <c r="AZ281" t="s">
        <v>74</v>
      </c>
      <c r="BA281" t="s">
        <v>74</v>
      </c>
      <c r="BB281" t="s">
        <v>74</v>
      </c>
      <c r="BC281" t="s">
        <v>74</v>
      </c>
      <c r="BD281">
        <v>108094</v>
      </c>
      <c r="BE281" t="s">
        <v>4935</v>
      </c>
      <c r="BF281" t="str">
        <f>HYPERLINK("http://dx.doi.org/10.1016/j.cie.2022.108094","http://dx.doi.org/10.1016/j.cie.2022.108094")</f>
        <v>http://dx.doi.org/10.1016/j.cie.2022.108094</v>
      </c>
      <c r="BG281" t="s">
        <v>74</v>
      </c>
      <c r="BH281" t="s">
        <v>250</v>
      </c>
      <c r="BI281">
        <v>13</v>
      </c>
      <c r="BJ281" t="s">
        <v>715</v>
      </c>
      <c r="BK281" t="s">
        <v>149</v>
      </c>
      <c r="BL281" t="s">
        <v>716</v>
      </c>
      <c r="BM281" t="s">
        <v>4936</v>
      </c>
      <c r="BN281" t="s">
        <v>74</v>
      </c>
      <c r="BO281" t="s">
        <v>74</v>
      </c>
      <c r="BP281" t="s">
        <v>74</v>
      </c>
      <c r="BQ281" t="s">
        <v>74</v>
      </c>
      <c r="BR281" t="s">
        <v>104</v>
      </c>
      <c r="BS281" t="s">
        <v>4937</v>
      </c>
      <c r="BT281" t="str">
        <f>HYPERLINK("https%3A%2F%2Fwww.webofscience.com%2Fwos%2Fwoscc%2Ffull-record%2FWOS:000805819000005","View Full Record in Web of Science")</f>
        <v>View Full Record in Web of Science</v>
      </c>
    </row>
    <row r="282" spans="1:72" x14ac:dyDescent="0.25">
      <c r="A282" t="s">
        <v>72</v>
      </c>
      <c r="B282" t="s">
        <v>4938</v>
      </c>
      <c r="C282" t="s">
        <v>74</v>
      </c>
      <c r="D282" t="s">
        <v>74</v>
      </c>
      <c r="E282" t="s">
        <v>74</v>
      </c>
      <c r="F282" t="s">
        <v>4939</v>
      </c>
      <c r="G282" t="s">
        <v>74</v>
      </c>
      <c r="H282" t="s">
        <v>74</v>
      </c>
      <c r="I282" t="s">
        <v>4940</v>
      </c>
      <c r="J282" t="s">
        <v>299</v>
      </c>
      <c r="K282" t="s">
        <v>74</v>
      </c>
      <c r="L282" t="s">
        <v>74</v>
      </c>
      <c r="M282" t="s">
        <v>78</v>
      </c>
      <c r="N282" t="s">
        <v>79</v>
      </c>
      <c r="O282" t="s">
        <v>74</v>
      </c>
      <c r="P282" t="s">
        <v>74</v>
      </c>
      <c r="Q282" t="s">
        <v>74</v>
      </c>
      <c r="R282" t="s">
        <v>74</v>
      </c>
      <c r="S282" t="s">
        <v>74</v>
      </c>
      <c r="T282" t="s">
        <v>4941</v>
      </c>
      <c r="U282" t="s">
        <v>4942</v>
      </c>
      <c r="V282" t="s">
        <v>4943</v>
      </c>
      <c r="W282" t="s">
        <v>4944</v>
      </c>
      <c r="X282" t="s">
        <v>4945</v>
      </c>
      <c r="Y282" t="s">
        <v>4946</v>
      </c>
      <c r="Z282" t="s">
        <v>4947</v>
      </c>
      <c r="AA282" t="s">
        <v>4948</v>
      </c>
      <c r="AB282" t="s">
        <v>4949</v>
      </c>
      <c r="AC282" t="s">
        <v>74</v>
      </c>
      <c r="AD282" t="s">
        <v>74</v>
      </c>
      <c r="AE282" t="s">
        <v>74</v>
      </c>
      <c r="AF282" t="s">
        <v>74</v>
      </c>
      <c r="AG282">
        <v>42</v>
      </c>
      <c r="AH282">
        <v>10</v>
      </c>
      <c r="AI282">
        <v>10</v>
      </c>
      <c r="AJ282">
        <v>3</v>
      </c>
      <c r="AK282">
        <v>55</v>
      </c>
      <c r="AL282" t="s">
        <v>311</v>
      </c>
      <c r="AM282" t="s">
        <v>312</v>
      </c>
      <c r="AN282" t="s">
        <v>313</v>
      </c>
      <c r="AO282" t="s">
        <v>314</v>
      </c>
      <c r="AP282" t="s">
        <v>315</v>
      </c>
      <c r="AQ282" t="s">
        <v>74</v>
      </c>
      <c r="AR282" t="s">
        <v>316</v>
      </c>
      <c r="AS282" t="s">
        <v>317</v>
      </c>
      <c r="AT282" t="s">
        <v>3765</v>
      </c>
      <c r="AU282">
        <v>2019</v>
      </c>
      <c r="AV282">
        <v>57</v>
      </c>
      <c r="AW282">
        <v>21</v>
      </c>
      <c r="AX282" t="s">
        <v>74</v>
      </c>
      <c r="AY282" t="s">
        <v>74</v>
      </c>
      <c r="AZ282" t="s">
        <v>74</v>
      </c>
      <c r="BA282" t="s">
        <v>74</v>
      </c>
      <c r="BB282">
        <v>6740</v>
      </c>
      <c r="BC282">
        <v>6757</v>
      </c>
      <c r="BD282" t="s">
        <v>74</v>
      </c>
      <c r="BE282" t="s">
        <v>4950</v>
      </c>
      <c r="BF282" t="str">
        <f>HYPERLINK("http://dx.doi.org/10.1080/00207543.2019.1566654","http://dx.doi.org/10.1080/00207543.2019.1566654")</f>
        <v>http://dx.doi.org/10.1080/00207543.2019.1566654</v>
      </c>
      <c r="BG282" t="s">
        <v>74</v>
      </c>
      <c r="BH282" t="s">
        <v>74</v>
      </c>
      <c r="BI282">
        <v>18</v>
      </c>
      <c r="BJ282" t="s">
        <v>321</v>
      </c>
      <c r="BK282" t="s">
        <v>149</v>
      </c>
      <c r="BL282" t="s">
        <v>150</v>
      </c>
      <c r="BM282" t="s">
        <v>4951</v>
      </c>
      <c r="BN282" t="s">
        <v>74</v>
      </c>
      <c r="BO282" t="s">
        <v>74</v>
      </c>
      <c r="BP282" t="s">
        <v>74</v>
      </c>
      <c r="BQ282" t="s">
        <v>74</v>
      </c>
      <c r="BR282" t="s">
        <v>104</v>
      </c>
      <c r="BS282" t="s">
        <v>4952</v>
      </c>
      <c r="BT282" t="str">
        <f>HYPERLINK("https%3A%2F%2Fwww.webofscience.com%2Fwos%2Fwoscc%2Ffull-record%2FWOS:000490412500010","View Full Record in Web of Science")</f>
        <v>View Full Record in Web of Science</v>
      </c>
    </row>
    <row r="283" spans="1:72" x14ac:dyDescent="0.25">
      <c r="A283" t="s">
        <v>72</v>
      </c>
      <c r="B283" t="s">
        <v>4953</v>
      </c>
      <c r="C283" t="s">
        <v>74</v>
      </c>
      <c r="D283" t="s">
        <v>74</v>
      </c>
      <c r="E283" t="s">
        <v>74</v>
      </c>
      <c r="F283" t="s">
        <v>4954</v>
      </c>
      <c r="G283" t="s">
        <v>74</v>
      </c>
      <c r="H283" t="s">
        <v>74</v>
      </c>
      <c r="I283" t="s">
        <v>4955</v>
      </c>
      <c r="J283" t="s">
        <v>4956</v>
      </c>
      <c r="K283" t="s">
        <v>74</v>
      </c>
      <c r="L283" t="s">
        <v>74</v>
      </c>
      <c r="M283" t="s">
        <v>78</v>
      </c>
      <c r="N283" t="s">
        <v>79</v>
      </c>
      <c r="O283" t="s">
        <v>74</v>
      </c>
      <c r="P283" t="s">
        <v>74</v>
      </c>
      <c r="Q283" t="s">
        <v>74</v>
      </c>
      <c r="R283" t="s">
        <v>74</v>
      </c>
      <c r="S283" t="s">
        <v>74</v>
      </c>
      <c r="T283" t="s">
        <v>4957</v>
      </c>
      <c r="U283" t="s">
        <v>4958</v>
      </c>
      <c r="V283" t="s">
        <v>4959</v>
      </c>
      <c r="W283" t="s">
        <v>4960</v>
      </c>
      <c r="X283" t="s">
        <v>4961</v>
      </c>
      <c r="Y283" t="s">
        <v>4962</v>
      </c>
      <c r="Z283" t="s">
        <v>4963</v>
      </c>
      <c r="AA283" t="s">
        <v>74</v>
      </c>
      <c r="AB283" t="s">
        <v>74</v>
      </c>
      <c r="AC283" t="s">
        <v>4964</v>
      </c>
      <c r="AD283" t="s">
        <v>4965</v>
      </c>
      <c r="AE283" t="s">
        <v>4966</v>
      </c>
      <c r="AF283" t="s">
        <v>74</v>
      </c>
      <c r="AG283">
        <v>69</v>
      </c>
      <c r="AH283">
        <v>14</v>
      </c>
      <c r="AI283">
        <v>27</v>
      </c>
      <c r="AJ283">
        <v>5</v>
      </c>
      <c r="AK283">
        <v>34</v>
      </c>
      <c r="AL283" t="s">
        <v>4967</v>
      </c>
      <c r="AM283" t="s">
        <v>510</v>
      </c>
      <c r="AN283" t="s">
        <v>4968</v>
      </c>
      <c r="AO283" t="s">
        <v>4969</v>
      </c>
      <c r="AP283" t="s">
        <v>4970</v>
      </c>
      <c r="AQ283" t="s">
        <v>74</v>
      </c>
      <c r="AR283" t="s">
        <v>4971</v>
      </c>
      <c r="AS283" t="s">
        <v>4972</v>
      </c>
      <c r="AT283" t="s">
        <v>4973</v>
      </c>
      <c r="AU283">
        <v>2019</v>
      </c>
      <c r="AV283">
        <v>51</v>
      </c>
      <c r="AW283" t="s">
        <v>74</v>
      </c>
      <c r="AX283" t="s">
        <v>74</v>
      </c>
      <c r="AY283" t="s">
        <v>74</v>
      </c>
      <c r="AZ283" t="s">
        <v>74</v>
      </c>
      <c r="BA283" t="s">
        <v>74</v>
      </c>
      <c r="BB283">
        <v>33</v>
      </c>
      <c r="BC283">
        <v>47</v>
      </c>
      <c r="BD283" t="s">
        <v>74</v>
      </c>
      <c r="BE283" t="s">
        <v>4974</v>
      </c>
      <c r="BF283" t="str">
        <f>HYPERLINK("http://dx.doi.org/10.1016/j.jengtecman.2019.03.001","http://dx.doi.org/10.1016/j.jengtecman.2019.03.001")</f>
        <v>http://dx.doi.org/10.1016/j.jengtecman.2019.03.001</v>
      </c>
      <c r="BG283" t="s">
        <v>74</v>
      </c>
      <c r="BH283" t="s">
        <v>74</v>
      </c>
      <c r="BI283">
        <v>15</v>
      </c>
      <c r="BJ283" t="s">
        <v>955</v>
      </c>
      <c r="BK283" t="s">
        <v>322</v>
      </c>
      <c r="BL283" t="s">
        <v>956</v>
      </c>
      <c r="BM283" t="s">
        <v>4975</v>
      </c>
      <c r="BN283" t="s">
        <v>74</v>
      </c>
      <c r="BO283" t="s">
        <v>74</v>
      </c>
      <c r="BP283" t="s">
        <v>74</v>
      </c>
      <c r="BQ283" t="s">
        <v>74</v>
      </c>
      <c r="BR283" t="s">
        <v>104</v>
      </c>
      <c r="BS283" t="s">
        <v>4976</v>
      </c>
      <c r="BT283" t="str">
        <f>HYPERLINK("https%3A%2F%2Fwww.webofscience.com%2Fwos%2Fwoscc%2Ffull-record%2FWOS:000474504600005","View Full Record in Web of Science")</f>
        <v>View Full Record in Web of Science</v>
      </c>
    </row>
    <row r="284" spans="1:72" x14ac:dyDescent="0.25">
      <c r="A284" t="s">
        <v>72</v>
      </c>
      <c r="B284" t="s">
        <v>4977</v>
      </c>
      <c r="C284" t="s">
        <v>74</v>
      </c>
      <c r="D284" t="s">
        <v>74</v>
      </c>
      <c r="E284" t="s">
        <v>74</v>
      </c>
      <c r="F284" t="s">
        <v>4978</v>
      </c>
      <c r="G284" t="s">
        <v>74</v>
      </c>
      <c r="H284" t="s">
        <v>74</v>
      </c>
      <c r="I284" t="s">
        <v>4979</v>
      </c>
      <c r="J284" t="s">
        <v>128</v>
      </c>
      <c r="K284" t="s">
        <v>74</v>
      </c>
      <c r="L284" t="s">
        <v>74</v>
      </c>
      <c r="M284" t="s">
        <v>78</v>
      </c>
      <c r="N284" t="s">
        <v>79</v>
      </c>
      <c r="O284" t="s">
        <v>74</v>
      </c>
      <c r="P284" t="s">
        <v>74</v>
      </c>
      <c r="Q284" t="s">
        <v>74</v>
      </c>
      <c r="R284" t="s">
        <v>74</v>
      </c>
      <c r="S284" t="s">
        <v>74</v>
      </c>
      <c r="T284" t="s">
        <v>4980</v>
      </c>
      <c r="U284" t="s">
        <v>4981</v>
      </c>
      <c r="V284" t="s">
        <v>4982</v>
      </c>
      <c r="W284" t="s">
        <v>4983</v>
      </c>
      <c r="X284" t="s">
        <v>4984</v>
      </c>
      <c r="Y284" t="s">
        <v>4985</v>
      </c>
      <c r="Z284" t="s">
        <v>4986</v>
      </c>
      <c r="AA284" t="s">
        <v>4987</v>
      </c>
      <c r="AB284" t="s">
        <v>74</v>
      </c>
      <c r="AC284" t="s">
        <v>4988</v>
      </c>
      <c r="AD284" t="s">
        <v>4989</v>
      </c>
      <c r="AE284" t="s">
        <v>4990</v>
      </c>
      <c r="AF284" t="s">
        <v>74</v>
      </c>
      <c r="AG284">
        <v>50</v>
      </c>
      <c r="AH284">
        <v>26</v>
      </c>
      <c r="AI284">
        <v>26</v>
      </c>
      <c r="AJ284">
        <v>18</v>
      </c>
      <c r="AK284">
        <v>99</v>
      </c>
      <c r="AL284" t="s">
        <v>138</v>
      </c>
      <c r="AM284" t="s">
        <v>246</v>
      </c>
      <c r="AN284" t="s">
        <v>247</v>
      </c>
      <c r="AO284" t="s">
        <v>141</v>
      </c>
      <c r="AP284" t="s">
        <v>142</v>
      </c>
      <c r="AQ284" t="s">
        <v>74</v>
      </c>
      <c r="AR284" t="s">
        <v>143</v>
      </c>
      <c r="AS284" t="s">
        <v>144</v>
      </c>
      <c r="AT284" t="s">
        <v>559</v>
      </c>
      <c r="AU284">
        <v>2022</v>
      </c>
      <c r="AV284">
        <v>222</v>
      </c>
      <c r="AW284" t="s">
        <v>74</v>
      </c>
      <c r="AX284" t="s">
        <v>74</v>
      </c>
      <c r="AY284" t="s">
        <v>74</v>
      </c>
      <c r="AZ284" t="s">
        <v>74</v>
      </c>
      <c r="BA284" t="s">
        <v>74</v>
      </c>
      <c r="BB284" t="s">
        <v>74</v>
      </c>
      <c r="BC284" t="s">
        <v>74</v>
      </c>
      <c r="BD284">
        <v>108424</v>
      </c>
      <c r="BE284" t="s">
        <v>4991</v>
      </c>
      <c r="BF284" t="str">
        <f>HYPERLINK("http://dx.doi.org/10.1016/j.ress.2022.108424","http://dx.doi.org/10.1016/j.ress.2022.108424")</f>
        <v>http://dx.doi.org/10.1016/j.ress.2022.108424</v>
      </c>
      <c r="BG284" t="s">
        <v>74</v>
      </c>
      <c r="BH284" t="s">
        <v>813</v>
      </c>
      <c r="BI284">
        <v>14</v>
      </c>
      <c r="BJ284" t="s">
        <v>148</v>
      </c>
      <c r="BK284" t="s">
        <v>322</v>
      </c>
      <c r="BL284" t="s">
        <v>150</v>
      </c>
      <c r="BM284" t="s">
        <v>814</v>
      </c>
      <c r="BN284" t="s">
        <v>74</v>
      </c>
      <c r="BO284" t="s">
        <v>74</v>
      </c>
      <c r="BP284" t="s">
        <v>74</v>
      </c>
      <c r="BQ284" t="s">
        <v>74</v>
      </c>
      <c r="BR284" t="s">
        <v>104</v>
      </c>
      <c r="BS284" t="s">
        <v>4992</v>
      </c>
      <c r="BT284" t="str">
        <f>HYPERLINK("https%3A%2F%2Fwww.webofscience.com%2Fwos%2Fwoscc%2Ffull-record%2FWOS:000771562000038","View Full Record in Web of Science")</f>
        <v>View Full Record in Web of Science</v>
      </c>
    </row>
    <row r="285" spans="1:72" x14ac:dyDescent="0.25">
      <c r="A285" t="s">
        <v>72</v>
      </c>
      <c r="B285" t="s">
        <v>4993</v>
      </c>
      <c r="C285" t="s">
        <v>74</v>
      </c>
      <c r="D285" t="s">
        <v>74</v>
      </c>
      <c r="E285" t="s">
        <v>74</v>
      </c>
      <c r="F285" t="s">
        <v>4994</v>
      </c>
      <c r="G285" t="s">
        <v>74</v>
      </c>
      <c r="H285" t="s">
        <v>74</v>
      </c>
      <c r="I285" t="s">
        <v>4995</v>
      </c>
      <c r="J285" t="s">
        <v>542</v>
      </c>
      <c r="K285" t="s">
        <v>74</v>
      </c>
      <c r="L285" t="s">
        <v>74</v>
      </c>
      <c r="M285" t="s">
        <v>78</v>
      </c>
      <c r="N285" t="s">
        <v>79</v>
      </c>
      <c r="O285" t="s">
        <v>74</v>
      </c>
      <c r="P285" t="s">
        <v>74</v>
      </c>
      <c r="Q285" t="s">
        <v>74</v>
      </c>
      <c r="R285" t="s">
        <v>74</v>
      </c>
      <c r="S285" t="s">
        <v>74</v>
      </c>
      <c r="T285" t="s">
        <v>4996</v>
      </c>
      <c r="U285" t="s">
        <v>4997</v>
      </c>
      <c r="V285" t="s">
        <v>4998</v>
      </c>
      <c r="W285" t="s">
        <v>4999</v>
      </c>
      <c r="X285" t="s">
        <v>5000</v>
      </c>
      <c r="Y285" t="s">
        <v>5001</v>
      </c>
      <c r="Z285" t="s">
        <v>5002</v>
      </c>
      <c r="AA285" t="s">
        <v>5003</v>
      </c>
      <c r="AB285" t="s">
        <v>5004</v>
      </c>
      <c r="AC285" t="s">
        <v>2533</v>
      </c>
      <c r="AD285" t="s">
        <v>482</v>
      </c>
      <c r="AE285" t="s">
        <v>5005</v>
      </c>
      <c r="AF285" t="s">
        <v>74</v>
      </c>
      <c r="AG285">
        <v>41</v>
      </c>
      <c r="AH285">
        <v>6</v>
      </c>
      <c r="AI285">
        <v>7</v>
      </c>
      <c r="AJ285">
        <v>0</v>
      </c>
      <c r="AK285">
        <v>41</v>
      </c>
      <c r="AL285" t="s">
        <v>552</v>
      </c>
      <c r="AM285" t="s">
        <v>553</v>
      </c>
      <c r="AN285" t="s">
        <v>554</v>
      </c>
      <c r="AO285" t="s">
        <v>555</v>
      </c>
      <c r="AP285" t="s">
        <v>556</v>
      </c>
      <c r="AQ285" t="s">
        <v>74</v>
      </c>
      <c r="AR285" t="s">
        <v>557</v>
      </c>
      <c r="AS285" t="s">
        <v>558</v>
      </c>
      <c r="AT285" t="s">
        <v>2225</v>
      </c>
      <c r="AU285">
        <v>2019</v>
      </c>
      <c r="AV285">
        <v>233</v>
      </c>
      <c r="AW285">
        <v>4</v>
      </c>
      <c r="AX285" t="s">
        <v>74</v>
      </c>
      <c r="AY285" t="s">
        <v>74</v>
      </c>
      <c r="AZ285" t="s">
        <v>74</v>
      </c>
      <c r="BA285" t="s">
        <v>74</v>
      </c>
      <c r="BB285">
        <v>553</v>
      </c>
      <c r="BC285">
        <v>566</v>
      </c>
      <c r="BD285" t="s">
        <v>74</v>
      </c>
      <c r="BE285" t="s">
        <v>5006</v>
      </c>
      <c r="BF285" t="str">
        <f>HYPERLINK("http://dx.doi.org/10.1177/1748006X18804463","http://dx.doi.org/10.1177/1748006X18804463")</f>
        <v>http://dx.doi.org/10.1177/1748006X18804463</v>
      </c>
      <c r="BG285" t="s">
        <v>74</v>
      </c>
      <c r="BH285" t="s">
        <v>74</v>
      </c>
      <c r="BI285">
        <v>14</v>
      </c>
      <c r="BJ285" t="s">
        <v>494</v>
      </c>
      <c r="BK285" t="s">
        <v>149</v>
      </c>
      <c r="BL285" t="s">
        <v>150</v>
      </c>
      <c r="BM285" t="s">
        <v>5007</v>
      </c>
      <c r="BN285" t="s">
        <v>74</v>
      </c>
      <c r="BO285" t="s">
        <v>74</v>
      </c>
      <c r="BP285" t="s">
        <v>74</v>
      </c>
      <c r="BQ285" t="s">
        <v>74</v>
      </c>
      <c r="BR285" t="s">
        <v>104</v>
      </c>
      <c r="BS285" t="s">
        <v>5008</v>
      </c>
      <c r="BT285" t="str">
        <f>HYPERLINK("https%3A%2F%2Fwww.webofscience.com%2Fwos%2Fwoscc%2Ffull-record%2FWOS:000478598600004","View Full Record in Web of Science")</f>
        <v>View Full Record in Web of Science</v>
      </c>
    </row>
    <row r="286" spans="1:72" x14ac:dyDescent="0.25">
      <c r="A286" t="s">
        <v>72</v>
      </c>
      <c r="B286" t="s">
        <v>5009</v>
      </c>
      <c r="C286" t="s">
        <v>74</v>
      </c>
      <c r="D286" t="s">
        <v>74</v>
      </c>
      <c r="E286" t="s">
        <v>74</v>
      </c>
      <c r="F286" t="s">
        <v>5010</v>
      </c>
      <c r="G286" t="s">
        <v>74</v>
      </c>
      <c r="H286" t="s">
        <v>74</v>
      </c>
      <c r="I286" t="s">
        <v>5011</v>
      </c>
      <c r="J286" t="s">
        <v>128</v>
      </c>
      <c r="K286" t="s">
        <v>74</v>
      </c>
      <c r="L286" t="s">
        <v>74</v>
      </c>
      <c r="M286" t="s">
        <v>78</v>
      </c>
      <c r="N286" t="s">
        <v>79</v>
      </c>
      <c r="O286" t="s">
        <v>74</v>
      </c>
      <c r="P286" t="s">
        <v>74</v>
      </c>
      <c r="Q286" t="s">
        <v>74</v>
      </c>
      <c r="R286" t="s">
        <v>74</v>
      </c>
      <c r="S286" t="s">
        <v>74</v>
      </c>
      <c r="T286" t="s">
        <v>5012</v>
      </c>
      <c r="U286" t="s">
        <v>5013</v>
      </c>
      <c r="V286" t="s">
        <v>5014</v>
      </c>
      <c r="W286" t="s">
        <v>5015</v>
      </c>
      <c r="X286" t="s">
        <v>4517</v>
      </c>
      <c r="Y286" t="s">
        <v>5016</v>
      </c>
      <c r="Z286" t="s">
        <v>4519</v>
      </c>
      <c r="AA286" t="s">
        <v>5017</v>
      </c>
      <c r="AB286" t="s">
        <v>74</v>
      </c>
      <c r="AC286" t="s">
        <v>4522</v>
      </c>
      <c r="AD286" t="s">
        <v>4523</v>
      </c>
      <c r="AE286" t="s">
        <v>5018</v>
      </c>
      <c r="AF286" t="s">
        <v>74</v>
      </c>
      <c r="AG286">
        <v>41</v>
      </c>
      <c r="AH286">
        <v>6</v>
      </c>
      <c r="AI286">
        <v>6</v>
      </c>
      <c r="AJ286">
        <v>15</v>
      </c>
      <c r="AK286">
        <v>33</v>
      </c>
      <c r="AL286" t="s">
        <v>138</v>
      </c>
      <c r="AM286" t="s">
        <v>139</v>
      </c>
      <c r="AN286" t="s">
        <v>140</v>
      </c>
      <c r="AO286" t="s">
        <v>141</v>
      </c>
      <c r="AP286" t="s">
        <v>142</v>
      </c>
      <c r="AQ286" t="s">
        <v>74</v>
      </c>
      <c r="AR286" t="s">
        <v>143</v>
      </c>
      <c r="AS286" t="s">
        <v>144</v>
      </c>
      <c r="AT286" t="s">
        <v>1202</v>
      </c>
      <c r="AU286">
        <v>2024</v>
      </c>
      <c r="AV286">
        <v>245</v>
      </c>
      <c r="AW286" t="s">
        <v>74</v>
      </c>
      <c r="AX286" t="s">
        <v>74</v>
      </c>
      <c r="AY286" t="s">
        <v>74</v>
      </c>
      <c r="AZ286" t="s">
        <v>74</v>
      </c>
      <c r="BA286" t="s">
        <v>74</v>
      </c>
      <c r="BB286" t="s">
        <v>74</v>
      </c>
      <c r="BC286" t="s">
        <v>74</v>
      </c>
      <c r="BD286">
        <v>110043</v>
      </c>
      <c r="BE286" t="s">
        <v>5019</v>
      </c>
      <c r="BF286" t="str">
        <f>HYPERLINK("http://dx.doi.org/10.1016/j.ress.2024.110043","http://dx.doi.org/10.1016/j.ress.2024.110043")</f>
        <v>http://dx.doi.org/10.1016/j.ress.2024.110043</v>
      </c>
      <c r="BG286" t="s">
        <v>74</v>
      </c>
      <c r="BH286" t="s">
        <v>2862</v>
      </c>
      <c r="BI286">
        <v>8</v>
      </c>
      <c r="BJ286" t="s">
        <v>148</v>
      </c>
      <c r="BK286" t="s">
        <v>149</v>
      </c>
      <c r="BL286" t="s">
        <v>150</v>
      </c>
      <c r="BM286" t="s">
        <v>5020</v>
      </c>
      <c r="BN286" t="s">
        <v>74</v>
      </c>
      <c r="BO286" t="s">
        <v>74</v>
      </c>
      <c r="BP286" t="s">
        <v>74</v>
      </c>
      <c r="BQ286" t="s">
        <v>74</v>
      </c>
      <c r="BR286" t="s">
        <v>104</v>
      </c>
      <c r="BS286" t="s">
        <v>5021</v>
      </c>
      <c r="BT286" t="str">
        <f>HYPERLINK("https%3A%2F%2Fwww.webofscience.com%2Fwos%2Fwoscc%2Ffull-record%2FWOS:001200242400001","View Full Record in Web of Science")</f>
        <v>View Full Record in Web of Science</v>
      </c>
    </row>
    <row r="287" spans="1:72" x14ac:dyDescent="0.25">
      <c r="A287" t="s">
        <v>72</v>
      </c>
      <c r="B287" t="s">
        <v>5022</v>
      </c>
      <c r="C287" t="s">
        <v>74</v>
      </c>
      <c r="D287" t="s">
        <v>74</v>
      </c>
      <c r="E287" t="s">
        <v>74</v>
      </c>
      <c r="F287" t="s">
        <v>5023</v>
      </c>
      <c r="G287" t="s">
        <v>74</v>
      </c>
      <c r="H287" t="s">
        <v>74</v>
      </c>
      <c r="I287" t="s">
        <v>5024</v>
      </c>
      <c r="J287" t="s">
        <v>128</v>
      </c>
      <c r="K287" t="s">
        <v>74</v>
      </c>
      <c r="L287" t="s">
        <v>74</v>
      </c>
      <c r="M287" t="s">
        <v>78</v>
      </c>
      <c r="N287" t="s">
        <v>79</v>
      </c>
      <c r="O287" t="s">
        <v>74</v>
      </c>
      <c r="P287" t="s">
        <v>74</v>
      </c>
      <c r="Q287" t="s">
        <v>74</v>
      </c>
      <c r="R287" t="s">
        <v>74</v>
      </c>
      <c r="S287" t="s">
        <v>74</v>
      </c>
      <c r="T287" t="s">
        <v>5025</v>
      </c>
      <c r="U287" t="s">
        <v>5026</v>
      </c>
      <c r="V287" t="s">
        <v>5027</v>
      </c>
      <c r="W287" t="s">
        <v>5028</v>
      </c>
      <c r="X287" t="s">
        <v>5029</v>
      </c>
      <c r="Y287" t="s">
        <v>5030</v>
      </c>
      <c r="Z287" t="s">
        <v>5031</v>
      </c>
      <c r="AA287" t="s">
        <v>74</v>
      </c>
      <c r="AB287" t="s">
        <v>74</v>
      </c>
      <c r="AC287" t="s">
        <v>5032</v>
      </c>
      <c r="AD287" t="s">
        <v>5033</v>
      </c>
      <c r="AE287" t="s">
        <v>5034</v>
      </c>
      <c r="AF287" t="s">
        <v>74</v>
      </c>
      <c r="AG287">
        <v>56</v>
      </c>
      <c r="AH287">
        <v>20</v>
      </c>
      <c r="AI287">
        <v>20</v>
      </c>
      <c r="AJ287">
        <v>4</v>
      </c>
      <c r="AK287">
        <v>25</v>
      </c>
      <c r="AL287" t="s">
        <v>138</v>
      </c>
      <c r="AM287" t="s">
        <v>246</v>
      </c>
      <c r="AN287" t="s">
        <v>247</v>
      </c>
      <c r="AO287" t="s">
        <v>141</v>
      </c>
      <c r="AP287" t="s">
        <v>142</v>
      </c>
      <c r="AQ287" t="s">
        <v>74</v>
      </c>
      <c r="AR287" t="s">
        <v>143</v>
      </c>
      <c r="AS287" t="s">
        <v>144</v>
      </c>
      <c r="AT287" t="s">
        <v>491</v>
      </c>
      <c r="AU287">
        <v>2021</v>
      </c>
      <c r="AV287">
        <v>215</v>
      </c>
      <c r="AW287" t="s">
        <v>74</v>
      </c>
      <c r="AX287" t="s">
        <v>74</v>
      </c>
      <c r="AY287" t="s">
        <v>74</v>
      </c>
      <c r="AZ287" t="s">
        <v>74</v>
      </c>
      <c r="BA287" t="s">
        <v>74</v>
      </c>
      <c r="BB287" t="s">
        <v>74</v>
      </c>
      <c r="BC287" t="s">
        <v>74</v>
      </c>
      <c r="BD287">
        <v>107822</v>
      </c>
      <c r="BE287" t="s">
        <v>5035</v>
      </c>
      <c r="BF287" t="str">
        <f>HYPERLINK("http://dx.doi.org/10.1016/j.ress.2021.107822","http://dx.doi.org/10.1016/j.ress.2021.107822")</f>
        <v>http://dx.doi.org/10.1016/j.ress.2021.107822</v>
      </c>
      <c r="BG287" t="s">
        <v>74</v>
      </c>
      <c r="BH287" t="s">
        <v>1771</v>
      </c>
      <c r="BI287">
        <v>10</v>
      </c>
      <c r="BJ287" t="s">
        <v>148</v>
      </c>
      <c r="BK287" t="s">
        <v>149</v>
      </c>
      <c r="BL287" t="s">
        <v>150</v>
      </c>
      <c r="BM287" t="s">
        <v>2260</v>
      </c>
      <c r="BN287" t="s">
        <v>74</v>
      </c>
      <c r="BO287" t="s">
        <v>74</v>
      </c>
      <c r="BP287" t="s">
        <v>74</v>
      </c>
      <c r="BQ287" t="s">
        <v>74</v>
      </c>
      <c r="BR287" t="s">
        <v>104</v>
      </c>
      <c r="BS287" t="s">
        <v>5036</v>
      </c>
      <c r="BT287" t="str">
        <f>HYPERLINK("https%3A%2F%2Fwww.webofscience.com%2Fwos%2Fwoscc%2Ffull-record%2FWOS:000690283800028","View Full Record in Web of Science")</f>
        <v>View Full Record in Web of Science</v>
      </c>
    </row>
    <row r="288" spans="1:72" x14ac:dyDescent="0.25">
      <c r="A288" t="s">
        <v>72</v>
      </c>
      <c r="B288" t="s">
        <v>5037</v>
      </c>
      <c r="C288" t="s">
        <v>74</v>
      </c>
      <c r="D288" t="s">
        <v>74</v>
      </c>
      <c r="E288" t="s">
        <v>74</v>
      </c>
      <c r="F288" t="s">
        <v>5038</v>
      </c>
      <c r="G288" t="s">
        <v>74</v>
      </c>
      <c r="H288" t="s">
        <v>74</v>
      </c>
      <c r="I288" t="s">
        <v>5039</v>
      </c>
      <c r="J288" t="s">
        <v>2160</v>
      </c>
      <c r="K288" t="s">
        <v>74</v>
      </c>
      <c r="L288" t="s">
        <v>74</v>
      </c>
      <c r="M288" t="s">
        <v>78</v>
      </c>
      <c r="N288" t="s">
        <v>79</v>
      </c>
      <c r="O288" t="s">
        <v>74</v>
      </c>
      <c r="P288" t="s">
        <v>74</v>
      </c>
      <c r="Q288" t="s">
        <v>74</v>
      </c>
      <c r="R288" t="s">
        <v>74</v>
      </c>
      <c r="S288" t="s">
        <v>74</v>
      </c>
      <c r="T288" t="s">
        <v>5040</v>
      </c>
      <c r="U288" t="s">
        <v>5041</v>
      </c>
      <c r="V288" t="s">
        <v>5042</v>
      </c>
      <c r="W288" t="s">
        <v>5043</v>
      </c>
      <c r="X288" t="s">
        <v>5044</v>
      </c>
      <c r="Y288" t="s">
        <v>5045</v>
      </c>
      <c r="Z288" t="s">
        <v>5046</v>
      </c>
      <c r="AA288" t="s">
        <v>5047</v>
      </c>
      <c r="AB288" t="s">
        <v>1299</v>
      </c>
      <c r="AC288" t="s">
        <v>5048</v>
      </c>
      <c r="AD288" t="s">
        <v>482</v>
      </c>
      <c r="AE288" t="s">
        <v>5049</v>
      </c>
      <c r="AF288" t="s">
        <v>74</v>
      </c>
      <c r="AG288">
        <v>31</v>
      </c>
      <c r="AH288">
        <v>8</v>
      </c>
      <c r="AI288">
        <v>8</v>
      </c>
      <c r="AJ288">
        <v>22</v>
      </c>
      <c r="AK288">
        <v>34</v>
      </c>
      <c r="AL288" t="s">
        <v>220</v>
      </c>
      <c r="AM288" t="s">
        <v>221</v>
      </c>
      <c r="AN288" t="s">
        <v>222</v>
      </c>
      <c r="AO288" t="s">
        <v>2172</v>
      </c>
      <c r="AP288" t="s">
        <v>2173</v>
      </c>
      <c r="AQ288" t="s">
        <v>74</v>
      </c>
      <c r="AR288" t="s">
        <v>2174</v>
      </c>
      <c r="AS288" t="s">
        <v>2175</v>
      </c>
      <c r="AT288" t="s">
        <v>1076</v>
      </c>
      <c r="AU288">
        <v>2024</v>
      </c>
      <c r="AV288">
        <v>20</v>
      </c>
      <c r="AW288">
        <v>10</v>
      </c>
      <c r="AX288" t="s">
        <v>74</v>
      </c>
      <c r="AY288" t="s">
        <v>74</v>
      </c>
      <c r="AZ288" t="s">
        <v>74</v>
      </c>
      <c r="BA288" t="s">
        <v>74</v>
      </c>
      <c r="BB288">
        <v>11565</v>
      </c>
      <c r="BC288">
        <v>11574</v>
      </c>
      <c r="BD288" t="s">
        <v>74</v>
      </c>
      <c r="BE288" t="s">
        <v>5050</v>
      </c>
      <c r="BF288" t="str">
        <f>HYPERLINK("http://dx.doi.org/10.1109/TII.2024.3409439","http://dx.doi.org/10.1109/TII.2024.3409439")</f>
        <v>http://dx.doi.org/10.1109/TII.2024.3409439</v>
      </c>
      <c r="BG288" t="s">
        <v>74</v>
      </c>
      <c r="BH288" t="s">
        <v>361</v>
      </c>
      <c r="BI288">
        <v>10</v>
      </c>
      <c r="BJ288" t="s">
        <v>2177</v>
      </c>
      <c r="BK288" t="s">
        <v>149</v>
      </c>
      <c r="BL288" t="s">
        <v>1157</v>
      </c>
      <c r="BM288" t="s">
        <v>5051</v>
      </c>
      <c r="BN288" t="s">
        <v>74</v>
      </c>
      <c r="BO288" t="s">
        <v>74</v>
      </c>
      <c r="BP288" t="s">
        <v>74</v>
      </c>
      <c r="BQ288" t="s">
        <v>74</v>
      </c>
      <c r="BR288" t="s">
        <v>104</v>
      </c>
      <c r="BS288" t="s">
        <v>5052</v>
      </c>
      <c r="BT288" t="str">
        <f>HYPERLINK("https%3A%2F%2Fwww.webofscience.com%2Fwos%2Fwoscc%2Ffull-record%2FWOS:001248119500001","View Full Record in Web of Science")</f>
        <v>View Full Record in Web of Science</v>
      </c>
    </row>
    <row r="289" spans="1:72" x14ac:dyDescent="0.25">
      <c r="A289" t="s">
        <v>72</v>
      </c>
      <c r="B289" t="s">
        <v>5053</v>
      </c>
      <c r="C289" t="s">
        <v>74</v>
      </c>
      <c r="D289" t="s">
        <v>74</v>
      </c>
      <c r="E289" t="s">
        <v>74</v>
      </c>
      <c r="F289" t="s">
        <v>5054</v>
      </c>
      <c r="G289" t="s">
        <v>74</v>
      </c>
      <c r="H289" t="s">
        <v>74</v>
      </c>
      <c r="I289" t="s">
        <v>5055</v>
      </c>
      <c r="J289" t="s">
        <v>1814</v>
      </c>
      <c r="K289" t="s">
        <v>74</v>
      </c>
      <c r="L289" t="s">
        <v>74</v>
      </c>
      <c r="M289" t="s">
        <v>78</v>
      </c>
      <c r="N289" t="s">
        <v>79</v>
      </c>
      <c r="O289" t="s">
        <v>74</v>
      </c>
      <c r="P289" t="s">
        <v>74</v>
      </c>
      <c r="Q289" t="s">
        <v>74</v>
      </c>
      <c r="R289" t="s">
        <v>74</v>
      </c>
      <c r="S289" t="s">
        <v>74</v>
      </c>
      <c r="T289" t="s">
        <v>5056</v>
      </c>
      <c r="U289" t="s">
        <v>5057</v>
      </c>
      <c r="V289" t="s">
        <v>5058</v>
      </c>
      <c r="W289" t="s">
        <v>5059</v>
      </c>
      <c r="X289" t="s">
        <v>5060</v>
      </c>
      <c r="Y289" t="s">
        <v>5061</v>
      </c>
      <c r="Z289" t="s">
        <v>5062</v>
      </c>
      <c r="AA289" t="s">
        <v>74</v>
      </c>
      <c r="AB289" t="s">
        <v>74</v>
      </c>
      <c r="AC289" t="s">
        <v>5063</v>
      </c>
      <c r="AD289" t="s">
        <v>5063</v>
      </c>
      <c r="AE289" t="s">
        <v>5064</v>
      </c>
      <c r="AF289" t="s">
        <v>74</v>
      </c>
      <c r="AG289">
        <v>60</v>
      </c>
      <c r="AH289">
        <v>3</v>
      </c>
      <c r="AI289">
        <v>4</v>
      </c>
      <c r="AJ289">
        <v>1</v>
      </c>
      <c r="AK289">
        <v>30</v>
      </c>
      <c r="AL289" t="s">
        <v>509</v>
      </c>
      <c r="AM289" t="s">
        <v>510</v>
      </c>
      <c r="AN289" t="s">
        <v>511</v>
      </c>
      <c r="AO289" t="s">
        <v>1824</v>
      </c>
      <c r="AP289" t="s">
        <v>1825</v>
      </c>
      <c r="AQ289" t="s">
        <v>74</v>
      </c>
      <c r="AR289" t="s">
        <v>1826</v>
      </c>
      <c r="AS289" t="s">
        <v>1827</v>
      </c>
      <c r="AT289" t="s">
        <v>533</v>
      </c>
      <c r="AU289">
        <v>2019</v>
      </c>
      <c r="AV289">
        <v>208</v>
      </c>
      <c r="AW289" t="s">
        <v>74</v>
      </c>
      <c r="AX289" t="s">
        <v>74</v>
      </c>
      <c r="AY289" t="s">
        <v>74</v>
      </c>
      <c r="AZ289" t="s">
        <v>74</v>
      </c>
      <c r="BA289" t="s">
        <v>74</v>
      </c>
      <c r="BB289">
        <v>53</v>
      </c>
      <c r="BC289">
        <v>68</v>
      </c>
      <c r="BD289" t="s">
        <v>74</v>
      </c>
      <c r="BE289" t="s">
        <v>5065</v>
      </c>
      <c r="BF289" t="str">
        <f>HYPERLINK("http://dx.doi.org/10.1016/j.ijpe.2018.11.019","http://dx.doi.org/10.1016/j.ijpe.2018.11.019")</f>
        <v>http://dx.doi.org/10.1016/j.ijpe.2018.11.019</v>
      </c>
      <c r="BG289" t="s">
        <v>74</v>
      </c>
      <c r="BH289" t="s">
        <v>74</v>
      </c>
      <c r="BI289">
        <v>16</v>
      </c>
      <c r="BJ289" t="s">
        <v>321</v>
      </c>
      <c r="BK289" t="s">
        <v>322</v>
      </c>
      <c r="BL289" t="s">
        <v>150</v>
      </c>
      <c r="BM289" t="s">
        <v>5066</v>
      </c>
      <c r="BN289" t="s">
        <v>74</v>
      </c>
      <c r="BO289" t="s">
        <v>74</v>
      </c>
      <c r="BP289" t="s">
        <v>74</v>
      </c>
      <c r="BQ289" t="s">
        <v>74</v>
      </c>
      <c r="BR289" t="s">
        <v>104</v>
      </c>
      <c r="BS289" t="s">
        <v>5067</v>
      </c>
      <c r="BT289" t="str">
        <f>HYPERLINK("https%3A%2F%2Fwww.webofscience.com%2Fwos%2Fwoscc%2Ffull-record%2FWOS:000457952300005","View Full Record in Web of Science")</f>
        <v>View Full Record in Web of Science</v>
      </c>
    </row>
    <row r="290" spans="1:72" x14ac:dyDescent="0.25">
      <c r="A290" t="s">
        <v>72</v>
      </c>
      <c r="B290" t="s">
        <v>5068</v>
      </c>
      <c r="C290" t="s">
        <v>74</v>
      </c>
      <c r="D290" t="s">
        <v>74</v>
      </c>
      <c r="E290" t="s">
        <v>74</v>
      </c>
      <c r="F290" t="s">
        <v>5069</v>
      </c>
      <c r="G290" t="s">
        <v>74</v>
      </c>
      <c r="H290" t="s">
        <v>74</v>
      </c>
      <c r="I290" t="s">
        <v>5070</v>
      </c>
      <c r="J290" t="s">
        <v>128</v>
      </c>
      <c r="K290" t="s">
        <v>74</v>
      </c>
      <c r="L290" t="s">
        <v>74</v>
      </c>
      <c r="M290" t="s">
        <v>78</v>
      </c>
      <c r="N290" t="s">
        <v>79</v>
      </c>
      <c r="O290" t="s">
        <v>74</v>
      </c>
      <c r="P290" t="s">
        <v>74</v>
      </c>
      <c r="Q290" t="s">
        <v>74</v>
      </c>
      <c r="R290" t="s">
        <v>74</v>
      </c>
      <c r="S290" t="s">
        <v>74</v>
      </c>
      <c r="T290" t="s">
        <v>5071</v>
      </c>
      <c r="U290" t="s">
        <v>5072</v>
      </c>
      <c r="V290" t="s">
        <v>5073</v>
      </c>
      <c r="W290" t="s">
        <v>5074</v>
      </c>
      <c r="X290" t="s">
        <v>1802</v>
      </c>
      <c r="Y290" t="s">
        <v>1803</v>
      </c>
      <c r="Z290" t="s">
        <v>1804</v>
      </c>
      <c r="AA290" t="s">
        <v>74</v>
      </c>
      <c r="AB290" t="s">
        <v>74</v>
      </c>
      <c r="AC290" t="s">
        <v>5075</v>
      </c>
      <c r="AD290" t="s">
        <v>482</v>
      </c>
      <c r="AE290" t="s">
        <v>5076</v>
      </c>
      <c r="AF290" t="s">
        <v>74</v>
      </c>
      <c r="AG290">
        <v>53</v>
      </c>
      <c r="AH290">
        <v>5</v>
      </c>
      <c r="AI290">
        <v>5</v>
      </c>
      <c r="AJ290">
        <v>33</v>
      </c>
      <c r="AK290">
        <v>61</v>
      </c>
      <c r="AL290" t="s">
        <v>138</v>
      </c>
      <c r="AM290" t="s">
        <v>139</v>
      </c>
      <c r="AN290" t="s">
        <v>140</v>
      </c>
      <c r="AO290" t="s">
        <v>141</v>
      </c>
      <c r="AP290" t="s">
        <v>142</v>
      </c>
      <c r="AQ290" t="s">
        <v>74</v>
      </c>
      <c r="AR290" t="s">
        <v>143</v>
      </c>
      <c r="AS290" t="s">
        <v>144</v>
      </c>
      <c r="AT290" t="s">
        <v>1076</v>
      </c>
      <c r="AU290">
        <v>2024</v>
      </c>
      <c r="AV290">
        <v>250</v>
      </c>
      <c r="AW290" t="s">
        <v>74</v>
      </c>
      <c r="AX290" t="s">
        <v>74</v>
      </c>
      <c r="AY290" t="s">
        <v>74</v>
      </c>
      <c r="AZ290" t="s">
        <v>74</v>
      </c>
      <c r="BA290" t="s">
        <v>74</v>
      </c>
      <c r="BB290" t="s">
        <v>74</v>
      </c>
      <c r="BC290" t="s">
        <v>74</v>
      </c>
      <c r="BD290">
        <v>110269</v>
      </c>
      <c r="BE290" t="s">
        <v>5077</v>
      </c>
      <c r="BF290" t="str">
        <f>HYPERLINK("http://dx.doi.org/10.1016/j.ress.2024.110269","http://dx.doi.org/10.1016/j.ress.2024.110269")</f>
        <v>http://dx.doi.org/10.1016/j.ress.2024.110269</v>
      </c>
      <c r="BG290" t="s">
        <v>74</v>
      </c>
      <c r="BH290" t="s">
        <v>361</v>
      </c>
      <c r="BI290">
        <v>12</v>
      </c>
      <c r="BJ290" t="s">
        <v>148</v>
      </c>
      <c r="BK290" t="s">
        <v>149</v>
      </c>
      <c r="BL290" t="s">
        <v>150</v>
      </c>
      <c r="BM290" t="s">
        <v>5078</v>
      </c>
      <c r="BN290" t="s">
        <v>74</v>
      </c>
      <c r="BO290" t="s">
        <v>74</v>
      </c>
      <c r="BP290" t="s">
        <v>74</v>
      </c>
      <c r="BQ290" t="s">
        <v>74</v>
      </c>
      <c r="BR290" t="s">
        <v>104</v>
      </c>
      <c r="BS290" t="s">
        <v>5079</v>
      </c>
      <c r="BT290" t="str">
        <f>HYPERLINK("https%3A%2F%2Fwww.webofscience.com%2Fwos%2Fwoscc%2Ffull-record%2FWOS:001259201500001","View Full Record in Web of Science")</f>
        <v>View Full Record in Web of Science</v>
      </c>
    </row>
    <row r="291" spans="1:72" x14ac:dyDescent="0.25">
      <c r="A291" t="s">
        <v>72</v>
      </c>
      <c r="B291" t="s">
        <v>5080</v>
      </c>
      <c r="C291" t="s">
        <v>74</v>
      </c>
      <c r="D291" t="s">
        <v>74</v>
      </c>
      <c r="E291" t="s">
        <v>74</v>
      </c>
      <c r="F291" t="s">
        <v>5081</v>
      </c>
      <c r="G291" t="s">
        <v>74</v>
      </c>
      <c r="H291" t="s">
        <v>74</v>
      </c>
      <c r="I291" t="s">
        <v>5082</v>
      </c>
      <c r="J291" t="s">
        <v>128</v>
      </c>
      <c r="K291" t="s">
        <v>74</v>
      </c>
      <c r="L291" t="s">
        <v>74</v>
      </c>
      <c r="M291" t="s">
        <v>78</v>
      </c>
      <c r="N291" t="s">
        <v>79</v>
      </c>
      <c r="O291" t="s">
        <v>74</v>
      </c>
      <c r="P291" t="s">
        <v>74</v>
      </c>
      <c r="Q291" t="s">
        <v>74</v>
      </c>
      <c r="R291" t="s">
        <v>74</v>
      </c>
      <c r="S291" t="s">
        <v>74</v>
      </c>
      <c r="T291" t="s">
        <v>5083</v>
      </c>
      <c r="U291" t="s">
        <v>5084</v>
      </c>
      <c r="V291" t="s">
        <v>5085</v>
      </c>
      <c r="W291" t="s">
        <v>5086</v>
      </c>
      <c r="X291" t="s">
        <v>5087</v>
      </c>
      <c r="Y291" t="s">
        <v>5088</v>
      </c>
      <c r="Z291" t="s">
        <v>5089</v>
      </c>
      <c r="AA291" t="s">
        <v>5090</v>
      </c>
      <c r="AB291" t="s">
        <v>5091</v>
      </c>
      <c r="AC291" t="s">
        <v>74</v>
      </c>
      <c r="AD291" t="s">
        <v>74</v>
      </c>
      <c r="AE291" t="s">
        <v>74</v>
      </c>
      <c r="AF291" t="s">
        <v>74</v>
      </c>
      <c r="AG291">
        <v>78</v>
      </c>
      <c r="AH291">
        <v>24</v>
      </c>
      <c r="AI291">
        <v>28</v>
      </c>
      <c r="AJ291">
        <v>5</v>
      </c>
      <c r="AK291">
        <v>56</v>
      </c>
      <c r="AL291" t="s">
        <v>138</v>
      </c>
      <c r="AM291" t="s">
        <v>246</v>
      </c>
      <c r="AN291" t="s">
        <v>247</v>
      </c>
      <c r="AO291" t="s">
        <v>141</v>
      </c>
      <c r="AP291" t="s">
        <v>142</v>
      </c>
      <c r="AQ291" t="s">
        <v>74</v>
      </c>
      <c r="AR291" t="s">
        <v>143</v>
      </c>
      <c r="AS291" t="s">
        <v>144</v>
      </c>
      <c r="AT291" t="s">
        <v>1008</v>
      </c>
      <c r="AU291">
        <v>2021</v>
      </c>
      <c r="AV291">
        <v>205</v>
      </c>
      <c r="AW291" t="s">
        <v>74</v>
      </c>
      <c r="AX291" t="s">
        <v>74</v>
      </c>
      <c r="AY291" t="s">
        <v>74</v>
      </c>
      <c r="AZ291" t="s">
        <v>74</v>
      </c>
      <c r="BA291" t="s">
        <v>74</v>
      </c>
      <c r="BB291" t="s">
        <v>74</v>
      </c>
      <c r="BC291" t="s">
        <v>74</v>
      </c>
      <c r="BD291">
        <v>107265</v>
      </c>
      <c r="BE291" t="s">
        <v>5092</v>
      </c>
      <c r="BF291" t="str">
        <f>HYPERLINK("http://dx.doi.org/10.1016/j.ress.2020.107265","http://dx.doi.org/10.1016/j.ress.2020.107265")</f>
        <v>http://dx.doi.org/10.1016/j.ress.2020.107265</v>
      </c>
      <c r="BG291" t="s">
        <v>74</v>
      </c>
      <c r="BH291" t="s">
        <v>74</v>
      </c>
      <c r="BI291">
        <v>14</v>
      </c>
      <c r="BJ291" t="s">
        <v>148</v>
      </c>
      <c r="BK291" t="s">
        <v>149</v>
      </c>
      <c r="BL291" t="s">
        <v>150</v>
      </c>
      <c r="BM291" t="s">
        <v>2589</v>
      </c>
      <c r="BN291">
        <v>33041526</v>
      </c>
      <c r="BO291" t="s">
        <v>5093</v>
      </c>
      <c r="BP291" t="s">
        <v>74</v>
      </c>
      <c r="BQ291" t="s">
        <v>74</v>
      </c>
      <c r="BR291" t="s">
        <v>104</v>
      </c>
      <c r="BS291" t="s">
        <v>5094</v>
      </c>
      <c r="BT291" t="str">
        <f>HYPERLINK("https%3A%2F%2Fwww.webofscience.com%2Fwos%2Fwoscc%2Ffull-record%2FWOS:000589091300046","View Full Record in Web of Science")</f>
        <v>View Full Record in Web of Science</v>
      </c>
    </row>
    <row r="292" spans="1:72" x14ac:dyDescent="0.25">
      <c r="A292" t="s">
        <v>72</v>
      </c>
      <c r="B292" t="s">
        <v>5095</v>
      </c>
      <c r="C292" t="s">
        <v>74</v>
      </c>
      <c r="D292" t="s">
        <v>74</v>
      </c>
      <c r="E292" t="s">
        <v>74</v>
      </c>
      <c r="F292" t="s">
        <v>5096</v>
      </c>
      <c r="G292" t="s">
        <v>74</v>
      </c>
      <c r="H292" t="s">
        <v>74</v>
      </c>
      <c r="I292" t="s">
        <v>5097</v>
      </c>
      <c r="J292" t="s">
        <v>128</v>
      </c>
      <c r="K292" t="s">
        <v>74</v>
      </c>
      <c r="L292" t="s">
        <v>74</v>
      </c>
      <c r="M292" t="s">
        <v>78</v>
      </c>
      <c r="N292" t="s">
        <v>79</v>
      </c>
      <c r="O292" t="s">
        <v>74</v>
      </c>
      <c r="P292" t="s">
        <v>74</v>
      </c>
      <c r="Q292" t="s">
        <v>74</v>
      </c>
      <c r="R292" t="s">
        <v>74</v>
      </c>
      <c r="S292" t="s">
        <v>74</v>
      </c>
      <c r="T292" t="s">
        <v>5098</v>
      </c>
      <c r="U292" t="s">
        <v>5099</v>
      </c>
      <c r="V292" t="s">
        <v>5100</v>
      </c>
      <c r="W292" t="s">
        <v>5101</v>
      </c>
      <c r="X292" t="s">
        <v>5102</v>
      </c>
      <c r="Y292" t="s">
        <v>5103</v>
      </c>
      <c r="Z292" t="s">
        <v>5104</v>
      </c>
      <c r="AA292" t="s">
        <v>807</v>
      </c>
      <c r="AB292" t="s">
        <v>5105</v>
      </c>
      <c r="AC292" t="s">
        <v>74</v>
      </c>
      <c r="AD292" t="s">
        <v>74</v>
      </c>
      <c r="AE292" t="s">
        <v>74</v>
      </c>
      <c r="AF292" t="s">
        <v>74</v>
      </c>
      <c r="AG292">
        <v>47</v>
      </c>
      <c r="AH292">
        <v>0</v>
      </c>
      <c r="AI292">
        <v>0</v>
      </c>
      <c r="AJ292">
        <v>17</v>
      </c>
      <c r="AK292">
        <v>20</v>
      </c>
      <c r="AL292" t="s">
        <v>138</v>
      </c>
      <c r="AM292" t="s">
        <v>139</v>
      </c>
      <c r="AN292" t="s">
        <v>140</v>
      </c>
      <c r="AO292" t="s">
        <v>141</v>
      </c>
      <c r="AP292" t="s">
        <v>142</v>
      </c>
      <c r="AQ292" t="s">
        <v>74</v>
      </c>
      <c r="AR292" t="s">
        <v>143</v>
      </c>
      <c r="AS292" t="s">
        <v>144</v>
      </c>
      <c r="AT292" t="s">
        <v>145</v>
      </c>
      <c r="AU292">
        <v>2024</v>
      </c>
      <c r="AV292">
        <v>252</v>
      </c>
      <c r="AW292" t="s">
        <v>74</v>
      </c>
      <c r="AX292" t="s">
        <v>74</v>
      </c>
      <c r="AY292" t="s">
        <v>74</v>
      </c>
      <c r="AZ292" t="s">
        <v>74</v>
      </c>
      <c r="BA292" t="s">
        <v>74</v>
      </c>
      <c r="BB292" t="s">
        <v>74</v>
      </c>
      <c r="BC292" t="s">
        <v>74</v>
      </c>
      <c r="BD292">
        <v>110430</v>
      </c>
      <c r="BE292" t="s">
        <v>5106</v>
      </c>
      <c r="BF292" t="str">
        <f>HYPERLINK("http://dx.doi.org/10.1016/j.ress.2024.110430","http://dx.doi.org/10.1016/j.ress.2024.110430")</f>
        <v>http://dx.doi.org/10.1016/j.ress.2024.110430</v>
      </c>
      <c r="BG292" t="s">
        <v>74</v>
      </c>
      <c r="BH292" t="s">
        <v>989</v>
      </c>
      <c r="BI292">
        <v>14</v>
      </c>
      <c r="BJ292" t="s">
        <v>148</v>
      </c>
      <c r="BK292" t="s">
        <v>149</v>
      </c>
      <c r="BL292" t="s">
        <v>150</v>
      </c>
      <c r="BM292" t="s">
        <v>5107</v>
      </c>
      <c r="BN292" t="s">
        <v>74</v>
      </c>
      <c r="BO292" t="s">
        <v>74</v>
      </c>
      <c r="BP292" t="s">
        <v>74</v>
      </c>
      <c r="BQ292" t="s">
        <v>74</v>
      </c>
      <c r="BR292" t="s">
        <v>104</v>
      </c>
      <c r="BS292" t="s">
        <v>5108</v>
      </c>
      <c r="BT292" t="str">
        <f>HYPERLINK("https%3A%2F%2Fwww.webofscience.com%2Fwos%2Fwoscc%2Ffull-record%2FWOS:001301835000001","View Full Record in Web of Science")</f>
        <v>View Full Record in Web of Science</v>
      </c>
    </row>
    <row r="293" spans="1:72" x14ac:dyDescent="0.25">
      <c r="A293" t="s">
        <v>72</v>
      </c>
      <c r="B293" t="s">
        <v>2393</v>
      </c>
      <c r="C293" t="s">
        <v>74</v>
      </c>
      <c r="D293" t="s">
        <v>74</v>
      </c>
      <c r="E293" t="s">
        <v>74</v>
      </c>
      <c r="F293" t="s">
        <v>5109</v>
      </c>
      <c r="G293" t="s">
        <v>74</v>
      </c>
      <c r="H293" t="s">
        <v>74</v>
      </c>
      <c r="I293" t="s">
        <v>5110</v>
      </c>
      <c r="J293" t="s">
        <v>128</v>
      </c>
      <c r="K293" t="s">
        <v>74</v>
      </c>
      <c r="L293" t="s">
        <v>74</v>
      </c>
      <c r="M293" t="s">
        <v>78</v>
      </c>
      <c r="N293" t="s">
        <v>79</v>
      </c>
      <c r="O293" t="s">
        <v>74</v>
      </c>
      <c r="P293" t="s">
        <v>74</v>
      </c>
      <c r="Q293" t="s">
        <v>74</v>
      </c>
      <c r="R293" t="s">
        <v>74</v>
      </c>
      <c r="S293" t="s">
        <v>74</v>
      </c>
      <c r="T293" t="s">
        <v>5111</v>
      </c>
      <c r="U293" t="s">
        <v>5112</v>
      </c>
      <c r="V293" t="s">
        <v>5113</v>
      </c>
      <c r="W293" t="s">
        <v>5114</v>
      </c>
      <c r="X293" t="s">
        <v>2399</v>
      </c>
      <c r="Y293" t="s">
        <v>5115</v>
      </c>
      <c r="Z293" t="s">
        <v>5116</v>
      </c>
      <c r="AA293" t="s">
        <v>74</v>
      </c>
      <c r="AB293" t="s">
        <v>74</v>
      </c>
      <c r="AC293" t="s">
        <v>74</v>
      </c>
      <c r="AD293" t="s">
        <v>74</v>
      </c>
      <c r="AE293" t="s">
        <v>74</v>
      </c>
      <c r="AF293" t="s">
        <v>74</v>
      </c>
      <c r="AG293">
        <v>25</v>
      </c>
      <c r="AH293">
        <v>12</v>
      </c>
      <c r="AI293">
        <v>14</v>
      </c>
      <c r="AJ293">
        <v>2</v>
      </c>
      <c r="AK293">
        <v>18</v>
      </c>
      <c r="AL293" t="s">
        <v>138</v>
      </c>
      <c r="AM293" t="s">
        <v>246</v>
      </c>
      <c r="AN293" t="s">
        <v>247</v>
      </c>
      <c r="AO293" t="s">
        <v>141</v>
      </c>
      <c r="AP293" t="s">
        <v>142</v>
      </c>
      <c r="AQ293" t="s">
        <v>74</v>
      </c>
      <c r="AR293" t="s">
        <v>143</v>
      </c>
      <c r="AS293" t="s">
        <v>144</v>
      </c>
      <c r="AT293" t="s">
        <v>491</v>
      </c>
      <c r="AU293">
        <v>2019</v>
      </c>
      <c r="AV293">
        <v>191</v>
      </c>
      <c r="AW293" t="s">
        <v>74</v>
      </c>
      <c r="AX293" t="s">
        <v>74</v>
      </c>
      <c r="AY293" t="s">
        <v>74</v>
      </c>
      <c r="AZ293" t="s">
        <v>74</v>
      </c>
      <c r="BA293" t="s">
        <v>74</v>
      </c>
      <c r="BB293" t="s">
        <v>74</v>
      </c>
      <c r="BC293" t="s">
        <v>74</v>
      </c>
      <c r="BD293">
        <v>106579</v>
      </c>
      <c r="BE293" t="s">
        <v>5117</v>
      </c>
      <c r="BF293" t="str">
        <f>HYPERLINK("http://dx.doi.org/10.1016/j.ress.2019.106579","http://dx.doi.org/10.1016/j.ress.2019.106579")</f>
        <v>http://dx.doi.org/10.1016/j.ress.2019.106579</v>
      </c>
      <c r="BG293" t="s">
        <v>74</v>
      </c>
      <c r="BH293" t="s">
        <v>74</v>
      </c>
      <c r="BI293">
        <v>21</v>
      </c>
      <c r="BJ293" t="s">
        <v>148</v>
      </c>
      <c r="BK293" t="s">
        <v>149</v>
      </c>
      <c r="BL293" t="s">
        <v>150</v>
      </c>
      <c r="BM293" t="s">
        <v>3322</v>
      </c>
      <c r="BN293" t="s">
        <v>74</v>
      </c>
      <c r="BO293" t="s">
        <v>400</v>
      </c>
      <c r="BP293" t="s">
        <v>74</v>
      </c>
      <c r="BQ293" t="s">
        <v>74</v>
      </c>
      <c r="BR293" t="s">
        <v>104</v>
      </c>
      <c r="BS293" t="s">
        <v>5118</v>
      </c>
      <c r="BT293" t="str">
        <f>HYPERLINK("https%3A%2F%2Fwww.webofscience.com%2Fwos%2Fwoscc%2Ffull-record%2FWOS:000491685000046","View Full Record in Web of Science")</f>
        <v>View Full Record in Web of Science</v>
      </c>
    </row>
    <row r="294" spans="1:72" x14ac:dyDescent="0.25">
      <c r="A294" t="s">
        <v>72</v>
      </c>
      <c r="B294" t="s">
        <v>5119</v>
      </c>
      <c r="C294" t="s">
        <v>74</v>
      </c>
      <c r="D294" t="s">
        <v>74</v>
      </c>
      <c r="E294" t="s">
        <v>74</v>
      </c>
      <c r="F294" t="s">
        <v>5120</v>
      </c>
      <c r="G294" t="s">
        <v>74</v>
      </c>
      <c r="H294" t="s">
        <v>74</v>
      </c>
      <c r="I294" t="s">
        <v>5121</v>
      </c>
      <c r="J294" t="s">
        <v>697</v>
      </c>
      <c r="K294" t="s">
        <v>74</v>
      </c>
      <c r="L294" t="s">
        <v>74</v>
      </c>
      <c r="M294" t="s">
        <v>78</v>
      </c>
      <c r="N294" t="s">
        <v>79</v>
      </c>
      <c r="O294" t="s">
        <v>74</v>
      </c>
      <c r="P294" t="s">
        <v>74</v>
      </c>
      <c r="Q294" t="s">
        <v>74</v>
      </c>
      <c r="R294" t="s">
        <v>74</v>
      </c>
      <c r="S294" t="s">
        <v>74</v>
      </c>
      <c r="T294" t="s">
        <v>5122</v>
      </c>
      <c r="U294" t="s">
        <v>5123</v>
      </c>
      <c r="V294" t="s">
        <v>5124</v>
      </c>
      <c r="W294" t="s">
        <v>5125</v>
      </c>
      <c r="X294" t="s">
        <v>5126</v>
      </c>
      <c r="Y294" t="s">
        <v>1448</v>
      </c>
      <c r="Z294" t="s">
        <v>5127</v>
      </c>
      <c r="AA294" t="s">
        <v>5128</v>
      </c>
      <c r="AB294" t="s">
        <v>2286</v>
      </c>
      <c r="AC294" t="s">
        <v>5129</v>
      </c>
      <c r="AD294" t="s">
        <v>5130</v>
      </c>
      <c r="AE294" t="s">
        <v>5131</v>
      </c>
      <c r="AF294" t="s">
        <v>74</v>
      </c>
      <c r="AG294">
        <v>45</v>
      </c>
      <c r="AH294">
        <v>5</v>
      </c>
      <c r="AI294">
        <v>5</v>
      </c>
      <c r="AJ294">
        <v>8</v>
      </c>
      <c r="AK294">
        <v>26</v>
      </c>
      <c r="AL294" t="s">
        <v>707</v>
      </c>
      <c r="AM294" t="s">
        <v>246</v>
      </c>
      <c r="AN294" t="s">
        <v>708</v>
      </c>
      <c r="AO294" t="s">
        <v>709</v>
      </c>
      <c r="AP294" t="s">
        <v>710</v>
      </c>
      <c r="AQ294" t="s">
        <v>74</v>
      </c>
      <c r="AR294" t="s">
        <v>711</v>
      </c>
      <c r="AS294" t="s">
        <v>712</v>
      </c>
      <c r="AT294" t="s">
        <v>491</v>
      </c>
      <c r="AU294">
        <v>2023</v>
      </c>
      <c r="AV294">
        <v>185</v>
      </c>
      <c r="AW294" t="s">
        <v>74</v>
      </c>
      <c r="AX294" t="s">
        <v>74</v>
      </c>
      <c r="AY294" t="s">
        <v>74</v>
      </c>
      <c r="AZ294" t="s">
        <v>74</v>
      </c>
      <c r="BA294" t="s">
        <v>74</v>
      </c>
      <c r="BB294" t="s">
        <v>74</v>
      </c>
      <c r="BC294" t="s">
        <v>74</v>
      </c>
      <c r="BD294">
        <v>109673</v>
      </c>
      <c r="BE294" t="s">
        <v>5132</v>
      </c>
      <c r="BF294" t="str">
        <f>HYPERLINK("http://dx.doi.org/10.1016/j.cie.2023.109673","http://dx.doi.org/10.1016/j.cie.2023.109673")</f>
        <v>http://dx.doi.org/10.1016/j.cie.2023.109673</v>
      </c>
      <c r="BG294" t="s">
        <v>74</v>
      </c>
      <c r="BH294" t="s">
        <v>846</v>
      </c>
      <c r="BI294">
        <v>10</v>
      </c>
      <c r="BJ294" t="s">
        <v>715</v>
      </c>
      <c r="BK294" t="s">
        <v>149</v>
      </c>
      <c r="BL294" t="s">
        <v>716</v>
      </c>
      <c r="BM294" t="s">
        <v>5133</v>
      </c>
      <c r="BN294" t="s">
        <v>74</v>
      </c>
      <c r="BO294" t="s">
        <v>74</v>
      </c>
      <c r="BP294" t="s">
        <v>74</v>
      </c>
      <c r="BQ294" t="s">
        <v>74</v>
      </c>
      <c r="BR294" t="s">
        <v>104</v>
      </c>
      <c r="BS294" t="s">
        <v>5134</v>
      </c>
      <c r="BT294" t="str">
        <f>HYPERLINK("https%3A%2F%2Fwww.webofscience.com%2Fwos%2Fwoscc%2Ffull-record%2FWOS:001095177200001","View Full Record in Web of Science")</f>
        <v>View Full Record in Web of Science</v>
      </c>
    </row>
    <row r="295" spans="1:72" x14ac:dyDescent="0.25">
      <c r="A295" t="s">
        <v>72</v>
      </c>
      <c r="B295" t="s">
        <v>5135</v>
      </c>
      <c r="C295" t="s">
        <v>74</v>
      </c>
      <c r="D295" t="s">
        <v>74</v>
      </c>
      <c r="E295" t="s">
        <v>74</v>
      </c>
      <c r="F295" t="s">
        <v>5136</v>
      </c>
      <c r="G295" t="s">
        <v>74</v>
      </c>
      <c r="H295" t="s">
        <v>74</v>
      </c>
      <c r="I295" t="s">
        <v>5137</v>
      </c>
      <c r="J295" t="s">
        <v>472</v>
      </c>
      <c r="K295" t="s">
        <v>74</v>
      </c>
      <c r="L295" t="s">
        <v>74</v>
      </c>
      <c r="M295" t="s">
        <v>78</v>
      </c>
      <c r="N295" t="s">
        <v>79</v>
      </c>
      <c r="O295" t="s">
        <v>74</v>
      </c>
      <c r="P295" t="s">
        <v>74</v>
      </c>
      <c r="Q295" t="s">
        <v>74</v>
      </c>
      <c r="R295" t="s">
        <v>74</v>
      </c>
      <c r="S295" t="s">
        <v>74</v>
      </c>
      <c r="T295" t="s">
        <v>5138</v>
      </c>
      <c r="U295" t="s">
        <v>5139</v>
      </c>
      <c r="V295" t="s">
        <v>5140</v>
      </c>
      <c r="W295" t="s">
        <v>5141</v>
      </c>
      <c r="X295" t="s">
        <v>4887</v>
      </c>
      <c r="Y295" t="s">
        <v>5142</v>
      </c>
      <c r="Z295" t="s">
        <v>5143</v>
      </c>
      <c r="AA295" t="s">
        <v>74</v>
      </c>
      <c r="AB295" t="s">
        <v>74</v>
      </c>
      <c r="AC295" t="s">
        <v>74</v>
      </c>
      <c r="AD295" t="s">
        <v>74</v>
      </c>
      <c r="AE295" t="s">
        <v>74</v>
      </c>
      <c r="AF295" t="s">
        <v>74</v>
      </c>
      <c r="AG295">
        <v>39</v>
      </c>
      <c r="AH295">
        <v>10</v>
      </c>
      <c r="AI295">
        <v>13</v>
      </c>
      <c r="AJ295">
        <v>4</v>
      </c>
      <c r="AK295">
        <v>29</v>
      </c>
      <c r="AL295" t="s">
        <v>484</v>
      </c>
      <c r="AM295" t="s">
        <v>485</v>
      </c>
      <c r="AN295" t="s">
        <v>486</v>
      </c>
      <c r="AO295" t="s">
        <v>487</v>
      </c>
      <c r="AP295" t="s">
        <v>488</v>
      </c>
      <c r="AQ295" t="s">
        <v>74</v>
      </c>
      <c r="AR295" t="s">
        <v>489</v>
      </c>
      <c r="AS295" t="s">
        <v>490</v>
      </c>
      <c r="AT295" t="s">
        <v>559</v>
      </c>
      <c r="AU295">
        <v>2019</v>
      </c>
      <c r="AV295">
        <v>35</v>
      </c>
      <c r="AW295">
        <v>4</v>
      </c>
      <c r="AX295" t="s">
        <v>74</v>
      </c>
      <c r="AY295" t="s">
        <v>74</v>
      </c>
      <c r="AZ295" t="s">
        <v>74</v>
      </c>
      <c r="BA295" t="s">
        <v>74</v>
      </c>
      <c r="BB295">
        <v>978</v>
      </c>
      <c r="BC295">
        <v>994</v>
      </c>
      <c r="BD295" t="s">
        <v>74</v>
      </c>
      <c r="BE295" t="s">
        <v>5144</v>
      </c>
      <c r="BF295" t="str">
        <f>HYPERLINK("http://dx.doi.org/10.1002/qre.2440","http://dx.doi.org/10.1002/qre.2440")</f>
        <v>http://dx.doi.org/10.1002/qre.2440</v>
      </c>
      <c r="BG295" t="s">
        <v>74</v>
      </c>
      <c r="BH295" t="s">
        <v>74</v>
      </c>
      <c r="BI295">
        <v>17</v>
      </c>
      <c r="BJ295" t="s">
        <v>494</v>
      </c>
      <c r="BK295" t="s">
        <v>149</v>
      </c>
      <c r="BL295" t="s">
        <v>150</v>
      </c>
      <c r="BM295" t="s">
        <v>5145</v>
      </c>
      <c r="BN295" t="s">
        <v>74</v>
      </c>
      <c r="BO295" t="s">
        <v>74</v>
      </c>
      <c r="BP295" t="s">
        <v>74</v>
      </c>
      <c r="BQ295" t="s">
        <v>74</v>
      </c>
      <c r="BR295" t="s">
        <v>104</v>
      </c>
      <c r="BS295" t="s">
        <v>5146</v>
      </c>
      <c r="BT295" t="str">
        <f>HYPERLINK("https%3A%2F%2Fwww.webofscience.com%2Fwos%2Fwoscc%2Ffull-record%2FWOS:000468476500009","View Full Record in Web of Science")</f>
        <v>View Full Record in Web of Science</v>
      </c>
    </row>
    <row r="296" spans="1:72" x14ac:dyDescent="0.25">
      <c r="A296" t="s">
        <v>72</v>
      </c>
      <c r="B296" t="s">
        <v>5147</v>
      </c>
      <c r="C296" t="s">
        <v>74</v>
      </c>
      <c r="D296" t="s">
        <v>74</v>
      </c>
      <c r="E296" t="s">
        <v>74</v>
      </c>
      <c r="F296" t="s">
        <v>5148</v>
      </c>
      <c r="G296" t="s">
        <v>74</v>
      </c>
      <c r="H296" t="s">
        <v>74</v>
      </c>
      <c r="I296" t="s">
        <v>5149</v>
      </c>
      <c r="J296" t="s">
        <v>128</v>
      </c>
      <c r="K296" t="s">
        <v>74</v>
      </c>
      <c r="L296" t="s">
        <v>74</v>
      </c>
      <c r="M296" t="s">
        <v>78</v>
      </c>
      <c r="N296" t="s">
        <v>79</v>
      </c>
      <c r="O296" t="s">
        <v>74</v>
      </c>
      <c r="P296" t="s">
        <v>74</v>
      </c>
      <c r="Q296" t="s">
        <v>74</v>
      </c>
      <c r="R296" t="s">
        <v>74</v>
      </c>
      <c r="S296" t="s">
        <v>74</v>
      </c>
      <c r="T296" t="s">
        <v>5150</v>
      </c>
      <c r="U296" t="s">
        <v>5151</v>
      </c>
      <c r="V296" t="s">
        <v>5152</v>
      </c>
      <c r="W296" t="s">
        <v>5153</v>
      </c>
      <c r="X296" t="s">
        <v>1785</v>
      </c>
      <c r="Y296" t="s">
        <v>5154</v>
      </c>
      <c r="Z296" t="s">
        <v>5155</v>
      </c>
      <c r="AA296" t="s">
        <v>5156</v>
      </c>
      <c r="AB296" t="s">
        <v>74</v>
      </c>
      <c r="AC296" t="s">
        <v>5157</v>
      </c>
      <c r="AD296" t="s">
        <v>5158</v>
      </c>
      <c r="AE296" t="s">
        <v>5159</v>
      </c>
      <c r="AF296" t="s">
        <v>74</v>
      </c>
      <c r="AG296">
        <v>28</v>
      </c>
      <c r="AH296">
        <v>10</v>
      </c>
      <c r="AI296">
        <v>11</v>
      </c>
      <c r="AJ296">
        <v>2</v>
      </c>
      <c r="AK296">
        <v>12</v>
      </c>
      <c r="AL296" t="s">
        <v>138</v>
      </c>
      <c r="AM296" t="s">
        <v>246</v>
      </c>
      <c r="AN296" t="s">
        <v>247</v>
      </c>
      <c r="AO296" t="s">
        <v>141</v>
      </c>
      <c r="AP296" t="s">
        <v>142</v>
      </c>
      <c r="AQ296" t="s">
        <v>74</v>
      </c>
      <c r="AR296" t="s">
        <v>143</v>
      </c>
      <c r="AS296" t="s">
        <v>144</v>
      </c>
      <c r="AT296" t="s">
        <v>275</v>
      </c>
      <c r="AU296">
        <v>2021</v>
      </c>
      <c r="AV296">
        <v>207</v>
      </c>
      <c r="AW296" t="s">
        <v>74</v>
      </c>
      <c r="AX296" t="s">
        <v>74</v>
      </c>
      <c r="AY296" t="s">
        <v>74</v>
      </c>
      <c r="AZ296" t="s">
        <v>74</v>
      </c>
      <c r="BA296" t="s">
        <v>74</v>
      </c>
      <c r="BB296" t="s">
        <v>74</v>
      </c>
      <c r="BC296" t="s">
        <v>74</v>
      </c>
      <c r="BD296">
        <v>107399</v>
      </c>
      <c r="BE296" t="s">
        <v>5160</v>
      </c>
      <c r="BF296" t="str">
        <f>HYPERLINK("http://dx.doi.org/10.1016/j.ress.2020.107399","http://dx.doi.org/10.1016/j.ress.2020.107399")</f>
        <v>http://dx.doi.org/10.1016/j.ress.2020.107399</v>
      </c>
      <c r="BG296" t="s">
        <v>74</v>
      </c>
      <c r="BH296" t="s">
        <v>74</v>
      </c>
      <c r="BI296">
        <v>12</v>
      </c>
      <c r="BJ296" t="s">
        <v>148</v>
      </c>
      <c r="BK296" t="s">
        <v>149</v>
      </c>
      <c r="BL296" t="s">
        <v>150</v>
      </c>
      <c r="BM296" t="s">
        <v>5161</v>
      </c>
      <c r="BN296" t="s">
        <v>74</v>
      </c>
      <c r="BO296" t="s">
        <v>74</v>
      </c>
      <c r="BP296" t="s">
        <v>74</v>
      </c>
      <c r="BQ296" t="s">
        <v>74</v>
      </c>
      <c r="BR296" t="s">
        <v>104</v>
      </c>
      <c r="BS296" t="s">
        <v>5162</v>
      </c>
      <c r="BT296" t="str">
        <f>HYPERLINK("https%3A%2F%2Fwww.webofscience.com%2Fwos%2Fwoscc%2Ffull-record%2FWOS:000606682100047","View Full Record in Web of Science")</f>
        <v>View Full Record in Web of Science</v>
      </c>
    </row>
    <row r="297" spans="1:72" x14ac:dyDescent="0.25">
      <c r="A297" t="s">
        <v>72</v>
      </c>
      <c r="B297" t="s">
        <v>5163</v>
      </c>
      <c r="C297" t="s">
        <v>74</v>
      </c>
      <c r="D297" t="s">
        <v>74</v>
      </c>
      <c r="E297" t="s">
        <v>74</v>
      </c>
      <c r="F297" t="s">
        <v>5164</v>
      </c>
      <c r="G297" t="s">
        <v>74</v>
      </c>
      <c r="H297" t="s">
        <v>74</v>
      </c>
      <c r="I297" t="s">
        <v>5165</v>
      </c>
      <c r="J297" t="s">
        <v>697</v>
      </c>
      <c r="K297" t="s">
        <v>74</v>
      </c>
      <c r="L297" t="s">
        <v>74</v>
      </c>
      <c r="M297" t="s">
        <v>78</v>
      </c>
      <c r="N297" t="s">
        <v>79</v>
      </c>
      <c r="O297" t="s">
        <v>74</v>
      </c>
      <c r="P297" t="s">
        <v>74</v>
      </c>
      <c r="Q297" t="s">
        <v>74</v>
      </c>
      <c r="R297" t="s">
        <v>74</v>
      </c>
      <c r="S297" t="s">
        <v>74</v>
      </c>
      <c r="T297" t="s">
        <v>5166</v>
      </c>
      <c r="U297" t="s">
        <v>5167</v>
      </c>
      <c r="V297" t="s">
        <v>5168</v>
      </c>
      <c r="W297" t="s">
        <v>5169</v>
      </c>
      <c r="X297" t="s">
        <v>5170</v>
      </c>
      <c r="Y297" t="s">
        <v>3423</v>
      </c>
      <c r="Z297" t="s">
        <v>3424</v>
      </c>
      <c r="AA297" t="s">
        <v>5171</v>
      </c>
      <c r="AB297" t="s">
        <v>74</v>
      </c>
      <c r="AC297" t="s">
        <v>3425</v>
      </c>
      <c r="AD297" t="s">
        <v>482</v>
      </c>
      <c r="AE297" t="s">
        <v>5172</v>
      </c>
      <c r="AF297" t="s">
        <v>74</v>
      </c>
      <c r="AG297">
        <v>27</v>
      </c>
      <c r="AH297">
        <v>33</v>
      </c>
      <c r="AI297">
        <v>36</v>
      </c>
      <c r="AJ297">
        <v>3</v>
      </c>
      <c r="AK297">
        <v>55</v>
      </c>
      <c r="AL297" t="s">
        <v>707</v>
      </c>
      <c r="AM297" t="s">
        <v>246</v>
      </c>
      <c r="AN297" t="s">
        <v>708</v>
      </c>
      <c r="AO297" t="s">
        <v>709</v>
      </c>
      <c r="AP297" t="s">
        <v>710</v>
      </c>
      <c r="AQ297" t="s">
        <v>74</v>
      </c>
      <c r="AR297" t="s">
        <v>711</v>
      </c>
      <c r="AS297" t="s">
        <v>712</v>
      </c>
      <c r="AT297" t="s">
        <v>491</v>
      </c>
      <c r="AU297">
        <v>2019</v>
      </c>
      <c r="AV297">
        <v>137</v>
      </c>
      <c r="AW297" t="s">
        <v>74</v>
      </c>
      <c r="AX297" t="s">
        <v>74</v>
      </c>
      <c r="AY297" t="s">
        <v>74</v>
      </c>
      <c r="AZ297" t="s">
        <v>74</v>
      </c>
      <c r="BA297" t="s">
        <v>74</v>
      </c>
      <c r="BB297" t="s">
        <v>74</v>
      </c>
      <c r="BC297" t="s">
        <v>74</v>
      </c>
      <c r="BD297">
        <v>106029</v>
      </c>
      <c r="BE297" t="s">
        <v>5173</v>
      </c>
      <c r="BF297" t="str">
        <f>HYPERLINK("http://dx.doi.org/10.1016/j.cie.2019.106029","http://dx.doi.org/10.1016/j.cie.2019.106029")</f>
        <v>http://dx.doi.org/10.1016/j.cie.2019.106029</v>
      </c>
      <c r="BG297" t="s">
        <v>74</v>
      </c>
      <c r="BH297" t="s">
        <v>74</v>
      </c>
      <c r="BI297">
        <v>8</v>
      </c>
      <c r="BJ297" t="s">
        <v>715</v>
      </c>
      <c r="BK297" t="s">
        <v>149</v>
      </c>
      <c r="BL297" t="s">
        <v>716</v>
      </c>
      <c r="BM297" t="s">
        <v>3383</v>
      </c>
      <c r="BN297" t="s">
        <v>74</v>
      </c>
      <c r="BO297" t="s">
        <v>74</v>
      </c>
      <c r="BP297" t="s">
        <v>74</v>
      </c>
      <c r="BQ297" t="s">
        <v>74</v>
      </c>
      <c r="BR297" t="s">
        <v>104</v>
      </c>
      <c r="BS297" t="s">
        <v>5174</v>
      </c>
      <c r="BT297" t="str">
        <f>HYPERLINK("https%3A%2F%2Fwww.webofscience.com%2Fwos%2Fwoscc%2Ffull-record%2FWOS:000500376700022","View Full Record in Web of Science")</f>
        <v>View Full Record in Web of Science</v>
      </c>
    </row>
    <row r="298" spans="1:72" x14ac:dyDescent="0.25">
      <c r="A298" t="s">
        <v>72</v>
      </c>
      <c r="B298" t="s">
        <v>5175</v>
      </c>
      <c r="C298" t="s">
        <v>74</v>
      </c>
      <c r="D298" t="s">
        <v>74</v>
      </c>
      <c r="E298" t="s">
        <v>74</v>
      </c>
      <c r="F298" t="s">
        <v>5176</v>
      </c>
      <c r="G298" t="s">
        <v>74</v>
      </c>
      <c r="H298" t="s">
        <v>74</v>
      </c>
      <c r="I298" t="s">
        <v>5177</v>
      </c>
      <c r="J298" t="s">
        <v>188</v>
      </c>
      <c r="K298" t="s">
        <v>74</v>
      </c>
      <c r="L298" t="s">
        <v>74</v>
      </c>
      <c r="M298" t="s">
        <v>78</v>
      </c>
      <c r="N298" t="s">
        <v>79</v>
      </c>
      <c r="O298" t="s">
        <v>74</v>
      </c>
      <c r="P298" t="s">
        <v>74</v>
      </c>
      <c r="Q298" t="s">
        <v>74</v>
      </c>
      <c r="R298" t="s">
        <v>74</v>
      </c>
      <c r="S298" t="s">
        <v>74</v>
      </c>
      <c r="T298" t="s">
        <v>5178</v>
      </c>
      <c r="U298" t="s">
        <v>74</v>
      </c>
      <c r="V298" t="s">
        <v>5179</v>
      </c>
      <c r="W298" t="s">
        <v>5180</v>
      </c>
      <c r="X298" t="s">
        <v>5181</v>
      </c>
      <c r="Y298" t="s">
        <v>5182</v>
      </c>
      <c r="Z298" t="s">
        <v>5183</v>
      </c>
      <c r="AA298" t="s">
        <v>5184</v>
      </c>
      <c r="AB298" t="s">
        <v>5185</v>
      </c>
      <c r="AC298" t="s">
        <v>74</v>
      </c>
      <c r="AD298" t="s">
        <v>74</v>
      </c>
      <c r="AE298" t="s">
        <v>74</v>
      </c>
      <c r="AF298" t="s">
        <v>74</v>
      </c>
      <c r="AG298">
        <v>34</v>
      </c>
      <c r="AH298">
        <v>1</v>
      </c>
      <c r="AI298">
        <v>1</v>
      </c>
      <c r="AJ298">
        <v>0</v>
      </c>
      <c r="AK298">
        <v>6</v>
      </c>
      <c r="AL298" t="s">
        <v>198</v>
      </c>
      <c r="AM298" t="s">
        <v>199</v>
      </c>
      <c r="AN298" t="s">
        <v>200</v>
      </c>
      <c r="AO298" t="s">
        <v>201</v>
      </c>
      <c r="AP298" t="s">
        <v>202</v>
      </c>
      <c r="AQ298" t="s">
        <v>74</v>
      </c>
      <c r="AR298" t="s">
        <v>203</v>
      </c>
      <c r="AS298" t="s">
        <v>204</v>
      </c>
      <c r="AT298" t="s">
        <v>275</v>
      </c>
      <c r="AU298">
        <v>2021</v>
      </c>
      <c r="AV298">
        <v>12</v>
      </c>
      <c r="AW298">
        <v>1</v>
      </c>
      <c r="AX298" t="s">
        <v>74</v>
      </c>
      <c r="AY298" t="s">
        <v>74</v>
      </c>
      <c r="AZ298" t="s">
        <v>74</v>
      </c>
      <c r="BA298" t="s">
        <v>74</v>
      </c>
      <c r="BB298">
        <v>108</v>
      </c>
      <c r="BC298">
        <v>118</v>
      </c>
      <c r="BD298" t="s">
        <v>74</v>
      </c>
      <c r="BE298" t="s">
        <v>5186</v>
      </c>
      <c r="BF298" t="str">
        <f>HYPERLINK("http://dx.doi.org/10.24425/mper.2021.136876","http://dx.doi.org/10.24425/mper.2021.136876")</f>
        <v>http://dx.doi.org/10.24425/mper.2021.136876</v>
      </c>
      <c r="BG298" t="s">
        <v>74</v>
      </c>
      <c r="BH298" t="s">
        <v>74</v>
      </c>
      <c r="BI298">
        <v>11</v>
      </c>
      <c r="BJ298" t="s">
        <v>100</v>
      </c>
      <c r="BK298" t="s">
        <v>101</v>
      </c>
      <c r="BL298" t="s">
        <v>102</v>
      </c>
      <c r="BM298" t="s">
        <v>5187</v>
      </c>
      <c r="BN298" t="s">
        <v>74</v>
      </c>
      <c r="BO298" t="s">
        <v>208</v>
      </c>
      <c r="BP298" t="s">
        <v>74</v>
      </c>
      <c r="BQ298" t="s">
        <v>74</v>
      </c>
      <c r="BR298" t="s">
        <v>104</v>
      </c>
      <c r="BS298" t="s">
        <v>5188</v>
      </c>
      <c r="BT298" t="str">
        <f>HYPERLINK("https%3A%2F%2Fwww.webofscience.com%2Fwos%2Fwoscc%2Ffull-record%2FWOS:000637027000010","View Full Record in Web of Science")</f>
        <v>View Full Record in Web of Science</v>
      </c>
    </row>
    <row r="299" spans="1:72" x14ac:dyDescent="0.25">
      <c r="A299" t="s">
        <v>72</v>
      </c>
      <c r="B299" t="s">
        <v>5189</v>
      </c>
      <c r="C299" t="s">
        <v>74</v>
      </c>
      <c r="D299" t="s">
        <v>74</v>
      </c>
      <c r="E299" t="s">
        <v>74</v>
      </c>
      <c r="F299" t="s">
        <v>5190</v>
      </c>
      <c r="G299" t="s">
        <v>74</v>
      </c>
      <c r="H299" t="s">
        <v>74</v>
      </c>
      <c r="I299" t="s">
        <v>5191</v>
      </c>
      <c r="J299" t="s">
        <v>5192</v>
      </c>
      <c r="K299" t="s">
        <v>74</v>
      </c>
      <c r="L299" t="s">
        <v>74</v>
      </c>
      <c r="M299" t="s">
        <v>78</v>
      </c>
      <c r="N299" t="s">
        <v>79</v>
      </c>
      <c r="O299" t="s">
        <v>74</v>
      </c>
      <c r="P299" t="s">
        <v>74</v>
      </c>
      <c r="Q299" t="s">
        <v>74</v>
      </c>
      <c r="R299" t="s">
        <v>74</v>
      </c>
      <c r="S299" t="s">
        <v>74</v>
      </c>
      <c r="T299" t="s">
        <v>5193</v>
      </c>
      <c r="U299" t="s">
        <v>5194</v>
      </c>
      <c r="V299" t="s">
        <v>5195</v>
      </c>
      <c r="W299" t="s">
        <v>5196</v>
      </c>
      <c r="X299" t="s">
        <v>5197</v>
      </c>
      <c r="Y299" t="s">
        <v>5198</v>
      </c>
      <c r="Z299" t="s">
        <v>1147</v>
      </c>
      <c r="AA299" t="s">
        <v>5199</v>
      </c>
      <c r="AB299" t="s">
        <v>5200</v>
      </c>
      <c r="AC299" t="s">
        <v>74</v>
      </c>
      <c r="AD299" t="s">
        <v>74</v>
      </c>
      <c r="AE299" t="s">
        <v>74</v>
      </c>
      <c r="AF299" t="s">
        <v>74</v>
      </c>
      <c r="AG299">
        <v>66</v>
      </c>
      <c r="AH299">
        <v>7</v>
      </c>
      <c r="AI299">
        <v>7</v>
      </c>
      <c r="AJ299">
        <v>4</v>
      </c>
      <c r="AK299">
        <v>24</v>
      </c>
      <c r="AL299" t="s">
        <v>5201</v>
      </c>
      <c r="AM299" t="s">
        <v>553</v>
      </c>
      <c r="AN299" t="s">
        <v>5202</v>
      </c>
      <c r="AO299" t="s">
        <v>74</v>
      </c>
      <c r="AP299" t="s">
        <v>5203</v>
      </c>
      <c r="AQ299" t="s">
        <v>74</v>
      </c>
      <c r="AR299" t="s">
        <v>5204</v>
      </c>
      <c r="AS299" t="s">
        <v>5205</v>
      </c>
      <c r="AT299" t="s">
        <v>2796</v>
      </c>
      <c r="AU299">
        <v>2023</v>
      </c>
      <c r="AV299">
        <v>9</v>
      </c>
      <c r="AW299" t="s">
        <v>74</v>
      </c>
      <c r="AX299" t="s">
        <v>74</v>
      </c>
      <c r="AY299" t="s">
        <v>74</v>
      </c>
      <c r="AZ299" t="s">
        <v>74</v>
      </c>
      <c r="BA299" t="s">
        <v>74</v>
      </c>
      <c r="BB299" t="s">
        <v>74</v>
      </c>
      <c r="BC299" t="s">
        <v>74</v>
      </c>
      <c r="BD299" t="s">
        <v>5206</v>
      </c>
      <c r="BE299" t="s">
        <v>5207</v>
      </c>
      <c r="BF299" t="str">
        <f>HYPERLINK("http://dx.doi.org/10.7717/peerj-cs.1279","http://dx.doi.org/10.7717/peerj-cs.1279")</f>
        <v>http://dx.doi.org/10.7717/peerj-cs.1279</v>
      </c>
      <c r="BG299" t="s">
        <v>74</v>
      </c>
      <c r="BH299" t="s">
        <v>74</v>
      </c>
      <c r="BI299">
        <v>34</v>
      </c>
      <c r="BJ299" t="s">
        <v>5208</v>
      </c>
      <c r="BK299" t="s">
        <v>149</v>
      </c>
      <c r="BL299" t="s">
        <v>1228</v>
      </c>
      <c r="BM299" t="s">
        <v>5209</v>
      </c>
      <c r="BN299">
        <v>37346641</v>
      </c>
      <c r="BO299" t="s">
        <v>208</v>
      </c>
      <c r="BP299" t="s">
        <v>74</v>
      </c>
      <c r="BQ299" t="s">
        <v>74</v>
      </c>
      <c r="BR299" t="s">
        <v>104</v>
      </c>
      <c r="BS299" t="s">
        <v>5210</v>
      </c>
      <c r="BT299" t="str">
        <f>HYPERLINK("https%3A%2F%2Fwww.webofscience.com%2Fwos%2Fwoscc%2Ffull-record%2FWOS:000996354000001","View Full Record in Web of Science")</f>
        <v>View Full Record in Web of Science</v>
      </c>
    </row>
    <row r="300" spans="1:72" x14ac:dyDescent="0.25">
      <c r="A300" t="s">
        <v>72</v>
      </c>
      <c r="B300" t="s">
        <v>5211</v>
      </c>
      <c r="C300" t="s">
        <v>74</v>
      </c>
      <c r="D300" t="s">
        <v>74</v>
      </c>
      <c r="E300" t="s">
        <v>74</v>
      </c>
      <c r="F300" t="s">
        <v>5212</v>
      </c>
      <c r="G300" t="s">
        <v>74</v>
      </c>
      <c r="H300" t="s">
        <v>74</v>
      </c>
      <c r="I300" t="s">
        <v>5213</v>
      </c>
      <c r="J300" t="s">
        <v>3565</v>
      </c>
      <c r="K300" t="s">
        <v>74</v>
      </c>
      <c r="L300" t="s">
        <v>74</v>
      </c>
      <c r="M300" t="s">
        <v>78</v>
      </c>
      <c r="N300" t="s">
        <v>79</v>
      </c>
      <c r="O300" t="s">
        <v>74</v>
      </c>
      <c r="P300" t="s">
        <v>74</v>
      </c>
      <c r="Q300" t="s">
        <v>74</v>
      </c>
      <c r="R300" t="s">
        <v>74</v>
      </c>
      <c r="S300" t="s">
        <v>74</v>
      </c>
      <c r="T300" t="s">
        <v>5214</v>
      </c>
      <c r="U300" t="s">
        <v>5215</v>
      </c>
      <c r="V300" t="s">
        <v>5216</v>
      </c>
      <c r="W300" t="s">
        <v>5217</v>
      </c>
      <c r="X300" t="s">
        <v>5218</v>
      </c>
      <c r="Y300" t="s">
        <v>5219</v>
      </c>
      <c r="Z300" t="s">
        <v>5220</v>
      </c>
      <c r="AA300" t="s">
        <v>74</v>
      </c>
      <c r="AB300" t="s">
        <v>5221</v>
      </c>
      <c r="AC300" t="s">
        <v>74</v>
      </c>
      <c r="AD300" t="s">
        <v>74</v>
      </c>
      <c r="AE300" t="s">
        <v>74</v>
      </c>
      <c r="AF300" t="s">
        <v>74</v>
      </c>
      <c r="AG300">
        <v>34</v>
      </c>
      <c r="AH300">
        <v>9</v>
      </c>
      <c r="AI300">
        <v>9</v>
      </c>
      <c r="AJ300">
        <v>2</v>
      </c>
      <c r="AK300">
        <v>20</v>
      </c>
      <c r="AL300" t="s">
        <v>2421</v>
      </c>
      <c r="AM300" t="s">
        <v>2422</v>
      </c>
      <c r="AN300" t="s">
        <v>2423</v>
      </c>
      <c r="AO300" t="s">
        <v>3578</v>
      </c>
      <c r="AP300" t="s">
        <v>3579</v>
      </c>
      <c r="AQ300" t="s">
        <v>74</v>
      </c>
      <c r="AR300" t="s">
        <v>3580</v>
      </c>
      <c r="AS300" t="s">
        <v>3581</v>
      </c>
      <c r="AT300" t="s">
        <v>559</v>
      </c>
      <c r="AU300">
        <v>2020</v>
      </c>
      <c r="AV300">
        <v>32</v>
      </c>
      <c r="AW300">
        <v>2</v>
      </c>
      <c r="AX300" t="s">
        <v>74</v>
      </c>
      <c r="AY300" t="s">
        <v>74</v>
      </c>
      <c r="AZ300" t="s">
        <v>560</v>
      </c>
      <c r="BA300" t="s">
        <v>74</v>
      </c>
      <c r="BB300">
        <v>241</v>
      </c>
      <c r="BC300">
        <v>271</v>
      </c>
      <c r="BD300" t="s">
        <v>74</v>
      </c>
      <c r="BE300" t="s">
        <v>5222</v>
      </c>
      <c r="BF300" t="str">
        <f>HYPERLINK("http://dx.doi.org/10.1007/s10696-019-09370-7","http://dx.doi.org/10.1007/s10696-019-09370-7")</f>
        <v>http://dx.doi.org/10.1007/s10696-019-09370-7</v>
      </c>
      <c r="BG300" t="s">
        <v>74</v>
      </c>
      <c r="BH300" t="s">
        <v>5223</v>
      </c>
      <c r="BI300">
        <v>31</v>
      </c>
      <c r="BJ300" t="s">
        <v>321</v>
      </c>
      <c r="BK300" t="s">
        <v>149</v>
      </c>
      <c r="BL300" t="s">
        <v>150</v>
      </c>
      <c r="BM300" t="s">
        <v>5224</v>
      </c>
      <c r="BN300" t="s">
        <v>74</v>
      </c>
      <c r="BO300" t="s">
        <v>74</v>
      </c>
      <c r="BP300" t="s">
        <v>74</v>
      </c>
      <c r="BQ300" t="s">
        <v>74</v>
      </c>
      <c r="BR300" t="s">
        <v>104</v>
      </c>
      <c r="BS300" t="s">
        <v>5225</v>
      </c>
      <c r="BT300" t="str">
        <f>HYPERLINK("https%3A%2F%2Fwww.webofscience.com%2Fwos%2Fwoscc%2Ffull-record%2FWOS:000490365900001","View Full Record in Web of Science")</f>
        <v>View Full Record in Web of Science</v>
      </c>
    </row>
    <row r="301" spans="1:72" x14ac:dyDescent="0.25">
      <c r="A301" t="s">
        <v>72</v>
      </c>
      <c r="B301" t="s">
        <v>5226</v>
      </c>
      <c r="C301" t="s">
        <v>74</v>
      </c>
      <c r="D301" t="s">
        <v>74</v>
      </c>
      <c r="E301" t="s">
        <v>74</v>
      </c>
      <c r="F301" t="s">
        <v>5227</v>
      </c>
      <c r="G301" t="s">
        <v>74</v>
      </c>
      <c r="H301" t="s">
        <v>74</v>
      </c>
      <c r="I301" t="s">
        <v>5228</v>
      </c>
      <c r="J301" t="s">
        <v>1894</v>
      </c>
      <c r="K301" t="s">
        <v>74</v>
      </c>
      <c r="L301" t="s">
        <v>74</v>
      </c>
      <c r="M301" t="s">
        <v>78</v>
      </c>
      <c r="N301" t="s">
        <v>79</v>
      </c>
      <c r="O301" t="s">
        <v>74</v>
      </c>
      <c r="P301" t="s">
        <v>74</v>
      </c>
      <c r="Q301" t="s">
        <v>74</v>
      </c>
      <c r="R301" t="s">
        <v>74</v>
      </c>
      <c r="S301" t="s">
        <v>74</v>
      </c>
      <c r="T301" t="s">
        <v>5229</v>
      </c>
      <c r="U301" t="s">
        <v>5230</v>
      </c>
      <c r="V301" t="s">
        <v>5231</v>
      </c>
      <c r="W301" t="s">
        <v>5232</v>
      </c>
      <c r="X301" t="s">
        <v>4445</v>
      </c>
      <c r="Y301" t="s">
        <v>5233</v>
      </c>
      <c r="Z301" t="s">
        <v>5234</v>
      </c>
      <c r="AA301" t="s">
        <v>74</v>
      </c>
      <c r="AB301" t="s">
        <v>74</v>
      </c>
      <c r="AC301" t="s">
        <v>5235</v>
      </c>
      <c r="AD301" t="s">
        <v>482</v>
      </c>
      <c r="AE301" t="s">
        <v>5236</v>
      </c>
      <c r="AF301" t="s">
        <v>74</v>
      </c>
      <c r="AG301">
        <v>65</v>
      </c>
      <c r="AH301">
        <v>3</v>
      </c>
      <c r="AI301">
        <v>3</v>
      </c>
      <c r="AJ301">
        <v>21</v>
      </c>
      <c r="AK301">
        <v>23</v>
      </c>
      <c r="AL301" t="s">
        <v>138</v>
      </c>
      <c r="AM301" t="s">
        <v>139</v>
      </c>
      <c r="AN301" t="s">
        <v>140</v>
      </c>
      <c r="AO301" t="s">
        <v>1903</v>
      </c>
      <c r="AP301" t="s">
        <v>1904</v>
      </c>
      <c r="AQ301" t="s">
        <v>74</v>
      </c>
      <c r="AR301" t="s">
        <v>1905</v>
      </c>
      <c r="AS301" t="s">
        <v>1906</v>
      </c>
      <c r="AT301" t="s">
        <v>559</v>
      </c>
      <c r="AU301">
        <v>2024</v>
      </c>
      <c r="AV301">
        <v>74</v>
      </c>
      <c r="AW301" t="s">
        <v>74</v>
      </c>
      <c r="AX301" t="s">
        <v>74</v>
      </c>
      <c r="AY301" t="s">
        <v>74</v>
      </c>
      <c r="AZ301" t="s">
        <v>74</v>
      </c>
      <c r="BA301" t="s">
        <v>74</v>
      </c>
      <c r="BB301">
        <v>647</v>
      </c>
      <c r="BC301">
        <v>664</v>
      </c>
      <c r="BD301" t="s">
        <v>74</v>
      </c>
      <c r="BE301" t="s">
        <v>5237</v>
      </c>
      <c r="BF301" t="str">
        <f>HYPERLINK("http://dx.doi.org/10.1016/j.jmsy.2024.04.026","http://dx.doi.org/10.1016/j.jmsy.2024.04.026")</f>
        <v>http://dx.doi.org/10.1016/j.jmsy.2024.04.026</v>
      </c>
      <c r="BG301" t="s">
        <v>74</v>
      </c>
      <c r="BH301" t="s">
        <v>2072</v>
      </c>
      <c r="BI301">
        <v>18</v>
      </c>
      <c r="BJ301" t="s">
        <v>321</v>
      </c>
      <c r="BK301" t="s">
        <v>149</v>
      </c>
      <c r="BL301" t="s">
        <v>150</v>
      </c>
      <c r="BM301" t="s">
        <v>5238</v>
      </c>
      <c r="BN301" t="s">
        <v>74</v>
      </c>
      <c r="BO301" t="s">
        <v>74</v>
      </c>
      <c r="BP301" t="s">
        <v>74</v>
      </c>
      <c r="BQ301" t="s">
        <v>74</v>
      </c>
      <c r="BR301" t="s">
        <v>104</v>
      </c>
      <c r="BS301" t="s">
        <v>5239</v>
      </c>
      <c r="BT301" t="str">
        <f>HYPERLINK("https%3A%2F%2Fwww.webofscience.com%2Fwos%2Fwoscc%2Ffull-record%2FWOS:001290934300001","View Full Record in Web of Science")</f>
        <v>View Full Record in Web of Science</v>
      </c>
    </row>
    <row r="302" spans="1:72" x14ac:dyDescent="0.25">
      <c r="A302" t="s">
        <v>72</v>
      </c>
      <c r="B302" t="s">
        <v>5240</v>
      </c>
      <c r="C302" t="s">
        <v>74</v>
      </c>
      <c r="D302" t="s">
        <v>74</v>
      </c>
      <c r="E302" t="s">
        <v>74</v>
      </c>
      <c r="F302" t="s">
        <v>5241</v>
      </c>
      <c r="G302" t="s">
        <v>74</v>
      </c>
      <c r="H302" t="s">
        <v>74</v>
      </c>
      <c r="I302" t="s">
        <v>5242</v>
      </c>
      <c r="J302" t="s">
        <v>1932</v>
      </c>
      <c r="K302" t="s">
        <v>74</v>
      </c>
      <c r="L302" t="s">
        <v>74</v>
      </c>
      <c r="M302" t="s">
        <v>78</v>
      </c>
      <c r="N302" t="s">
        <v>79</v>
      </c>
      <c r="O302" t="s">
        <v>74</v>
      </c>
      <c r="P302" t="s">
        <v>74</v>
      </c>
      <c r="Q302" t="s">
        <v>74</v>
      </c>
      <c r="R302" t="s">
        <v>74</v>
      </c>
      <c r="S302" t="s">
        <v>74</v>
      </c>
      <c r="T302" t="s">
        <v>5243</v>
      </c>
      <c r="U302" t="s">
        <v>5244</v>
      </c>
      <c r="V302" t="s">
        <v>5245</v>
      </c>
      <c r="W302" t="s">
        <v>5246</v>
      </c>
      <c r="X302" t="s">
        <v>5247</v>
      </c>
      <c r="Y302" t="s">
        <v>5248</v>
      </c>
      <c r="Z302" t="s">
        <v>5249</v>
      </c>
      <c r="AA302" t="s">
        <v>5250</v>
      </c>
      <c r="AB302" t="s">
        <v>5251</v>
      </c>
      <c r="AC302" t="s">
        <v>5252</v>
      </c>
      <c r="AD302" t="s">
        <v>5253</v>
      </c>
      <c r="AE302" t="s">
        <v>5254</v>
      </c>
      <c r="AF302" t="s">
        <v>74</v>
      </c>
      <c r="AG302">
        <v>46</v>
      </c>
      <c r="AH302">
        <v>6</v>
      </c>
      <c r="AI302">
        <v>6</v>
      </c>
      <c r="AJ302">
        <v>8</v>
      </c>
      <c r="AK302">
        <v>30</v>
      </c>
      <c r="AL302" t="s">
        <v>311</v>
      </c>
      <c r="AM302" t="s">
        <v>312</v>
      </c>
      <c r="AN302" t="s">
        <v>313</v>
      </c>
      <c r="AO302" t="s">
        <v>1945</v>
      </c>
      <c r="AP302" t="s">
        <v>1946</v>
      </c>
      <c r="AQ302" t="s">
        <v>74</v>
      </c>
      <c r="AR302" t="s">
        <v>1947</v>
      </c>
      <c r="AS302" t="s">
        <v>1948</v>
      </c>
      <c r="AT302" t="s">
        <v>3013</v>
      </c>
      <c r="AU302">
        <v>2023</v>
      </c>
      <c r="AV302">
        <v>20</v>
      </c>
      <c r="AW302">
        <v>2</v>
      </c>
      <c r="AX302" t="s">
        <v>74</v>
      </c>
      <c r="AY302" t="s">
        <v>74</v>
      </c>
      <c r="AZ302" t="s">
        <v>74</v>
      </c>
      <c r="BA302" t="s">
        <v>74</v>
      </c>
      <c r="BB302">
        <v>256</v>
      </c>
      <c r="BC302">
        <v>278</v>
      </c>
      <c r="BD302" t="s">
        <v>74</v>
      </c>
      <c r="BE302" t="s">
        <v>5255</v>
      </c>
      <c r="BF302" t="str">
        <f>HYPERLINK("http://dx.doi.org/10.1080/16843703.2022.2093565","http://dx.doi.org/10.1080/16843703.2022.2093565")</f>
        <v>http://dx.doi.org/10.1080/16843703.2022.2093565</v>
      </c>
      <c r="BG302" t="s">
        <v>74</v>
      </c>
      <c r="BH302" t="s">
        <v>3597</v>
      </c>
      <c r="BI302">
        <v>23</v>
      </c>
      <c r="BJ302" t="s">
        <v>1951</v>
      </c>
      <c r="BK302" t="s">
        <v>149</v>
      </c>
      <c r="BL302" t="s">
        <v>1952</v>
      </c>
      <c r="BM302" t="s">
        <v>4181</v>
      </c>
      <c r="BN302" t="s">
        <v>74</v>
      </c>
      <c r="BO302" t="s">
        <v>74</v>
      </c>
      <c r="BP302" t="s">
        <v>74</v>
      </c>
      <c r="BQ302" t="s">
        <v>74</v>
      </c>
      <c r="BR302" t="s">
        <v>104</v>
      </c>
      <c r="BS302" t="s">
        <v>5256</v>
      </c>
      <c r="BT302" t="str">
        <f>HYPERLINK("https%3A%2F%2Fwww.webofscience.com%2Fwos%2Fwoscc%2Ffull-record%2FWOS:000820668400001","View Full Record in Web of Science")</f>
        <v>View Full Record in Web of Science</v>
      </c>
    </row>
    <row r="303" spans="1:72" x14ac:dyDescent="0.25">
      <c r="A303" t="s">
        <v>72</v>
      </c>
      <c r="B303" t="s">
        <v>5257</v>
      </c>
      <c r="C303" t="s">
        <v>74</v>
      </c>
      <c r="D303" t="s">
        <v>74</v>
      </c>
      <c r="E303" t="s">
        <v>74</v>
      </c>
      <c r="F303" t="s">
        <v>5258</v>
      </c>
      <c r="G303" t="s">
        <v>74</v>
      </c>
      <c r="H303" t="s">
        <v>74</v>
      </c>
      <c r="I303" t="s">
        <v>5259</v>
      </c>
      <c r="J303" t="s">
        <v>299</v>
      </c>
      <c r="K303" t="s">
        <v>74</v>
      </c>
      <c r="L303" t="s">
        <v>74</v>
      </c>
      <c r="M303" t="s">
        <v>78</v>
      </c>
      <c r="N303" t="s">
        <v>1083</v>
      </c>
      <c r="O303" t="s">
        <v>74</v>
      </c>
      <c r="P303" t="s">
        <v>74</v>
      </c>
      <c r="Q303" t="s">
        <v>74</v>
      </c>
      <c r="R303" t="s">
        <v>74</v>
      </c>
      <c r="S303" t="s">
        <v>74</v>
      </c>
      <c r="T303" t="s">
        <v>5260</v>
      </c>
      <c r="U303" t="s">
        <v>5261</v>
      </c>
      <c r="V303" t="s">
        <v>5262</v>
      </c>
      <c r="W303" t="s">
        <v>5263</v>
      </c>
      <c r="X303" t="s">
        <v>5264</v>
      </c>
      <c r="Y303" t="s">
        <v>3794</v>
      </c>
      <c r="Z303" t="s">
        <v>4298</v>
      </c>
      <c r="AA303" t="s">
        <v>5265</v>
      </c>
      <c r="AB303" t="s">
        <v>5266</v>
      </c>
      <c r="AC303" t="s">
        <v>5267</v>
      </c>
      <c r="AD303" t="s">
        <v>5268</v>
      </c>
      <c r="AE303" t="s">
        <v>5269</v>
      </c>
      <c r="AF303" t="s">
        <v>74</v>
      </c>
      <c r="AG303">
        <v>56</v>
      </c>
      <c r="AH303">
        <v>8</v>
      </c>
      <c r="AI303">
        <v>8</v>
      </c>
      <c r="AJ303">
        <v>8</v>
      </c>
      <c r="AK303">
        <v>61</v>
      </c>
      <c r="AL303" t="s">
        <v>311</v>
      </c>
      <c r="AM303" t="s">
        <v>312</v>
      </c>
      <c r="AN303" t="s">
        <v>313</v>
      </c>
      <c r="AO303" t="s">
        <v>314</v>
      </c>
      <c r="AP303" t="s">
        <v>315</v>
      </c>
      <c r="AQ303" t="s">
        <v>74</v>
      </c>
      <c r="AR303" t="s">
        <v>316</v>
      </c>
      <c r="AS303" t="s">
        <v>317</v>
      </c>
      <c r="AT303" t="s">
        <v>5270</v>
      </c>
      <c r="AU303">
        <v>2023</v>
      </c>
      <c r="AV303" t="s">
        <v>74</v>
      </c>
      <c r="AW303" t="s">
        <v>74</v>
      </c>
      <c r="AX303" t="s">
        <v>74</v>
      </c>
      <c r="AY303" t="s">
        <v>74</v>
      </c>
      <c r="AZ303" t="s">
        <v>74</v>
      </c>
      <c r="BA303" t="s">
        <v>74</v>
      </c>
      <c r="BB303" t="s">
        <v>74</v>
      </c>
      <c r="BC303" t="s">
        <v>74</v>
      </c>
      <c r="BD303" t="s">
        <v>74</v>
      </c>
      <c r="BE303" t="s">
        <v>5271</v>
      </c>
      <c r="BF303" t="str">
        <f>HYPERLINK("http://dx.doi.org/10.1080/00207543.2023.2197513","http://dx.doi.org/10.1080/00207543.2023.2197513")</f>
        <v>http://dx.doi.org/10.1080/00207543.2023.2197513</v>
      </c>
      <c r="BG303" t="s">
        <v>74</v>
      </c>
      <c r="BH303" t="s">
        <v>1204</v>
      </c>
      <c r="BI303">
        <v>23</v>
      </c>
      <c r="BJ303" t="s">
        <v>321</v>
      </c>
      <c r="BK303" t="s">
        <v>149</v>
      </c>
      <c r="BL303" t="s">
        <v>150</v>
      </c>
      <c r="BM303" t="s">
        <v>5272</v>
      </c>
      <c r="BN303" t="s">
        <v>74</v>
      </c>
      <c r="BO303" t="s">
        <v>758</v>
      </c>
      <c r="BP303" t="s">
        <v>74</v>
      </c>
      <c r="BQ303" t="s">
        <v>74</v>
      </c>
      <c r="BR303" t="s">
        <v>104</v>
      </c>
      <c r="BS303" t="s">
        <v>5273</v>
      </c>
      <c r="BT303" t="str">
        <f>HYPERLINK("https%3A%2F%2Fwww.webofscience.com%2Fwos%2Fwoscc%2Ffull-record%2FWOS:000971832700001","View Full Record in Web of Science")</f>
        <v>View Full Record in Web of Science</v>
      </c>
    </row>
    <row r="304" spans="1:72" x14ac:dyDescent="0.25">
      <c r="A304" t="s">
        <v>72</v>
      </c>
      <c r="B304" t="s">
        <v>5274</v>
      </c>
      <c r="C304" t="s">
        <v>74</v>
      </c>
      <c r="D304" t="s">
        <v>74</v>
      </c>
      <c r="E304" t="s">
        <v>74</v>
      </c>
      <c r="F304" t="s">
        <v>5275</v>
      </c>
      <c r="G304" t="s">
        <v>74</v>
      </c>
      <c r="H304" t="s">
        <v>74</v>
      </c>
      <c r="I304" t="s">
        <v>5276</v>
      </c>
      <c r="J304" t="s">
        <v>697</v>
      </c>
      <c r="K304" t="s">
        <v>74</v>
      </c>
      <c r="L304" t="s">
        <v>74</v>
      </c>
      <c r="M304" t="s">
        <v>78</v>
      </c>
      <c r="N304" t="s">
        <v>79</v>
      </c>
      <c r="O304" t="s">
        <v>74</v>
      </c>
      <c r="P304" t="s">
        <v>74</v>
      </c>
      <c r="Q304" t="s">
        <v>74</v>
      </c>
      <c r="R304" t="s">
        <v>74</v>
      </c>
      <c r="S304" t="s">
        <v>74</v>
      </c>
      <c r="T304" t="s">
        <v>5277</v>
      </c>
      <c r="U304" t="s">
        <v>5278</v>
      </c>
      <c r="V304" t="s">
        <v>5279</v>
      </c>
      <c r="W304" t="s">
        <v>5280</v>
      </c>
      <c r="X304" t="s">
        <v>5281</v>
      </c>
      <c r="Y304" t="s">
        <v>5282</v>
      </c>
      <c r="Z304" t="s">
        <v>5283</v>
      </c>
      <c r="AA304" t="s">
        <v>74</v>
      </c>
      <c r="AB304" t="s">
        <v>74</v>
      </c>
      <c r="AC304" t="s">
        <v>5284</v>
      </c>
      <c r="AD304" t="s">
        <v>482</v>
      </c>
      <c r="AE304" t="s">
        <v>5285</v>
      </c>
      <c r="AF304" t="s">
        <v>74</v>
      </c>
      <c r="AG304">
        <v>38</v>
      </c>
      <c r="AH304">
        <v>25</v>
      </c>
      <c r="AI304">
        <v>25</v>
      </c>
      <c r="AJ304">
        <v>0</v>
      </c>
      <c r="AK304">
        <v>45</v>
      </c>
      <c r="AL304" t="s">
        <v>707</v>
      </c>
      <c r="AM304" t="s">
        <v>246</v>
      </c>
      <c r="AN304" t="s">
        <v>708</v>
      </c>
      <c r="AO304" t="s">
        <v>709</v>
      </c>
      <c r="AP304" t="s">
        <v>710</v>
      </c>
      <c r="AQ304" t="s">
        <v>74</v>
      </c>
      <c r="AR304" t="s">
        <v>711</v>
      </c>
      <c r="AS304" t="s">
        <v>712</v>
      </c>
      <c r="AT304" t="s">
        <v>1076</v>
      </c>
      <c r="AU304">
        <v>2021</v>
      </c>
      <c r="AV304">
        <v>160</v>
      </c>
      <c r="AW304" t="s">
        <v>74</v>
      </c>
      <c r="AX304" t="s">
        <v>74</v>
      </c>
      <c r="AY304" t="s">
        <v>74</v>
      </c>
      <c r="AZ304" t="s">
        <v>74</v>
      </c>
      <c r="BA304" t="s">
        <v>74</v>
      </c>
      <c r="BB304" t="s">
        <v>74</v>
      </c>
      <c r="BC304" t="s">
        <v>74</v>
      </c>
      <c r="BD304">
        <v>107583</v>
      </c>
      <c r="BE304" t="s">
        <v>5286</v>
      </c>
      <c r="BF304" t="str">
        <f>HYPERLINK("http://dx.doi.org/10.1016/j.cie.2021.107583","http://dx.doi.org/10.1016/j.cie.2021.107583")</f>
        <v>http://dx.doi.org/10.1016/j.cie.2021.107583</v>
      </c>
      <c r="BG304" t="s">
        <v>74</v>
      </c>
      <c r="BH304" t="s">
        <v>2573</v>
      </c>
      <c r="BI304">
        <v>15</v>
      </c>
      <c r="BJ304" t="s">
        <v>715</v>
      </c>
      <c r="BK304" t="s">
        <v>149</v>
      </c>
      <c r="BL304" t="s">
        <v>716</v>
      </c>
      <c r="BM304" t="s">
        <v>5287</v>
      </c>
      <c r="BN304" t="s">
        <v>74</v>
      </c>
      <c r="BO304" t="s">
        <v>74</v>
      </c>
      <c r="BP304" t="s">
        <v>74</v>
      </c>
      <c r="BQ304" t="s">
        <v>74</v>
      </c>
      <c r="BR304" t="s">
        <v>104</v>
      </c>
      <c r="BS304" t="s">
        <v>5288</v>
      </c>
      <c r="BT304" t="str">
        <f>HYPERLINK("https%3A%2F%2Fwww.webofscience.com%2Fwos%2Fwoscc%2Ffull-record%2FWOS:000696311000009","View Full Record in Web of Science")</f>
        <v>View Full Record in Web of Science</v>
      </c>
    </row>
    <row r="305" spans="1:72" x14ac:dyDescent="0.25">
      <c r="A305" t="s">
        <v>72</v>
      </c>
      <c r="B305" t="s">
        <v>5289</v>
      </c>
      <c r="C305" t="s">
        <v>74</v>
      </c>
      <c r="D305" t="s">
        <v>74</v>
      </c>
      <c r="E305" t="s">
        <v>74</v>
      </c>
      <c r="F305" t="s">
        <v>5290</v>
      </c>
      <c r="G305" t="s">
        <v>74</v>
      </c>
      <c r="H305" t="s">
        <v>74</v>
      </c>
      <c r="I305" t="s">
        <v>5291</v>
      </c>
      <c r="J305" t="s">
        <v>299</v>
      </c>
      <c r="K305" t="s">
        <v>74</v>
      </c>
      <c r="L305" t="s">
        <v>74</v>
      </c>
      <c r="M305" t="s">
        <v>78</v>
      </c>
      <c r="N305" t="s">
        <v>79</v>
      </c>
      <c r="O305" t="s">
        <v>74</v>
      </c>
      <c r="P305" t="s">
        <v>74</v>
      </c>
      <c r="Q305" t="s">
        <v>74</v>
      </c>
      <c r="R305" t="s">
        <v>74</v>
      </c>
      <c r="S305" t="s">
        <v>74</v>
      </c>
      <c r="T305" t="s">
        <v>5292</v>
      </c>
      <c r="U305" t="s">
        <v>5293</v>
      </c>
      <c r="V305" t="s">
        <v>5294</v>
      </c>
      <c r="W305" t="s">
        <v>5295</v>
      </c>
      <c r="X305" t="s">
        <v>5296</v>
      </c>
      <c r="Y305" t="s">
        <v>5297</v>
      </c>
      <c r="Z305" t="s">
        <v>5298</v>
      </c>
      <c r="AA305" t="s">
        <v>5299</v>
      </c>
      <c r="AB305" t="s">
        <v>5300</v>
      </c>
      <c r="AC305" t="s">
        <v>5301</v>
      </c>
      <c r="AD305" t="s">
        <v>482</v>
      </c>
      <c r="AE305" t="s">
        <v>5302</v>
      </c>
      <c r="AF305" t="s">
        <v>74</v>
      </c>
      <c r="AG305">
        <v>42</v>
      </c>
      <c r="AH305">
        <v>13</v>
      </c>
      <c r="AI305">
        <v>13</v>
      </c>
      <c r="AJ305">
        <v>2</v>
      </c>
      <c r="AK305">
        <v>28</v>
      </c>
      <c r="AL305" t="s">
        <v>311</v>
      </c>
      <c r="AM305" t="s">
        <v>312</v>
      </c>
      <c r="AN305" t="s">
        <v>313</v>
      </c>
      <c r="AO305" t="s">
        <v>314</v>
      </c>
      <c r="AP305" t="s">
        <v>315</v>
      </c>
      <c r="AQ305" t="s">
        <v>74</v>
      </c>
      <c r="AR305" t="s">
        <v>316</v>
      </c>
      <c r="AS305" t="s">
        <v>317</v>
      </c>
      <c r="AT305" t="s">
        <v>5303</v>
      </c>
      <c r="AU305">
        <v>2020</v>
      </c>
      <c r="AV305">
        <v>58</v>
      </c>
      <c r="AW305">
        <v>9</v>
      </c>
      <c r="AX305" t="s">
        <v>74</v>
      </c>
      <c r="AY305" t="s">
        <v>74</v>
      </c>
      <c r="AZ305" t="s">
        <v>74</v>
      </c>
      <c r="BA305" t="s">
        <v>74</v>
      </c>
      <c r="BB305">
        <v>2885</v>
      </c>
      <c r="BC305">
        <v>2903</v>
      </c>
      <c r="BD305" t="s">
        <v>74</v>
      </c>
      <c r="BE305" t="s">
        <v>5304</v>
      </c>
      <c r="BF305" t="str">
        <f>HYPERLINK("http://dx.doi.org/10.1080/00207543.2020.1715503","http://dx.doi.org/10.1080/00207543.2020.1715503")</f>
        <v>http://dx.doi.org/10.1080/00207543.2020.1715503</v>
      </c>
      <c r="BG305" t="s">
        <v>74</v>
      </c>
      <c r="BH305" t="s">
        <v>5305</v>
      </c>
      <c r="BI305">
        <v>19</v>
      </c>
      <c r="BJ305" t="s">
        <v>321</v>
      </c>
      <c r="BK305" t="s">
        <v>149</v>
      </c>
      <c r="BL305" t="s">
        <v>150</v>
      </c>
      <c r="BM305" t="s">
        <v>5306</v>
      </c>
      <c r="BN305" t="s">
        <v>74</v>
      </c>
      <c r="BO305" t="s">
        <v>74</v>
      </c>
      <c r="BP305" t="s">
        <v>74</v>
      </c>
      <c r="BQ305" t="s">
        <v>74</v>
      </c>
      <c r="BR305" t="s">
        <v>104</v>
      </c>
      <c r="BS305" t="s">
        <v>5307</v>
      </c>
      <c r="BT305" t="str">
        <f>HYPERLINK("https%3A%2F%2Fwww.webofscience.com%2Fwos%2Fwoscc%2Ffull-record%2FWOS:000508537800001","View Full Record in Web of Science")</f>
        <v>View Full Record in Web of Science</v>
      </c>
    </row>
    <row r="306" spans="1:72" x14ac:dyDescent="0.25">
      <c r="A306" t="s">
        <v>72</v>
      </c>
      <c r="B306" t="s">
        <v>5308</v>
      </c>
      <c r="C306" t="s">
        <v>74</v>
      </c>
      <c r="D306" t="s">
        <v>74</v>
      </c>
      <c r="E306" t="s">
        <v>74</v>
      </c>
      <c r="F306" t="s">
        <v>5309</v>
      </c>
      <c r="G306" t="s">
        <v>74</v>
      </c>
      <c r="H306" t="s">
        <v>74</v>
      </c>
      <c r="I306" t="s">
        <v>5310</v>
      </c>
      <c r="J306" t="s">
        <v>128</v>
      </c>
      <c r="K306" t="s">
        <v>74</v>
      </c>
      <c r="L306" t="s">
        <v>74</v>
      </c>
      <c r="M306" t="s">
        <v>78</v>
      </c>
      <c r="N306" t="s">
        <v>79</v>
      </c>
      <c r="O306" t="s">
        <v>74</v>
      </c>
      <c r="P306" t="s">
        <v>74</v>
      </c>
      <c r="Q306" t="s">
        <v>74</v>
      </c>
      <c r="R306" t="s">
        <v>74</v>
      </c>
      <c r="S306" t="s">
        <v>74</v>
      </c>
      <c r="T306" t="s">
        <v>5311</v>
      </c>
      <c r="U306" t="s">
        <v>5312</v>
      </c>
      <c r="V306" t="s">
        <v>5313</v>
      </c>
      <c r="W306" t="s">
        <v>5314</v>
      </c>
      <c r="X306" t="s">
        <v>5315</v>
      </c>
      <c r="Y306" t="s">
        <v>5316</v>
      </c>
      <c r="Z306" t="s">
        <v>5283</v>
      </c>
      <c r="AA306" t="s">
        <v>74</v>
      </c>
      <c r="AB306" t="s">
        <v>74</v>
      </c>
      <c r="AC306" t="s">
        <v>5317</v>
      </c>
      <c r="AD306" t="s">
        <v>3444</v>
      </c>
      <c r="AE306" t="s">
        <v>5318</v>
      </c>
      <c r="AF306" t="s">
        <v>74</v>
      </c>
      <c r="AG306">
        <v>51</v>
      </c>
      <c r="AH306">
        <v>46</v>
      </c>
      <c r="AI306">
        <v>47</v>
      </c>
      <c r="AJ306">
        <v>5</v>
      </c>
      <c r="AK306">
        <v>49</v>
      </c>
      <c r="AL306" t="s">
        <v>138</v>
      </c>
      <c r="AM306" t="s">
        <v>246</v>
      </c>
      <c r="AN306" t="s">
        <v>247</v>
      </c>
      <c r="AO306" t="s">
        <v>141</v>
      </c>
      <c r="AP306" t="s">
        <v>142</v>
      </c>
      <c r="AQ306" t="s">
        <v>74</v>
      </c>
      <c r="AR306" t="s">
        <v>143</v>
      </c>
      <c r="AS306" t="s">
        <v>144</v>
      </c>
      <c r="AT306" t="s">
        <v>205</v>
      </c>
      <c r="AU306">
        <v>2021</v>
      </c>
      <c r="AV306">
        <v>213</v>
      </c>
      <c r="AW306" t="s">
        <v>74</v>
      </c>
      <c r="AX306" t="s">
        <v>74</v>
      </c>
      <c r="AY306" t="s">
        <v>74</v>
      </c>
      <c r="AZ306" t="s">
        <v>74</v>
      </c>
      <c r="BA306" t="s">
        <v>74</v>
      </c>
      <c r="BB306" t="s">
        <v>74</v>
      </c>
      <c r="BC306" t="s">
        <v>74</v>
      </c>
      <c r="BD306">
        <v>107690</v>
      </c>
      <c r="BE306" t="s">
        <v>5319</v>
      </c>
      <c r="BF306" t="str">
        <f>HYPERLINK("http://dx.doi.org/10.1016/j.ress.2021.107690","http://dx.doi.org/10.1016/j.ress.2021.107690")</f>
        <v>http://dx.doi.org/10.1016/j.ress.2021.107690</v>
      </c>
      <c r="BG306" t="s">
        <v>74</v>
      </c>
      <c r="BH306" t="s">
        <v>714</v>
      </c>
      <c r="BI306">
        <v>10</v>
      </c>
      <c r="BJ306" t="s">
        <v>148</v>
      </c>
      <c r="BK306" t="s">
        <v>149</v>
      </c>
      <c r="BL306" t="s">
        <v>150</v>
      </c>
      <c r="BM306" t="s">
        <v>5320</v>
      </c>
      <c r="BN306" t="s">
        <v>74</v>
      </c>
      <c r="BO306" t="s">
        <v>74</v>
      </c>
      <c r="BP306" t="s">
        <v>74</v>
      </c>
      <c r="BQ306" t="s">
        <v>74</v>
      </c>
      <c r="BR306" t="s">
        <v>104</v>
      </c>
      <c r="BS306" t="s">
        <v>5321</v>
      </c>
      <c r="BT306" t="str">
        <f>HYPERLINK("https%3A%2F%2Fwww.webofscience.com%2Fwos%2Fwoscc%2Ffull-record%2FWOS:000663910500031","View Full Record in Web of Science")</f>
        <v>View Full Record in Web of Science</v>
      </c>
    </row>
    <row r="307" spans="1:72" x14ac:dyDescent="0.25">
      <c r="A307" t="s">
        <v>72</v>
      </c>
      <c r="B307" t="s">
        <v>5322</v>
      </c>
      <c r="C307" t="s">
        <v>74</v>
      </c>
      <c r="D307" t="s">
        <v>74</v>
      </c>
      <c r="E307" t="s">
        <v>74</v>
      </c>
      <c r="F307" t="s">
        <v>5323</v>
      </c>
      <c r="G307" t="s">
        <v>74</v>
      </c>
      <c r="H307" t="s">
        <v>74</v>
      </c>
      <c r="I307" t="s">
        <v>5324</v>
      </c>
      <c r="J307" t="s">
        <v>128</v>
      </c>
      <c r="K307" t="s">
        <v>74</v>
      </c>
      <c r="L307" t="s">
        <v>74</v>
      </c>
      <c r="M307" t="s">
        <v>78</v>
      </c>
      <c r="N307" t="s">
        <v>79</v>
      </c>
      <c r="O307" t="s">
        <v>74</v>
      </c>
      <c r="P307" t="s">
        <v>74</v>
      </c>
      <c r="Q307" t="s">
        <v>74</v>
      </c>
      <c r="R307" t="s">
        <v>74</v>
      </c>
      <c r="S307" t="s">
        <v>74</v>
      </c>
      <c r="T307" t="s">
        <v>5325</v>
      </c>
      <c r="U307" t="s">
        <v>5326</v>
      </c>
      <c r="V307" t="s">
        <v>5327</v>
      </c>
      <c r="W307" t="s">
        <v>5328</v>
      </c>
      <c r="X307" t="s">
        <v>5329</v>
      </c>
      <c r="Y307" t="s">
        <v>5330</v>
      </c>
      <c r="Z307" t="s">
        <v>1169</v>
      </c>
      <c r="AA307" t="s">
        <v>74</v>
      </c>
      <c r="AB307" t="s">
        <v>5331</v>
      </c>
      <c r="AC307" t="s">
        <v>5332</v>
      </c>
      <c r="AD307" t="s">
        <v>5333</v>
      </c>
      <c r="AE307" t="s">
        <v>5334</v>
      </c>
      <c r="AF307" t="s">
        <v>74</v>
      </c>
      <c r="AG307">
        <v>48</v>
      </c>
      <c r="AH307">
        <v>16</v>
      </c>
      <c r="AI307">
        <v>17</v>
      </c>
      <c r="AJ307">
        <v>5</v>
      </c>
      <c r="AK307">
        <v>43</v>
      </c>
      <c r="AL307" t="s">
        <v>138</v>
      </c>
      <c r="AM307" t="s">
        <v>246</v>
      </c>
      <c r="AN307" t="s">
        <v>247</v>
      </c>
      <c r="AO307" t="s">
        <v>141</v>
      </c>
      <c r="AP307" t="s">
        <v>142</v>
      </c>
      <c r="AQ307" t="s">
        <v>74</v>
      </c>
      <c r="AR307" t="s">
        <v>143</v>
      </c>
      <c r="AS307" t="s">
        <v>144</v>
      </c>
      <c r="AT307" t="s">
        <v>533</v>
      </c>
      <c r="AU307">
        <v>2023</v>
      </c>
      <c r="AV307">
        <v>230</v>
      </c>
      <c r="AW307" t="s">
        <v>74</v>
      </c>
      <c r="AX307" t="s">
        <v>74</v>
      </c>
      <c r="AY307" t="s">
        <v>74</v>
      </c>
      <c r="AZ307" t="s">
        <v>74</v>
      </c>
      <c r="BA307" t="s">
        <v>74</v>
      </c>
      <c r="BB307" t="s">
        <v>74</v>
      </c>
      <c r="BC307" t="s">
        <v>74</v>
      </c>
      <c r="BD307">
        <v>108905</v>
      </c>
      <c r="BE307" t="s">
        <v>5335</v>
      </c>
      <c r="BF307" t="str">
        <f>HYPERLINK("http://dx.doi.org/10.1016/j.ress.2022.108905","http://dx.doi.org/10.1016/j.ress.2022.108905")</f>
        <v>http://dx.doi.org/10.1016/j.ress.2022.108905</v>
      </c>
      <c r="BG307" t="s">
        <v>74</v>
      </c>
      <c r="BH307" t="s">
        <v>1285</v>
      </c>
      <c r="BI307">
        <v>14</v>
      </c>
      <c r="BJ307" t="s">
        <v>148</v>
      </c>
      <c r="BK307" t="s">
        <v>149</v>
      </c>
      <c r="BL307" t="s">
        <v>150</v>
      </c>
      <c r="BM307" t="s">
        <v>5336</v>
      </c>
      <c r="BN307" t="s">
        <v>74</v>
      </c>
      <c r="BO307" t="s">
        <v>74</v>
      </c>
      <c r="BP307" t="s">
        <v>74</v>
      </c>
      <c r="BQ307" t="s">
        <v>74</v>
      </c>
      <c r="BR307" t="s">
        <v>104</v>
      </c>
      <c r="BS307" t="s">
        <v>5337</v>
      </c>
      <c r="BT307" t="str">
        <f>HYPERLINK("https%3A%2F%2Fwww.webofscience.com%2Fwos%2Fwoscc%2Ffull-record%2FWOS:000878736100003","View Full Record in Web of Science")</f>
        <v>View Full Record in Web of Science</v>
      </c>
    </row>
    <row r="308" spans="1:72" x14ac:dyDescent="0.25">
      <c r="A308" t="s">
        <v>72</v>
      </c>
      <c r="B308" t="s">
        <v>5338</v>
      </c>
      <c r="C308" t="s">
        <v>74</v>
      </c>
      <c r="D308" t="s">
        <v>74</v>
      </c>
      <c r="E308" t="s">
        <v>74</v>
      </c>
      <c r="F308" t="s">
        <v>5339</v>
      </c>
      <c r="G308" t="s">
        <v>74</v>
      </c>
      <c r="H308" t="s">
        <v>74</v>
      </c>
      <c r="I308" t="s">
        <v>5340</v>
      </c>
      <c r="J308" t="s">
        <v>299</v>
      </c>
      <c r="K308" t="s">
        <v>74</v>
      </c>
      <c r="L308" t="s">
        <v>74</v>
      </c>
      <c r="M308" t="s">
        <v>78</v>
      </c>
      <c r="N308" t="s">
        <v>79</v>
      </c>
      <c r="O308" t="s">
        <v>74</v>
      </c>
      <c r="P308" t="s">
        <v>74</v>
      </c>
      <c r="Q308" t="s">
        <v>74</v>
      </c>
      <c r="R308" t="s">
        <v>74</v>
      </c>
      <c r="S308" t="s">
        <v>74</v>
      </c>
      <c r="T308" t="s">
        <v>5341</v>
      </c>
      <c r="U308" t="s">
        <v>5342</v>
      </c>
      <c r="V308" t="s">
        <v>5343</v>
      </c>
      <c r="W308" t="s">
        <v>5344</v>
      </c>
      <c r="X308" t="s">
        <v>5345</v>
      </c>
      <c r="Y308" t="s">
        <v>2613</v>
      </c>
      <c r="Z308" t="s">
        <v>2614</v>
      </c>
      <c r="AA308" t="s">
        <v>5346</v>
      </c>
      <c r="AB308" t="s">
        <v>5347</v>
      </c>
      <c r="AC308" t="s">
        <v>5348</v>
      </c>
      <c r="AD308" t="s">
        <v>5349</v>
      </c>
      <c r="AE308" t="s">
        <v>5350</v>
      </c>
      <c r="AF308" t="s">
        <v>74</v>
      </c>
      <c r="AG308">
        <v>66</v>
      </c>
      <c r="AH308">
        <v>23</v>
      </c>
      <c r="AI308">
        <v>23</v>
      </c>
      <c r="AJ308">
        <v>5</v>
      </c>
      <c r="AK308">
        <v>47</v>
      </c>
      <c r="AL308" t="s">
        <v>311</v>
      </c>
      <c r="AM308" t="s">
        <v>312</v>
      </c>
      <c r="AN308" t="s">
        <v>313</v>
      </c>
      <c r="AO308" t="s">
        <v>314</v>
      </c>
      <c r="AP308" t="s">
        <v>315</v>
      </c>
      <c r="AQ308" t="s">
        <v>74</v>
      </c>
      <c r="AR308" t="s">
        <v>316</v>
      </c>
      <c r="AS308" t="s">
        <v>317</v>
      </c>
      <c r="AT308" t="s">
        <v>5351</v>
      </c>
      <c r="AU308">
        <v>2021</v>
      </c>
      <c r="AV308">
        <v>59</v>
      </c>
      <c r="AW308">
        <v>24</v>
      </c>
      <c r="AX308" t="s">
        <v>74</v>
      </c>
      <c r="AY308" t="s">
        <v>74</v>
      </c>
      <c r="AZ308" t="s">
        <v>74</v>
      </c>
      <c r="BA308" t="s">
        <v>74</v>
      </c>
      <c r="BB308">
        <v>7537</v>
      </c>
      <c r="BC308">
        <v>7559</v>
      </c>
      <c r="BD308" t="s">
        <v>74</v>
      </c>
      <c r="BE308" t="s">
        <v>5352</v>
      </c>
      <c r="BF308" t="str">
        <f>HYPERLINK("http://dx.doi.org/10.1080/00207543.2020.1844919","http://dx.doi.org/10.1080/00207543.2020.1844919")</f>
        <v>http://dx.doi.org/10.1080/00207543.2020.1844919</v>
      </c>
      <c r="BG308" t="s">
        <v>74</v>
      </c>
      <c r="BH308" t="s">
        <v>5353</v>
      </c>
      <c r="BI308">
        <v>23</v>
      </c>
      <c r="BJ308" t="s">
        <v>321</v>
      </c>
      <c r="BK308" t="s">
        <v>149</v>
      </c>
      <c r="BL308" t="s">
        <v>150</v>
      </c>
      <c r="BM308" t="s">
        <v>5354</v>
      </c>
      <c r="BN308" t="s">
        <v>74</v>
      </c>
      <c r="BO308" t="s">
        <v>400</v>
      </c>
      <c r="BP308" t="s">
        <v>74</v>
      </c>
      <c r="BQ308" t="s">
        <v>74</v>
      </c>
      <c r="BR308" t="s">
        <v>104</v>
      </c>
      <c r="BS308" t="s">
        <v>5355</v>
      </c>
      <c r="BT308" t="str">
        <f>HYPERLINK("https%3A%2F%2Fwww.webofscience.com%2Fwos%2Fwoscc%2Ffull-record%2FWOS:000596326400001","View Full Record in Web of Science")</f>
        <v>View Full Record in Web of Science</v>
      </c>
    </row>
    <row r="309" spans="1:72" x14ac:dyDescent="0.25">
      <c r="A309" t="s">
        <v>72</v>
      </c>
      <c r="B309" t="s">
        <v>5356</v>
      </c>
      <c r="C309" t="s">
        <v>74</v>
      </c>
      <c r="D309" t="s">
        <v>74</v>
      </c>
      <c r="E309" t="s">
        <v>74</v>
      </c>
      <c r="F309" t="s">
        <v>5357</v>
      </c>
      <c r="G309" t="s">
        <v>74</v>
      </c>
      <c r="H309" t="s">
        <v>74</v>
      </c>
      <c r="I309" t="s">
        <v>5358</v>
      </c>
      <c r="J309" t="s">
        <v>1402</v>
      </c>
      <c r="K309" t="s">
        <v>74</v>
      </c>
      <c r="L309" t="s">
        <v>74</v>
      </c>
      <c r="M309" t="s">
        <v>78</v>
      </c>
      <c r="N309" t="s">
        <v>1083</v>
      </c>
      <c r="O309" t="s">
        <v>74</v>
      </c>
      <c r="P309" t="s">
        <v>74</v>
      </c>
      <c r="Q309" t="s">
        <v>74</v>
      </c>
      <c r="R309" t="s">
        <v>74</v>
      </c>
      <c r="S309" t="s">
        <v>74</v>
      </c>
      <c r="T309" t="s">
        <v>5359</v>
      </c>
      <c r="U309" t="s">
        <v>5360</v>
      </c>
      <c r="V309" t="s">
        <v>5361</v>
      </c>
      <c r="W309" t="s">
        <v>5362</v>
      </c>
      <c r="X309" t="s">
        <v>5363</v>
      </c>
      <c r="Y309" t="s">
        <v>5364</v>
      </c>
      <c r="Z309" t="s">
        <v>5365</v>
      </c>
      <c r="AA309" t="s">
        <v>74</v>
      </c>
      <c r="AB309" t="s">
        <v>5366</v>
      </c>
      <c r="AC309" t="s">
        <v>5367</v>
      </c>
      <c r="AD309" t="s">
        <v>5368</v>
      </c>
      <c r="AE309" t="s">
        <v>5369</v>
      </c>
      <c r="AF309" t="s">
        <v>74</v>
      </c>
      <c r="AG309">
        <v>66</v>
      </c>
      <c r="AH309">
        <v>0</v>
      </c>
      <c r="AI309">
        <v>0</v>
      </c>
      <c r="AJ309">
        <v>5</v>
      </c>
      <c r="AK309">
        <v>5</v>
      </c>
      <c r="AL309" t="s">
        <v>1415</v>
      </c>
      <c r="AM309" t="s">
        <v>1416</v>
      </c>
      <c r="AN309" t="s">
        <v>1417</v>
      </c>
      <c r="AO309" t="s">
        <v>1418</v>
      </c>
      <c r="AP309" t="s">
        <v>1419</v>
      </c>
      <c r="AQ309" t="s">
        <v>74</v>
      </c>
      <c r="AR309" t="s">
        <v>1420</v>
      </c>
      <c r="AS309" t="s">
        <v>1421</v>
      </c>
      <c r="AT309" t="s">
        <v>5370</v>
      </c>
      <c r="AU309">
        <v>2024</v>
      </c>
      <c r="AV309" t="s">
        <v>74</v>
      </c>
      <c r="AW309" t="s">
        <v>74</v>
      </c>
      <c r="AX309" t="s">
        <v>74</v>
      </c>
      <c r="AY309" t="s">
        <v>74</v>
      </c>
      <c r="AZ309" t="s">
        <v>74</v>
      </c>
      <c r="BA309" t="s">
        <v>74</v>
      </c>
      <c r="BB309" t="s">
        <v>74</v>
      </c>
      <c r="BC309" t="s">
        <v>74</v>
      </c>
      <c r="BD309" t="s">
        <v>74</v>
      </c>
      <c r="BE309" t="s">
        <v>5371</v>
      </c>
      <c r="BF309" t="str">
        <f>HYPERLINK("http://dx.doi.org/10.1080/24725854.2024.2410334","http://dx.doi.org/10.1080/24725854.2024.2410334")</f>
        <v>http://dx.doi.org/10.1080/24725854.2024.2410334</v>
      </c>
      <c r="BG309" t="s">
        <v>74</v>
      </c>
      <c r="BH309" t="s">
        <v>415</v>
      </c>
      <c r="BI309">
        <v>12</v>
      </c>
      <c r="BJ309" t="s">
        <v>148</v>
      </c>
      <c r="BK309" t="s">
        <v>149</v>
      </c>
      <c r="BL309" t="s">
        <v>150</v>
      </c>
      <c r="BM309" t="s">
        <v>5372</v>
      </c>
      <c r="BN309" t="s">
        <v>74</v>
      </c>
      <c r="BO309" t="s">
        <v>74</v>
      </c>
      <c r="BP309" t="s">
        <v>74</v>
      </c>
      <c r="BQ309" t="s">
        <v>74</v>
      </c>
      <c r="BR309" t="s">
        <v>104</v>
      </c>
      <c r="BS309" t="s">
        <v>5373</v>
      </c>
      <c r="BT309" t="str">
        <f>HYPERLINK("https%3A%2F%2Fwww.webofscience.com%2Fwos%2Fwoscc%2Ffull-record%2FWOS:001349784000001","View Full Record in Web of Science")</f>
        <v>View Full Record in Web of Science</v>
      </c>
    </row>
    <row r="310" spans="1:72" x14ac:dyDescent="0.25">
      <c r="A310" t="s">
        <v>72</v>
      </c>
      <c r="B310" t="s">
        <v>5374</v>
      </c>
      <c r="C310" t="s">
        <v>74</v>
      </c>
      <c r="D310" t="s">
        <v>74</v>
      </c>
      <c r="E310" t="s">
        <v>74</v>
      </c>
      <c r="F310" t="s">
        <v>5375</v>
      </c>
      <c r="G310" t="s">
        <v>74</v>
      </c>
      <c r="H310" t="s">
        <v>74</v>
      </c>
      <c r="I310" t="s">
        <v>5376</v>
      </c>
      <c r="J310" t="s">
        <v>299</v>
      </c>
      <c r="K310" t="s">
        <v>74</v>
      </c>
      <c r="L310" t="s">
        <v>74</v>
      </c>
      <c r="M310" t="s">
        <v>78</v>
      </c>
      <c r="N310" t="s">
        <v>79</v>
      </c>
      <c r="O310" t="s">
        <v>74</v>
      </c>
      <c r="P310" t="s">
        <v>74</v>
      </c>
      <c r="Q310" t="s">
        <v>74</v>
      </c>
      <c r="R310" t="s">
        <v>74</v>
      </c>
      <c r="S310" t="s">
        <v>74</v>
      </c>
      <c r="T310" t="s">
        <v>5377</v>
      </c>
      <c r="U310" t="s">
        <v>5378</v>
      </c>
      <c r="V310" t="s">
        <v>5379</v>
      </c>
      <c r="W310" t="s">
        <v>5380</v>
      </c>
      <c r="X310" t="s">
        <v>5381</v>
      </c>
      <c r="Y310" t="s">
        <v>5382</v>
      </c>
      <c r="Z310" t="s">
        <v>5383</v>
      </c>
      <c r="AA310" t="s">
        <v>74</v>
      </c>
      <c r="AB310" t="s">
        <v>5384</v>
      </c>
      <c r="AC310" t="s">
        <v>5385</v>
      </c>
      <c r="AD310" t="s">
        <v>5386</v>
      </c>
      <c r="AE310" t="s">
        <v>5387</v>
      </c>
      <c r="AF310" t="s">
        <v>74</v>
      </c>
      <c r="AG310">
        <v>42</v>
      </c>
      <c r="AH310">
        <v>27</v>
      </c>
      <c r="AI310">
        <v>29</v>
      </c>
      <c r="AJ310">
        <v>4</v>
      </c>
      <c r="AK310">
        <v>83</v>
      </c>
      <c r="AL310" t="s">
        <v>311</v>
      </c>
      <c r="AM310" t="s">
        <v>312</v>
      </c>
      <c r="AN310" t="s">
        <v>313</v>
      </c>
      <c r="AO310" t="s">
        <v>314</v>
      </c>
      <c r="AP310" t="s">
        <v>315</v>
      </c>
      <c r="AQ310" t="s">
        <v>74</v>
      </c>
      <c r="AR310" t="s">
        <v>316</v>
      </c>
      <c r="AS310" t="s">
        <v>317</v>
      </c>
      <c r="AT310" t="s">
        <v>5388</v>
      </c>
      <c r="AU310">
        <v>2020</v>
      </c>
      <c r="AV310">
        <v>58</v>
      </c>
      <c r="AW310">
        <v>22</v>
      </c>
      <c r="AX310" t="s">
        <v>74</v>
      </c>
      <c r="AY310" t="s">
        <v>74</v>
      </c>
      <c r="AZ310" t="s">
        <v>74</v>
      </c>
      <c r="BA310" t="s">
        <v>74</v>
      </c>
      <c r="BB310">
        <v>6791</v>
      </c>
      <c r="BC310">
        <v>6810</v>
      </c>
      <c r="BD310" t="s">
        <v>74</v>
      </c>
      <c r="BE310" t="s">
        <v>5389</v>
      </c>
      <c r="BF310" t="str">
        <f>HYPERLINK("http://dx.doi.org/10.1080/00207543.2019.1685706","http://dx.doi.org/10.1080/00207543.2019.1685706")</f>
        <v>http://dx.doi.org/10.1080/00207543.2019.1685706</v>
      </c>
      <c r="BG310" t="s">
        <v>74</v>
      </c>
      <c r="BH310" t="s">
        <v>5390</v>
      </c>
      <c r="BI310">
        <v>20</v>
      </c>
      <c r="BJ310" t="s">
        <v>321</v>
      </c>
      <c r="BK310" t="s">
        <v>149</v>
      </c>
      <c r="BL310" t="s">
        <v>150</v>
      </c>
      <c r="BM310" t="s">
        <v>5391</v>
      </c>
      <c r="BN310" t="s">
        <v>74</v>
      </c>
      <c r="BO310" t="s">
        <v>74</v>
      </c>
      <c r="BP310" t="s">
        <v>74</v>
      </c>
      <c r="BQ310" t="s">
        <v>74</v>
      </c>
      <c r="BR310" t="s">
        <v>104</v>
      </c>
      <c r="BS310" t="s">
        <v>5392</v>
      </c>
      <c r="BT310" t="str">
        <f>HYPERLINK("https%3A%2F%2Fwww.webofscience.com%2Fwos%2Fwoscc%2Ffull-record%2FWOS:000495536700001","View Full Record in Web of Science")</f>
        <v>View Full Record in Web of Science</v>
      </c>
    </row>
    <row r="311" spans="1:72" x14ac:dyDescent="0.25">
      <c r="A311" t="s">
        <v>72</v>
      </c>
      <c r="B311" t="s">
        <v>5393</v>
      </c>
      <c r="C311" t="s">
        <v>74</v>
      </c>
      <c r="D311" t="s">
        <v>74</v>
      </c>
      <c r="E311" t="s">
        <v>74</v>
      </c>
      <c r="F311" t="s">
        <v>5394</v>
      </c>
      <c r="G311" t="s">
        <v>74</v>
      </c>
      <c r="H311" t="s">
        <v>74</v>
      </c>
      <c r="I311" t="s">
        <v>5395</v>
      </c>
      <c r="J311" t="s">
        <v>128</v>
      </c>
      <c r="K311" t="s">
        <v>74</v>
      </c>
      <c r="L311" t="s">
        <v>74</v>
      </c>
      <c r="M311" t="s">
        <v>78</v>
      </c>
      <c r="N311" t="s">
        <v>79</v>
      </c>
      <c r="O311" t="s">
        <v>74</v>
      </c>
      <c r="P311" t="s">
        <v>74</v>
      </c>
      <c r="Q311" t="s">
        <v>74</v>
      </c>
      <c r="R311" t="s">
        <v>74</v>
      </c>
      <c r="S311" t="s">
        <v>74</v>
      </c>
      <c r="T311" t="s">
        <v>5396</v>
      </c>
      <c r="U311" t="s">
        <v>5397</v>
      </c>
      <c r="V311" t="s">
        <v>5398</v>
      </c>
      <c r="W311" t="s">
        <v>5399</v>
      </c>
      <c r="X311" t="s">
        <v>5400</v>
      </c>
      <c r="Y311" t="s">
        <v>5401</v>
      </c>
      <c r="Z311" t="s">
        <v>3759</v>
      </c>
      <c r="AA311" t="s">
        <v>5402</v>
      </c>
      <c r="AB311" t="s">
        <v>5403</v>
      </c>
      <c r="AC311" t="s">
        <v>5404</v>
      </c>
      <c r="AD311" t="s">
        <v>5405</v>
      </c>
      <c r="AE311" t="s">
        <v>5406</v>
      </c>
      <c r="AF311" t="s">
        <v>74</v>
      </c>
      <c r="AG311">
        <v>49</v>
      </c>
      <c r="AH311">
        <v>11</v>
      </c>
      <c r="AI311">
        <v>11</v>
      </c>
      <c r="AJ311">
        <v>23</v>
      </c>
      <c r="AK311">
        <v>80</v>
      </c>
      <c r="AL311" t="s">
        <v>138</v>
      </c>
      <c r="AM311" t="s">
        <v>139</v>
      </c>
      <c r="AN311" t="s">
        <v>140</v>
      </c>
      <c r="AO311" t="s">
        <v>141</v>
      </c>
      <c r="AP311" t="s">
        <v>142</v>
      </c>
      <c r="AQ311" t="s">
        <v>74</v>
      </c>
      <c r="AR311" t="s">
        <v>143</v>
      </c>
      <c r="AS311" t="s">
        <v>144</v>
      </c>
      <c r="AT311" t="s">
        <v>2225</v>
      </c>
      <c r="AU311">
        <v>2023</v>
      </c>
      <c r="AV311">
        <v>236</v>
      </c>
      <c r="AW311" t="s">
        <v>74</v>
      </c>
      <c r="AX311" t="s">
        <v>74</v>
      </c>
      <c r="AY311" t="s">
        <v>74</v>
      </c>
      <c r="AZ311" t="s">
        <v>74</v>
      </c>
      <c r="BA311" t="s">
        <v>74</v>
      </c>
      <c r="BB311" t="s">
        <v>74</v>
      </c>
      <c r="BC311" t="s">
        <v>74</v>
      </c>
      <c r="BD311">
        <v>109290</v>
      </c>
      <c r="BE311" t="s">
        <v>5407</v>
      </c>
      <c r="BF311" t="str">
        <f>HYPERLINK("http://dx.doi.org/10.1016/j.ress.2023.109290","http://dx.doi.org/10.1016/j.ress.2023.109290")</f>
        <v>http://dx.doi.org/10.1016/j.ress.2023.109290</v>
      </c>
      <c r="BG311" t="s">
        <v>74</v>
      </c>
      <c r="BH311" t="s">
        <v>1204</v>
      </c>
      <c r="BI311">
        <v>13</v>
      </c>
      <c r="BJ311" t="s">
        <v>148</v>
      </c>
      <c r="BK311" t="s">
        <v>149</v>
      </c>
      <c r="BL311" t="s">
        <v>150</v>
      </c>
      <c r="BM311" t="s">
        <v>5408</v>
      </c>
      <c r="BN311" t="s">
        <v>74</v>
      </c>
      <c r="BO311" t="s">
        <v>1578</v>
      </c>
      <c r="BP311" t="s">
        <v>74</v>
      </c>
      <c r="BQ311" t="s">
        <v>74</v>
      </c>
      <c r="BR311" t="s">
        <v>104</v>
      </c>
      <c r="BS311" t="s">
        <v>5409</v>
      </c>
      <c r="BT311" t="str">
        <f>HYPERLINK("https%3A%2F%2Fwww.webofscience.com%2Fwos%2Fwoscc%2Ffull-record%2FWOS:000979911500001","View Full Record in Web of Science")</f>
        <v>View Full Record in Web of Science</v>
      </c>
    </row>
    <row r="312" spans="1:72" x14ac:dyDescent="0.25">
      <c r="A312" t="s">
        <v>72</v>
      </c>
      <c r="B312" t="s">
        <v>5410</v>
      </c>
      <c r="C312" t="s">
        <v>74</v>
      </c>
      <c r="D312" t="s">
        <v>74</v>
      </c>
      <c r="E312" t="s">
        <v>74</v>
      </c>
      <c r="F312" t="s">
        <v>5411</v>
      </c>
      <c r="G312" t="s">
        <v>74</v>
      </c>
      <c r="H312" t="s">
        <v>74</v>
      </c>
      <c r="I312" t="s">
        <v>5412</v>
      </c>
      <c r="J312" t="s">
        <v>128</v>
      </c>
      <c r="K312" t="s">
        <v>74</v>
      </c>
      <c r="L312" t="s">
        <v>74</v>
      </c>
      <c r="M312" t="s">
        <v>78</v>
      </c>
      <c r="N312" t="s">
        <v>79</v>
      </c>
      <c r="O312" t="s">
        <v>74</v>
      </c>
      <c r="P312" t="s">
        <v>74</v>
      </c>
      <c r="Q312" t="s">
        <v>74</v>
      </c>
      <c r="R312" t="s">
        <v>74</v>
      </c>
      <c r="S312" t="s">
        <v>74</v>
      </c>
      <c r="T312" t="s">
        <v>5413</v>
      </c>
      <c r="U312" t="s">
        <v>5414</v>
      </c>
      <c r="V312" t="s">
        <v>5415</v>
      </c>
      <c r="W312" t="s">
        <v>5416</v>
      </c>
      <c r="X312" t="s">
        <v>1068</v>
      </c>
      <c r="Y312" t="s">
        <v>5417</v>
      </c>
      <c r="Z312" t="s">
        <v>74</v>
      </c>
      <c r="AA312" t="s">
        <v>1071</v>
      </c>
      <c r="AB312" t="s">
        <v>5418</v>
      </c>
      <c r="AC312" t="s">
        <v>5419</v>
      </c>
      <c r="AD312" t="s">
        <v>482</v>
      </c>
      <c r="AE312" t="s">
        <v>5420</v>
      </c>
      <c r="AF312" t="s">
        <v>74</v>
      </c>
      <c r="AG312">
        <v>27</v>
      </c>
      <c r="AH312">
        <v>28</v>
      </c>
      <c r="AI312">
        <v>30</v>
      </c>
      <c r="AJ312">
        <v>16</v>
      </c>
      <c r="AK312">
        <v>97</v>
      </c>
      <c r="AL312" t="s">
        <v>138</v>
      </c>
      <c r="AM312" t="s">
        <v>246</v>
      </c>
      <c r="AN312" t="s">
        <v>247</v>
      </c>
      <c r="AO312" t="s">
        <v>141</v>
      </c>
      <c r="AP312" t="s">
        <v>142</v>
      </c>
      <c r="AQ312" t="s">
        <v>74</v>
      </c>
      <c r="AR312" t="s">
        <v>143</v>
      </c>
      <c r="AS312" t="s">
        <v>144</v>
      </c>
      <c r="AT312" t="s">
        <v>1008</v>
      </c>
      <c r="AU312">
        <v>2022</v>
      </c>
      <c r="AV312">
        <v>217</v>
      </c>
      <c r="AW312" t="s">
        <v>74</v>
      </c>
      <c r="AX312" t="s">
        <v>74</v>
      </c>
      <c r="AY312" t="s">
        <v>74</v>
      </c>
      <c r="AZ312" t="s">
        <v>74</v>
      </c>
      <c r="BA312" t="s">
        <v>74</v>
      </c>
      <c r="BB312" t="s">
        <v>74</v>
      </c>
      <c r="BC312" t="s">
        <v>74</v>
      </c>
      <c r="BD312">
        <v>108070</v>
      </c>
      <c r="BE312" t="s">
        <v>5421</v>
      </c>
      <c r="BF312" t="str">
        <f>HYPERLINK("http://dx.doi.org/10.1016/j.ress.2021.108070","http://dx.doi.org/10.1016/j.ress.2021.108070")</f>
        <v>http://dx.doi.org/10.1016/j.ress.2021.108070</v>
      </c>
      <c r="BG312" t="s">
        <v>74</v>
      </c>
      <c r="BH312" t="s">
        <v>99</v>
      </c>
      <c r="BI312">
        <v>12</v>
      </c>
      <c r="BJ312" t="s">
        <v>148</v>
      </c>
      <c r="BK312" t="s">
        <v>149</v>
      </c>
      <c r="BL312" t="s">
        <v>150</v>
      </c>
      <c r="BM312" t="s">
        <v>4508</v>
      </c>
      <c r="BN312" t="s">
        <v>74</v>
      </c>
      <c r="BO312" t="s">
        <v>74</v>
      </c>
      <c r="BP312" t="s">
        <v>74</v>
      </c>
      <c r="BQ312" t="s">
        <v>74</v>
      </c>
      <c r="BR312" t="s">
        <v>104</v>
      </c>
      <c r="BS312" t="s">
        <v>5422</v>
      </c>
      <c r="BT312" t="str">
        <f>HYPERLINK("https%3A%2F%2Fwww.webofscience.com%2Fwos%2Fwoscc%2Ffull-record%2FWOS:000708365800009","View Full Record in Web of Science")</f>
        <v>View Full Record in Web of Science</v>
      </c>
    </row>
    <row r="313" spans="1:72" x14ac:dyDescent="0.25">
      <c r="A313" t="s">
        <v>72</v>
      </c>
      <c r="B313" t="s">
        <v>5423</v>
      </c>
      <c r="C313" t="s">
        <v>74</v>
      </c>
      <c r="D313" t="s">
        <v>74</v>
      </c>
      <c r="E313" t="s">
        <v>74</v>
      </c>
      <c r="F313" t="s">
        <v>5424</v>
      </c>
      <c r="G313" t="s">
        <v>74</v>
      </c>
      <c r="H313" t="s">
        <v>74</v>
      </c>
      <c r="I313" t="s">
        <v>5425</v>
      </c>
      <c r="J313" t="s">
        <v>128</v>
      </c>
      <c r="K313" t="s">
        <v>74</v>
      </c>
      <c r="L313" t="s">
        <v>74</v>
      </c>
      <c r="M313" t="s">
        <v>78</v>
      </c>
      <c r="N313" t="s">
        <v>79</v>
      </c>
      <c r="O313" t="s">
        <v>74</v>
      </c>
      <c r="P313" t="s">
        <v>74</v>
      </c>
      <c r="Q313" t="s">
        <v>74</v>
      </c>
      <c r="R313" t="s">
        <v>74</v>
      </c>
      <c r="S313" t="s">
        <v>74</v>
      </c>
      <c r="T313" t="s">
        <v>5426</v>
      </c>
      <c r="U313" t="s">
        <v>5427</v>
      </c>
      <c r="V313" t="s">
        <v>5428</v>
      </c>
      <c r="W313" t="s">
        <v>5429</v>
      </c>
      <c r="X313" t="s">
        <v>5430</v>
      </c>
      <c r="Y313" t="s">
        <v>5431</v>
      </c>
      <c r="Z313" t="s">
        <v>5432</v>
      </c>
      <c r="AA313" t="s">
        <v>5433</v>
      </c>
      <c r="AB313" t="s">
        <v>5434</v>
      </c>
      <c r="AC313" t="s">
        <v>74</v>
      </c>
      <c r="AD313" t="s">
        <v>74</v>
      </c>
      <c r="AE313" t="s">
        <v>74</v>
      </c>
      <c r="AF313" t="s">
        <v>74</v>
      </c>
      <c r="AG313">
        <v>58</v>
      </c>
      <c r="AH313">
        <v>13</v>
      </c>
      <c r="AI313">
        <v>13</v>
      </c>
      <c r="AJ313">
        <v>2</v>
      </c>
      <c r="AK313">
        <v>23</v>
      </c>
      <c r="AL313" t="s">
        <v>138</v>
      </c>
      <c r="AM313" t="s">
        <v>246</v>
      </c>
      <c r="AN313" t="s">
        <v>247</v>
      </c>
      <c r="AO313" t="s">
        <v>141</v>
      </c>
      <c r="AP313" t="s">
        <v>142</v>
      </c>
      <c r="AQ313" t="s">
        <v>74</v>
      </c>
      <c r="AR313" t="s">
        <v>143</v>
      </c>
      <c r="AS313" t="s">
        <v>144</v>
      </c>
      <c r="AT313" t="s">
        <v>275</v>
      </c>
      <c r="AU313">
        <v>2021</v>
      </c>
      <c r="AV313">
        <v>207</v>
      </c>
      <c r="AW313" t="s">
        <v>74</v>
      </c>
      <c r="AX313" t="s">
        <v>74</v>
      </c>
      <c r="AY313" t="s">
        <v>74</v>
      </c>
      <c r="AZ313" t="s">
        <v>74</v>
      </c>
      <c r="BA313" t="s">
        <v>74</v>
      </c>
      <c r="BB313" t="s">
        <v>74</v>
      </c>
      <c r="BC313" t="s">
        <v>74</v>
      </c>
      <c r="BD313">
        <v>107394</v>
      </c>
      <c r="BE313" t="s">
        <v>5435</v>
      </c>
      <c r="BF313" t="str">
        <f>HYPERLINK("http://dx.doi.org/10.1016/j.ress.2020.107394","http://dx.doi.org/10.1016/j.ress.2020.107394")</f>
        <v>http://dx.doi.org/10.1016/j.ress.2020.107394</v>
      </c>
      <c r="BG313" t="s">
        <v>74</v>
      </c>
      <c r="BH313" t="s">
        <v>74</v>
      </c>
      <c r="BI313">
        <v>15</v>
      </c>
      <c r="BJ313" t="s">
        <v>148</v>
      </c>
      <c r="BK313" t="s">
        <v>149</v>
      </c>
      <c r="BL313" t="s">
        <v>150</v>
      </c>
      <c r="BM313" t="s">
        <v>5161</v>
      </c>
      <c r="BN313" t="s">
        <v>74</v>
      </c>
      <c r="BO313" t="s">
        <v>1044</v>
      </c>
      <c r="BP313" t="s">
        <v>74</v>
      </c>
      <c r="BQ313" t="s">
        <v>74</v>
      </c>
      <c r="BR313" t="s">
        <v>104</v>
      </c>
      <c r="BS313" t="s">
        <v>5436</v>
      </c>
      <c r="BT313" t="str">
        <f>HYPERLINK("https%3A%2F%2Fwww.webofscience.com%2Fwos%2Fwoscc%2Ffull-record%2FWOS:000606682100046","View Full Record in Web of Science")</f>
        <v>View Full Record in Web of Science</v>
      </c>
    </row>
    <row r="314" spans="1:72" x14ac:dyDescent="0.25">
      <c r="A314" t="s">
        <v>72</v>
      </c>
      <c r="B314" t="s">
        <v>5437</v>
      </c>
      <c r="C314" t="s">
        <v>74</v>
      </c>
      <c r="D314" t="s">
        <v>74</v>
      </c>
      <c r="E314" t="s">
        <v>74</v>
      </c>
      <c r="F314" t="s">
        <v>5438</v>
      </c>
      <c r="G314" t="s">
        <v>74</v>
      </c>
      <c r="H314" t="s">
        <v>74</v>
      </c>
      <c r="I314" t="s">
        <v>5439</v>
      </c>
      <c r="J314" t="s">
        <v>128</v>
      </c>
      <c r="K314" t="s">
        <v>74</v>
      </c>
      <c r="L314" t="s">
        <v>74</v>
      </c>
      <c r="M314" t="s">
        <v>78</v>
      </c>
      <c r="N314" t="s">
        <v>79</v>
      </c>
      <c r="O314" t="s">
        <v>74</v>
      </c>
      <c r="P314" t="s">
        <v>74</v>
      </c>
      <c r="Q314" t="s">
        <v>74</v>
      </c>
      <c r="R314" t="s">
        <v>74</v>
      </c>
      <c r="S314" t="s">
        <v>74</v>
      </c>
      <c r="T314" t="s">
        <v>5440</v>
      </c>
      <c r="U314" t="s">
        <v>5441</v>
      </c>
      <c r="V314" t="s">
        <v>5442</v>
      </c>
      <c r="W314" t="s">
        <v>5443</v>
      </c>
      <c r="X314" t="s">
        <v>5444</v>
      </c>
      <c r="Y314" t="s">
        <v>5445</v>
      </c>
      <c r="Z314" t="s">
        <v>5446</v>
      </c>
      <c r="AA314" t="s">
        <v>5447</v>
      </c>
      <c r="AB314" t="s">
        <v>5448</v>
      </c>
      <c r="AC314" t="s">
        <v>5449</v>
      </c>
      <c r="AD314" t="s">
        <v>5450</v>
      </c>
      <c r="AE314" t="s">
        <v>5451</v>
      </c>
      <c r="AF314" t="s">
        <v>74</v>
      </c>
      <c r="AG314">
        <v>30</v>
      </c>
      <c r="AH314">
        <v>6</v>
      </c>
      <c r="AI314">
        <v>7</v>
      </c>
      <c r="AJ314">
        <v>1</v>
      </c>
      <c r="AK314">
        <v>7</v>
      </c>
      <c r="AL314" t="s">
        <v>138</v>
      </c>
      <c r="AM314" t="s">
        <v>246</v>
      </c>
      <c r="AN314" t="s">
        <v>247</v>
      </c>
      <c r="AO314" t="s">
        <v>141</v>
      </c>
      <c r="AP314" t="s">
        <v>142</v>
      </c>
      <c r="AQ314" t="s">
        <v>74</v>
      </c>
      <c r="AR314" t="s">
        <v>143</v>
      </c>
      <c r="AS314" t="s">
        <v>144</v>
      </c>
      <c r="AT314" t="s">
        <v>1076</v>
      </c>
      <c r="AU314">
        <v>2020</v>
      </c>
      <c r="AV314">
        <v>202</v>
      </c>
      <c r="AW314" t="s">
        <v>74</v>
      </c>
      <c r="AX314" t="s">
        <v>74</v>
      </c>
      <c r="AY314" t="s">
        <v>74</v>
      </c>
      <c r="AZ314" t="s">
        <v>74</v>
      </c>
      <c r="BA314" t="s">
        <v>74</v>
      </c>
      <c r="BB314" t="s">
        <v>74</v>
      </c>
      <c r="BC314" t="s">
        <v>74</v>
      </c>
      <c r="BD314">
        <v>106992</v>
      </c>
      <c r="BE314" t="s">
        <v>5452</v>
      </c>
      <c r="BF314" t="str">
        <f>HYPERLINK("http://dx.doi.org/10.1016/j.ress.2020.106992","http://dx.doi.org/10.1016/j.ress.2020.106992")</f>
        <v>http://dx.doi.org/10.1016/j.ress.2020.106992</v>
      </c>
      <c r="BG314" t="s">
        <v>74</v>
      </c>
      <c r="BH314" t="s">
        <v>74</v>
      </c>
      <c r="BI314">
        <v>12</v>
      </c>
      <c r="BJ314" t="s">
        <v>148</v>
      </c>
      <c r="BK314" t="s">
        <v>149</v>
      </c>
      <c r="BL314" t="s">
        <v>150</v>
      </c>
      <c r="BM314" t="s">
        <v>1633</v>
      </c>
      <c r="BN314" t="s">
        <v>74</v>
      </c>
      <c r="BO314" t="s">
        <v>1044</v>
      </c>
      <c r="BP314" t="s">
        <v>74</v>
      </c>
      <c r="BQ314" t="s">
        <v>74</v>
      </c>
      <c r="BR314" t="s">
        <v>104</v>
      </c>
      <c r="BS314" t="s">
        <v>5453</v>
      </c>
      <c r="BT314" t="str">
        <f>HYPERLINK("https%3A%2F%2Fwww.webofscience.com%2Fwos%2Fwoscc%2Ffull-record%2FWOS:000564277900009","View Full Record in Web of Science")</f>
        <v>View Full Record in Web of Science</v>
      </c>
    </row>
    <row r="315" spans="1:72" x14ac:dyDescent="0.25">
      <c r="A315" t="s">
        <v>72</v>
      </c>
      <c r="B315" t="s">
        <v>5454</v>
      </c>
      <c r="C315" t="s">
        <v>74</v>
      </c>
      <c r="D315" t="s">
        <v>74</v>
      </c>
      <c r="E315" t="s">
        <v>74</v>
      </c>
      <c r="F315" t="s">
        <v>5455</v>
      </c>
      <c r="G315" t="s">
        <v>74</v>
      </c>
      <c r="H315" t="s">
        <v>74</v>
      </c>
      <c r="I315" t="s">
        <v>5456</v>
      </c>
      <c r="J315" t="s">
        <v>697</v>
      </c>
      <c r="K315" t="s">
        <v>74</v>
      </c>
      <c r="L315" t="s">
        <v>74</v>
      </c>
      <c r="M315" t="s">
        <v>78</v>
      </c>
      <c r="N315" t="s">
        <v>79</v>
      </c>
      <c r="O315" t="s">
        <v>74</v>
      </c>
      <c r="P315" t="s">
        <v>74</v>
      </c>
      <c r="Q315" t="s">
        <v>74</v>
      </c>
      <c r="R315" t="s">
        <v>74</v>
      </c>
      <c r="S315" t="s">
        <v>74</v>
      </c>
      <c r="T315" t="s">
        <v>5457</v>
      </c>
      <c r="U315" t="s">
        <v>5458</v>
      </c>
      <c r="V315" t="s">
        <v>5459</v>
      </c>
      <c r="W315" t="s">
        <v>5460</v>
      </c>
      <c r="X315" t="s">
        <v>5461</v>
      </c>
      <c r="Y315" t="s">
        <v>5462</v>
      </c>
      <c r="Z315" t="s">
        <v>5463</v>
      </c>
      <c r="AA315" t="s">
        <v>5464</v>
      </c>
      <c r="AB315" t="s">
        <v>5465</v>
      </c>
      <c r="AC315" t="s">
        <v>5466</v>
      </c>
      <c r="AD315" t="s">
        <v>5467</v>
      </c>
      <c r="AE315" t="s">
        <v>5468</v>
      </c>
      <c r="AF315" t="s">
        <v>74</v>
      </c>
      <c r="AG315">
        <v>45</v>
      </c>
      <c r="AH315">
        <v>0</v>
      </c>
      <c r="AI315">
        <v>0</v>
      </c>
      <c r="AJ315">
        <v>6</v>
      </c>
      <c r="AK315">
        <v>10</v>
      </c>
      <c r="AL315" t="s">
        <v>707</v>
      </c>
      <c r="AM315" t="s">
        <v>246</v>
      </c>
      <c r="AN315" t="s">
        <v>708</v>
      </c>
      <c r="AO315" t="s">
        <v>709</v>
      </c>
      <c r="AP315" t="s">
        <v>710</v>
      </c>
      <c r="AQ315" t="s">
        <v>74</v>
      </c>
      <c r="AR315" t="s">
        <v>711</v>
      </c>
      <c r="AS315" t="s">
        <v>712</v>
      </c>
      <c r="AT315" t="s">
        <v>1076</v>
      </c>
      <c r="AU315">
        <v>2024</v>
      </c>
      <c r="AV315">
        <v>196</v>
      </c>
      <c r="AW315" t="s">
        <v>74</v>
      </c>
      <c r="AX315" t="s">
        <v>74</v>
      </c>
      <c r="AY315" t="s">
        <v>74</v>
      </c>
      <c r="AZ315" t="s">
        <v>74</v>
      </c>
      <c r="BA315" t="s">
        <v>74</v>
      </c>
      <c r="BB315" t="s">
        <v>74</v>
      </c>
      <c r="BC315" t="s">
        <v>74</v>
      </c>
      <c r="BD315">
        <v>110451</v>
      </c>
      <c r="BE315" t="s">
        <v>5469</v>
      </c>
      <c r="BF315" t="str">
        <f>HYPERLINK("http://dx.doi.org/10.1016/j.cie.2024.110451","http://dx.doi.org/10.1016/j.cie.2024.110451")</f>
        <v>http://dx.doi.org/10.1016/j.cie.2024.110451</v>
      </c>
      <c r="BG315" t="s">
        <v>74</v>
      </c>
      <c r="BH315" t="s">
        <v>989</v>
      </c>
      <c r="BI315">
        <v>9</v>
      </c>
      <c r="BJ315" t="s">
        <v>715</v>
      </c>
      <c r="BK315" t="s">
        <v>149</v>
      </c>
      <c r="BL315" t="s">
        <v>716</v>
      </c>
      <c r="BM315" t="s">
        <v>5470</v>
      </c>
      <c r="BN315" t="s">
        <v>74</v>
      </c>
      <c r="BO315" t="s">
        <v>74</v>
      </c>
      <c r="BP315" t="s">
        <v>74</v>
      </c>
      <c r="BQ315" t="s">
        <v>74</v>
      </c>
      <c r="BR315" t="s">
        <v>104</v>
      </c>
      <c r="BS315" t="s">
        <v>5471</v>
      </c>
      <c r="BT315" t="str">
        <f>HYPERLINK("https%3A%2F%2Fwww.webofscience.com%2Fwos%2Fwoscc%2Ffull-record%2FWOS:001293289000001","View Full Record in Web of Science")</f>
        <v>View Full Record in Web of Science</v>
      </c>
    </row>
    <row r="316" spans="1:72" x14ac:dyDescent="0.25">
      <c r="A316" t="s">
        <v>72</v>
      </c>
      <c r="B316" t="s">
        <v>5472</v>
      </c>
      <c r="C316" t="s">
        <v>74</v>
      </c>
      <c r="D316" t="s">
        <v>74</v>
      </c>
      <c r="E316" t="s">
        <v>74</v>
      </c>
      <c r="F316" t="s">
        <v>5473</v>
      </c>
      <c r="G316" t="s">
        <v>74</v>
      </c>
      <c r="H316" t="s">
        <v>74</v>
      </c>
      <c r="I316" t="s">
        <v>5474</v>
      </c>
      <c r="J316" t="s">
        <v>128</v>
      </c>
      <c r="K316" t="s">
        <v>74</v>
      </c>
      <c r="L316" t="s">
        <v>74</v>
      </c>
      <c r="M316" t="s">
        <v>78</v>
      </c>
      <c r="N316" t="s">
        <v>79</v>
      </c>
      <c r="O316" t="s">
        <v>74</v>
      </c>
      <c r="P316" t="s">
        <v>74</v>
      </c>
      <c r="Q316" t="s">
        <v>74</v>
      </c>
      <c r="R316" t="s">
        <v>74</v>
      </c>
      <c r="S316" t="s">
        <v>74</v>
      </c>
      <c r="T316" t="s">
        <v>5475</v>
      </c>
      <c r="U316" t="s">
        <v>5476</v>
      </c>
      <c r="V316" t="s">
        <v>5477</v>
      </c>
      <c r="W316" t="s">
        <v>5478</v>
      </c>
      <c r="X316" t="s">
        <v>5479</v>
      </c>
      <c r="Y316" t="s">
        <v>5480</v>
      </c>
      <c r="Z316" t="s">
        <v>5481</v>
      </c>
      <c r="AA316" t="s">
        <v>5482</v>
      </c>
      <c r="AB316" t="s">
        <v>5483</v>
      </c>
      <c r="AC316" t="s">
        <v>5484</v>
      </c>
      <c r="AD316" t="s">
        <v>5484</v>
      </c>
      <c r="AE316" t="s">
        <v>5485</v>
      </c>
      <c r="AF316" t="s">
        <v>74</v>
      </c>
      <c r="AG316">
        <v>59</v>
      </c>
      <c r="AH316">
        <v>0</v>
      </c>
      <c r="AI316">
        <v>0</v>
      </c>
      <c r="AJ316">
        <v>2</v>
      </c>
      <c r="AK316">
        <v>17</v>
      </c>
      <c r="AL316" t="s">
        <v>138</v>
      </c>
      <c r="AM316" t="s">
        <v>139</v>
      </c>
      <c r="AN316" t="s">
        <v>140</v>
      </c>
      <c r="AO316" t="s">
        <v>141</v>
      </c>
      <c r="AP316" t="s">
        <v>142</v>
      </c>
      <c r="AQ316" t="s">
        <v>74</v>
      </c>
      <c r="AR316" t="s">
        <v>143</v>
      </c>
      <c r="AS316" t="s">
        <v>144</v>
      </c>
      <c r="AT316" t="s">
        <v>145</v>
      </c>
      <c r="AU316">
        <v>2023</v>
      </c>
      <c r="AV316">
        <v>240</v>
      </c>
      <c r="AW316" t="s">
        <v>74</v>
      </c>
      <c r="AX316" t="s">
        <v>74</v>
      </c>
      <c r="AY316" t="s">
        <v>74</v>
      </c>
      <c r="AZ316" t="s">
        <v>74</v>
      </c>
      <c r="BA316" t="s">
        <v>74</v>
      </c>
      <c r="BB316" t="s">
        <v>74</v>
      </c>
      <c r="BC316" t="s">
        <v>74</v>
      </c>
      <c r="BD316">
        <v>109532</v>
      </c>
      <c r="BE316" t="s">
        <v>5486</v>
      </c>
      <c r="BF316" t="str">
        <f>HYPERLINK("http://dx.doi.org/10.1016/j.ress.2023.109532","http://dx.doi.org/10.1016/j.ress.2023.109532")</f>
        <v>http://dx.doi.org/10.1016/j.ress.2023.109532</v>
      </c>
      <c r="BG316" t="s">
        <v>74</v>
      </c>
      <c r="BH316" t="s">
        <v>1488</v>
      </c>
      <c r="BI316">
        <v>19</v>
      </c>
      <c r="BJ316" t="s">
        <v>148</v>
      </c>
      <c r="BK316" t="s">
        <v>149</v>
      </c>
      <c r="BL316" t="s">
        <v>150</v>
      </c>
      <c r="BM316" t="s">
        <v>5487</v>
      </c>
      <c r="BN316" t="s">
        <v>74</v>
      </c>
      <c r="BO316" t="s">
        <v>123</v>
      </c>
      <c r="BP316" t="s">
        <v>74</v>
      </c>
      <c r="BQ316" t="s">
        <v>74</v>
      </c>
      <c r="BR316" t="s">
        <v>104</v>
      </c>
      <c r="BS316" t="s">
        <v>5488</v>
      </c>
      <c r="BT316" t="str">
        <f>HYPERLINK("https%3A%2F%2Fwww.webofscience.com%2Fwos%2Fwoscc%2Ffull-record%2FWOS:001062202100001","View Full Record in Web of Science")</f>
        <v>View Full Record in Web of Science</v>
      </c>
    </row>
    <row r="317" spans="1:72" x14ac:dyDescent="0.25">
      <c r="A317" t="s">
        <v>72</v>
      </c>
      <c r="B317" t="s">
        <v>5489</v>
      </c>
      <c r="C317" t="s">
        <v>74</v>
      </c>
      <c r="D317" t="s">
        <v>74</v>
      </c>
      <c r="E317" t="s">
        <v>74</v>
      </c>
      <c r="F317" t="s">
        <v>5490</v>
      </c>
      <c r="G317" t="s">
        <v>74</v>
      </c>
      <c r="H317" t="s">
        <v>74</v>
      </c>
      <c r="I317" t="s">
        <v>5491</v>
      </c>
      <c r="J317" t="s">
        <v>128</v>
      </c>
      <c r="K317" t="s">
        <v>74</v>
      </c>
      <c r="L317" t="s">
        <v>74</v>
      </c>
      <c r="M317" t="s">
        <v>78</v>
      </c>
      <c r="N317" t="s">
        <v>79</v>
      </c>
      <c r="O317" t="s">
        <v>74</v>
      </c>
      <c r="P317" t="s">
        <v>74</v>
      </c>
      <c r="Q317" t="s">
        <v>74</v>
      </c>
      <c r="R317" t="s">
        <v>74</v>
      </c>
      <c r="S317" t="s">
        <v>74</v>
      </c>
      <c r="T317" t="s">
        <v>5492</v>
      </c>
      <c r="U317" t="s">
        <v>5493</v>
      </c>
      <c r="V317" t="s">
        <v>5494</v>
      </c>
      <c r="W317" t="s">
        <v>5495</v>
      </c>
      <c r="X317" t="s">
        <v>3361</v>
      </c>
      <c r="Y317" t="s">
        <v>3362</v>
      </c>
      <c r="Z317" t="s">
        <v>5496</v>
      </c>
      <c r="AA317" t="s">
        <v>3960</v>
      </c>
      <c r="AB317" t="s">
        <v>1299</v>
      </c>
      <c r="AC317" t="s">
        <v>5497</v>
      </c>
      <c r="AD317" t="s">
        <v>5498</v>
      </c>
      <c r="AE317" t="s">
        <v>5499</v>
      </c>
      <c r="AF317" t="s">
        <v>74</v>
      </c>
      <c r="AG317">
        <v>64</v>
      </c>
      <c r="AH317">
        <v>22</v>
      </c>
      <c r="AI317">
        <v>23</v>
      </c>
      <c r="AJ317">
        <v>20</v>
      </c>
      <c r="AK317">
        <v>54</v>
      </c>
      <c r="AL317" t="s">
        <v>138</v>
      </c>
      <c r="AM317" t="s">
        <v>139</v>
      </c>
      <c r="AN317" t="s">
        <v>140</v>
      </c>
      <c r="AO317" t="s">
        <v>141</v>
      </c>
      <c r="AP317" t="s">
        <v>142</v>
      </c>
      <c r="AQ317" t="s">
        <v>74</v>
      </c>
      <c r="AR317" t="s">
        <v>143</v>
      </c>
      <c r="AS317" t="s">
        <v>144</v>
      </c>
      <c r="AT317" t="s">
        <v>1076</v>
      </c>
      <c r="AU317">
        <v>2022</v>
      </c>
      <c r="AV317">
        <v>226</v>
      </c>
      <c r="AW317" t="s">
        <v>74</v>
      </c>
      <c r="AX317" t="s">
        <v>74</v>
      </c>
      <c r="AY317" t="s">
        <v>74</v>
      </c>
      <c r="AZ317" t="s">
        <v>74</v>
      </c>
      <c r="BA317" t="s">
        <v>74</v>
      </c>
      <c r="BB317" t="s">
        <v>74</v>
      </c>
      <c r="BC317" t="s">
        <v>74</v>
      </c>
      <c r="BD317">
        <v>108655</v>
      </c>
      <c r="BE317" t="s">
        <v>5500</v>
      </c>
      <c r="BF317" t="str">
        <f>HYPERLINK("http://dx.doi.org/10.1016/j.ress.2022.108655","http://dx.doi.org/10.1016/j.ress.2022.108655")</f>
        <v>http://dx.doi.org/10.1016/j.ress.2022.108655</v>
      </c>
      <c r="BG317" t="s">
        <v>74</v>
      </c>
      <c r="BH317" t="s">
        <v>74</v>
      </c>
      <c r="BI317">
        <v>15</v>
      </c>
      <c r="BJ317" t="s">
        <v>148</v>
      </c>
      <c r="BK317" t="s">
        <v>149</v>
      </c>
      <c r="BL317" t="s">
        <v>150</v>
      </c>
      <c r="BM317" t="s">
        <v>4214</v>
      </c>
      <c r="BN317" t="s">
        <v>74</v>
      </c>
      <c r="BO317" t="s">
        <v>74</v>
      </c>
      <c r="BP317" t="s">
        <v>74</v>
      </c>
      <c r="BQ317" t="s">
        <v>74</v>
      </c>
      <c r="BR317" t="s">
        <v>104</v>
      </c>
      <c r="BS317" t="s">
        <v>5501</v>
      </c>
      <c r="BT317" t="str">
        <f>HYPERLINK("https%3A%2F%2Fwww.webofscience.com%2Fwos%2Fwoscc%2Ffull-record%2FWOS:000821966900006","View Full Record in Web of Science")</f>
        <v>View Full Record in Web of Science</v>
      </c>
    </row>
    <row r="318" spans="1:72" x14ac:dyDescent="0.25">
      <c r="A318" t="s">
        <v>72</v>
      </c>
      <c r="B318" t="s">
        <v>5502</v>
      </c>
      <c r="C318" t="s">
        <v>74</v>
      </c>
      <c r="D318" t="s">
        <v>74</v>
      </c>
      <c r="E318" t="s">
        <v>74</v>
      </c>
      <c r="F318" t="s">
        <v>5503</v>
      </c>
      <c r="G318" t="s">
        <v>74</v>
      </c>
      <c r="H318" t="s">
        <v>74</v>
      </c>
      <c r="I318" t="s">
        <v>5504</v>
      </c>
      <c r="J318" t="s">
        <v>3900</v>
      </c>
      <c r="K318" t="s">
        <v>74</v>
      </c>
      <c r="L318" t="s">
        <v>74</v>
      </c>
      <c r="M318" t="s">
        <v>78</v>
      </c>
      <c r="N318" t="s">
        <v>79</v>
      </c>
      <c r="O318" t="s">
        <v>74</v>
      </c>
      <c r="P318" t="s">
        <v>74</v>
      </c>
      <c r="Q318" t="s">
        <v>74</v>
      </c>
      <c r="R318" t="s">
        <v>74</v>
      </c>
      <c r="S318" t="s">
        <v>74</v>
      </c>
      <c r="T318" t="s">
        <v>5505</v>
      </c>
      <c r="U318" t="s">
        <v>5506</v>
      </c>
      <c r="V318" t="s">
        <v>5507</v>
      </c>
      <c r="W318" t="s">
        <v>5508</v>
      </c>
      <c r="X318" t="s">
        <v>5509</v>
      </c>
      <c r="Y318" t="s">
        <v>5510</v>
      </c>
      <c r="Z318" t="s">
        <v>2480</v>
      </c>
      <c r="AA318" t="s">
        <v>5511</v>
      </c>
      <c r="AB318" t="s">
        <v>2481</v>
      </c>
      <c r="AC318" t="s">
        <v>5512</v>
      </c>
      <c r="AD318" t="s">
        <v>5513</v>
      </c>
      <c r="AE318" t="s">
        <v>5514</v>
      </c>
      <c r="AF318" t="s">
        <v>74</v>
      </c>
      <c r="AG318">
        <v>33</v>
      </c>
      <c r="AH318">
        <v>27</v>
      </c>
      <c r="AI318">
        <v>28</v>
      </c>
      <c r="AJ318">
        <v>2</v>
      </c>
      <c r="AK318">
        <v>59</v>
      </c>
      <c r="AL318" t="s">
        <v>138</v>
      </c>
      <c r="AM318" t="s">
        <v>246</v>
      </c>
      <c r="AN318" t="s">
        <v>247</v>
      </c>
      <c r="AO318" t="s">
        <v>3912</v>
      </c>
      <c r="AP318" t="s">
        <v>3913</v>
      </c>
      <c r="AQ318" t="s">
        <v>74</v>
      </c>
      <c r="AR318" t="s">
        <v>3914</v>
      </c>
      <c r="AS318" t="s">
        <v>3915</v>
      </c>
      <c r="AT318" t="s">
        <v>1076</v>
      </c>
      <c r="AU318">
        <v>2019</v>
      </c>
      <c r="AV318">
        <v>42</v>
      </c>
      <c r="AW318" t="s">
        <v>74</v>
      </c>
      <c r="AX318" t="s">
        <v>74</v>
      </c>
      <c r="AY318" t="s">
        <v>74</v>
      </c>
      <c r="AZ318" t="s">
        <v>74</v>
      </c>
      <c r="BA318" t="s">
        <v>74</v>
      </c>
      <c r="BB318" t="s">
        <v>74</v>
      </c>
      <c r="BC318" t="s">
        <v>74</v>
      </c>
      <c r="BD318">
        <v>100970</v>
      </c>
      <c r="BE318" t="s">
        <v>5515</v>
      </c>
      <c r="BF318" t="str">
        <f>HYPERLINK("http://dx.doi.org/10.1016/j.aei.2019.100970","http://dx.doi.org/10.1016/j.aei.2019.100970")</f>
        <v>http://dx.doi.org/10.1016/j.aei.2019.100970</v>
      </c>
      <c r="BG318" t="s">
        <v>74</v>
      </c>
      <c r="BH318" t="s">
        <v>74</v>
      </c>
      <c r="BI318">
        <v>13</v>
      </c>
      <c r="BJ318" t="s">
        <v>3918</v>
      </c>
      <c r="BK318" t="s">
        <v>149</v>
      </c>
      <c r="BL318" t="s">
        <v>716</v>
      </c>
      <c r="BM318" t="s">
        <v>5516</v>
      </c>
      <c r="BN318" t="s">
        <v>74</v>
      </c>
      <c r="BO318" t="s">
        <v>74</v>
      </c>
      <c r="BP318" t="s">
        <v>74</v>
      </c>
      <c r="BQ318" t="s">
        <v>74</v>
      </c>
      <c r="BR318" t="s">
        <v>104</v>
      </c>
      <c r="BS318" t="s">
        <v>5517</v>
      </c>
      <c r="BT318" t="str">
        <f>HYPERLINK("https%3A%2F%2Fwww.webofscience.com%2Fwos%2Fwoscc%2Ffull-record%2FWOS:000501389000013","View Full Record in Web of Science")</f>
        <v>View Full Record in Web of Science</v>
      </c>
    </row>
    <row r="319" spans="1:72" x14ac:dyDescent="0.25">
      <c r="A319" t="s">
        <v>72</v>
      </c>
      <c r="B319" t="s">
        <v>5518</v>
      </c>
      <c r="C319" t="s">
        <v>74</v>
      </c>
      <c r="D319" t="s">
        <v>74</v>
      </c>
      <c r="E319" t="s">
        <v>74</v>
      </c>
      <c r="F319" t="s">
        <v>5519</v>
      </c>
      <c r="G319" t="s">
        <v>74</v>
      </c>
      <c r="H319" t="s">
        <v>74</v>
      </c>
      <c r="I319" t="s">
        <v>5520</v>
      </c>
      <c r="J319" t="s">
        <v>128</v>
      </c>
      <c r="K319" t="s">
        <v>74</v>
      </c>
      <c r="L319" t="s">
        <v>74</v>
      </c>
      <c r="M319" t="s">
        <v>78</v>
      </c>
      <c r="N319" t="s">
        <v>79</v>
      </c>
      <c r="O319" t="s">
        <v>74</v>
      </c>
      <c r="P319" t="s">
        <v>74</v>
      </c>
      <c r="Q319" t="s">
        <v>74</v>
      </c>
      <c r="R319" t="s">
        <v>74</v>
      </c>
      <c r="S319" t="s">
        <v>74</v>
      </c>
      <c r="T319" t="s">
        <v>5521</v>
      </c>
      <c r="U319" t="s">
        <v>5522</v>
      </c>
      <c r="V319" t="s">
        <v>5523</v>
      </c>
      <c r="W319" t="s">
        <v>5524</v>
      </c>
      <c r="X319" t="s">
        <v>4445</v>
      </c>
      <c r="Y319" t="s">
        <v>2033</v>
      </c>
      <c r="Z319" t="s">
        <v>5525</v>
      </c>
      <c r="AA319" t="s">
        <v>74</v>
      </c>
      <c r="AB319" t="s">
        <v>2035</v>
      </c>
      <c r="AC319" t="s">
        <v>2036</v>
      </c>
      <c r="AD319" t="s">
        <v>482</v>
      </c>
      <c r="AE319" t="s">
        <v>5526</v>
      </c>
      <c r="AF319" t="s">
        <v>74</v>
      </c>
      <c r="AG319">
        <v>47</v>
      </c>
      <c r="AH319">
        <v>15</v>
      </c>
      <c r="AI319">
        <v>16</v>
      </c>
      <c r="AJ319">
        <v>16</v>
      </c>
      <c r="AK319">
        <v>55</v>
      </c>
      <c r="AL319" t="s">
        <v>138</v>
      </c>
      <c r="AM319" t="s">
        <v>139</v>
      </c>
      <c r="AN319" t="s">
        <v>140</v>
      </c>
      <c r="AO319" t="s">
        <v>141</v>
      </c>
      <c r="AP319" t="s">
        <v>142</v>
      </c>
      <c r="AQ319" t="s">
        <v>74</v>
      </c>
      <c r="AR319" t="s">
        <v>143</v>
      </c>
      <c r="AS319" t="s">
        <v>144</v>
      </c>
      <c r="AT319" t="s">
        <v>1008</v>
      </c>
      <c r="AU319">
        <v>2024</v>
      </c>
      <c r="AV319">
        <v>241</v>
      </c>
      <c r="AW319" t="s">
        <v>74</v>
      </c>
      <c r="AX319" t="s">
        <v>74</v>
      </c>
      <c r="AY319" t="s">
        <v>74</v>
      </c>
      <c r="AZ319" t="s">
        <v>74</v>
      </c>
      <c r="BA319" t="s">
        <v>74</v>
      </c>
      <c r="BB319" t="s">
        <v>74</v>
      </c>
      <c r="BC319" t="s">
        <v>74</v>
      </c>
      <c r="BD319">
        <v>109612</v>
      </c>
      <c r="BE319" t="s">
        <v>5527</v>
      </c>
      <c r="BF319" t="str">
        <f>HYPERLINK("http://dx.doi.org/10.1016/j.ress.2023.109612","http://dx.doi.org/10.1016/j.ress.2023.109612")</f>
        <v>http://dx.doi.org/10.1016/j.ress.2023.109612</v>
      </c>
      <c r="BG319" t="s">
        <v>74</v>
      </c>
      <c r="BH319" t="s">
        <v>147</v>
      </c>
      <c r="BI319">
        <v>16</v>
      </c>
      <c r="BJ319" t="s">
        <v>148</v>
      </c>
      <c r="BK319" t="s">
        <v>149</v>
      </c>
      <c r="BL319" t="s">
        <v>150</v>
      </c>
      <c r="BM319" t="s">
        <v>5528</v>
      </c>
      <c r="BN319" t="s">
        <v>74</v>
      </c>
      <c r="BO319" t="s">
        <v>74</v>
      </c>
      <c r="BP319" t="s">
        <v>74</v>
      </c>
      <c r="BQ319" t="s">
        <v>74</v>
      </c>
      <c r="BR319" t="s">
        <v>104</v>
      </c>
      <c r="BS319" t="s">
        <v>5529</v>
      </c>
      <c r="BT319" t="str">
        <f>HYPERLINK("https%3A%2F%2Fwww.webofscience.com%2Fwos%2Fwoscc%2Ffull-record%2FWOS:001075734600001","View Full Record in Web of Science")</f>
        <v>View Full Record in Web of Science</v>
      </c>
    </row>
    <row r="320" spans="1:72" x14ac:dyDescent="0.25">
      <c r="A320" t="s">
        <v>72</v>
      </c>
      <c r="B320" t="s">
        <v>5530</v>
      </c>
      <c r="C320" t="s">
        <v>74</v>
      </c>
      <c r="D320" t="s">
        <v>74</v>
      </c>
      <c r="E320" t="s">
        <v>74</v>
      </c>
      <c r="F320" t="s">
        <v>5531</v>
      </c>
      <c r="G320" t="s">
        <v>74</v>
      </c>
      <c r="H320" t="s">
        <v>74</v>
      </c>
      <c r="I320" t="s">
        <v>5532</v>
      </c>
      <c r="J320" t="s">
        <v>603</v>
      </c>
      <c r="K320" t="s">
        <v>74</v>
      </c>
      <c r="L320" t="s">
        <v>74</v>
      </c>
      <c r="M320" t="s">
        <v>78</v>
      </c>
      <c r="N320" t="s">
        <v>79</v>
      </c>
      <c r="O320" t="s">
        <v>74</v>
      </c>
      <c r="P320" t="s">
        <v>74</v>
      </c>
      <c r="Q320" t="s">
        <v>74</v>
      </c>
      <c r="R320" t="s">
        <v>74</v>
      </c>
      <c r="S320" t="s">
        <v>74</v>
      </c>
      <c r="T320" t="s">
        <v>5533</v>
      </c>
      <c r="U320" t="s">
        <v>5534</v>
      </c>
      <c r="V320" t="s">
        <v>5535</v>
      </c>
      <c r="W320" t="s">
        <v>5536</v>
      </c>
      <c r="X320" t="s">
        <v>5537</v>
      </c>
      <c r="Y320" t="s">
        <v>5538</v>
      </c>
      <c r="Z320" t="s">
        <v>5539</v>
      </c>
      <c r="AA320" t="s">
        <v>74</v>
      </c>
      <c r="AB320" t="s">
        <v>74</v>
      </c>
      <c r="AC320" t="s">
        <v>74</v>
      </c>
      <c r="AD320" t="s">
        <v>74</v>
      </c>
      <c r="AE320" t="s">
        <v>74</v>
      </c>
      <c r="AF320" t="s">
        <v>74</v>
      </c>
      <c r="AG320">
        <v>19</v>
      </c>
      <c r="AH320">
        <v>0</v>
      </c>
      <c r="AI320">
        <v>0</v>
      </c>
      <c r="AJ320">
        <v>0</v>
      </c>
      <c r="AK320">
        <v>2</v>
      </c>
      <c r="AL320" t="s">
        <v>613</v>
      </c>
      <c r="AM320" t="s">
        <v>614</v>
      </c>
      <c r="AN320" t="s">
        <v>615</v>
      </c>
      <c r="AO320" t="s">
        <v>616</v>
      </c>
      <c r="AP320" t="s">
        <v>617</v>
      </c>
      <c r="AQ320" t="s">
        <v>74</v>
      </c>
      <c r="AR320" t="s">
        <v>618</v>
      </c>
      <c r="AS320" t="s">
        <v>619</v>
      </c>
      <c r="AT320" t="s">
        <v>559</v>
      </c>
      <c r="AU320">
        <v>2022</v>
      </c>
      <c r="AV320">
        <v>21</v>
      </c>
      <c r="AW320">
        <v>2</v>
      </c>
      <c r="AX320" t="s">
        <v>74</v>
      </c>
      <c r="AY320" t="s">
        <v>74</v>
      </c>
      <c r="AZ320" t="s">
        <v>74</v>
      </c>
      <c r="BA320" t="s">
        <v>74</v>
      </c>
      <c r="BB320">
        <v>390</v>
      </c>
      <c r="BC320">
        <v>400</v>
      </c>
      <c r="BD320" t="s">
        <v>74</v>
      </c>
      <c r="BE320" t="s">
        <v>5540</v>
      </c>
      <c r="BF320" t="str">
        <f>HYPERLINK("http://dx.doi.org/10.7232/iems.2022.21.2.390","http://dx.doi.org/10.7232/iems.2022.21.2.390")</f>
        <v>http://dx.doi.org/10.7232/iems.2022.21.2.390</v>
      </c>
      <c r="BG320" t="s">
        <v>74</v>
      </c>
      <c r="BH320" t="s">
        <v>74</v>
      </c>
      <c r="BI320">
        <v>11</v>
      </c>
      <c r="BJ320" t="s">
        <v>100</v>
      </c>
      <c r="BK320" t="s">
        <v>101</v>
      </c>
      <c r="BL320" t="s">
        <v>102</v>
      </c>
      <c r="BM320" t="s">
        <v>5541</v>
      </c>
      <c r="BN320" t="s">
        <v>74</v>
      </c>
      <c r="BO320" t="s">
        <v>74</v>
      </c>
      <c r="BP320" t="s">
        <v>74</v>
      </c>
      <c r="BQ320" t="s">
        <v>74</v>
      </c>
      <c r="BR320" t="s">
        <v>104</v>
      </c>
      <c r="BS320" t="s">
        <v>5542</v>
      </c>
      <c r="BT320" t="str">
        <f>HYPERLINK("https%3A%2F%2Fwww.webofscience.com%2Fwos%2Fwoscc%2Ffull-record%2FWOS:000830703200020","View Full Record in Web of Science")</f>
        <v>View Full Record in Web of Science</v>
      </c>
    </row>
    <row r="321" spans="1:72" x14ac:dyDescent="0.25">
      <c r="A321" t="s">
        <v>72</v>
      </c>
      <c r="B321" t="s">
        <v>5543</v>
      </c>
      <c r="C321" t="s">
        <v>74</v>
      </c>
      <c r="D321" t="s">
        <v>74</v>
      </c>
      <c r="E321" t="s">
        <v>74</v>
      </c>
      <c r="F321" t="s">
        <v>5544</v>
      </c>
      <c r="G321" t="s">
        <v>74</v>
      </c>
      <c r="H321" t="s">
        <v>74</v>
      </c>
      <c r="I321" t="s">
        <v>5545</v>
      </c>
      <c r="J321" t="s">
        <v>128</v>
      </c>
      <c r="K321" t="s">
        <v>74</v>
      </c>
      <c r="L321" t="s">
        <v>74</v>
      </c>
      <c r="M321" t="s">
        <v>78</v>
      </c>
      <c r="N321" t="s">
        <v>79</v>
      </c>
      <c r="O321" t="s">
        <v>74</v>
      </c>
      <c r="P321" t="s">
        <v>74</v>
      </c>
      <c r="Q321" t="s">
        <v>74</v>
      </c>
      <c r="R321" t="s">
        <v>74</v>
      </c>
      <c r="S321" t="s">
        <v>74</v>
      </c>
      <c r="T321" t="s">
        <v>5546</v>
      </c>
      <c r="U321" t="s">
        <v>5547</v>
      </c>
      <c r="V321" t="s">
        <v>5548</v>
      </c>
      <c r="W321" t="s">
        <v>5549</v>
      </c>
      <c r="X321" t="s">
        <v>5550</v>
      </c>
      <c r="Y321" t="s">
        <v>5330</v>
      </c>
      <c r="Z321" t="s">
        <v>1169</v>
      </c>
      <c r="AA321" t="s">
        <v>74</v>
      </c>
      <c r="AB321" t="s">
        <v>74</v>
      </c>
      <c r="AC321" t="s">
        <v>5551</v>
      </c>
      <c r="AD321" t="s">
        <v>5552</v>
      </c>
      <c r="AE321" t="s">
        <v>5553</v>
      </c>
      <c r="AF321" t="s">
        <v>74</v>
      </c>
      <c r="AG321">
        <v>50</v>
      </c>
      <c r="AH321">
        <v>0</v>
      </c>
      <c r="AI321">
        <v>0</v>
      </c>
      <c r="AJ321">
        <v>26</v>
      </c>
      <c r="AK321">
        <v>26</v>
      </c>
      <c r="AL321" t="s">
        <v>138</v>
      </c>
      <c r="AM321" t="s">
        <v>139</v>
      </c>
      <c r="AN321" t="s">
        <v>140</v>
      </c>
      <c r="AO321" t="s">
        <v>141</v>
      </c>
      <c r="AP321" t="s">
        <v>142</v>
      </c>
      <c r="AQ321" t="s">
        <v>74</v>
      </c>
      <c r="AR321" t="s">
        <v>143</v>
      </c>
      <c r="AS321" t="s">
        <v>144</v>
      </c>
      <c r="AT321" t="s">
        <v>1008</v>
      </c>
      <c r="AU321">
        <v>2025</v>
      </c>
      <c r="AV321">
        <v>253</v>
      </c>
      <c r="AW321" t="s">
        <v>74</v>
      </c>
      <c r="AX321" t="s">
        <v>74</v>
      </c>
      <c r="AY321" t="s">
        <v>74</v>
      </c>
      <c r="AZ321" t="s">
        <v>74</v>
      </c>
      <c r="BA321" t="s">
        <v>74</v>
      </c>
      <c r="BB321" t="s">
        <v>74</v>
      </c>
      <c r="BC321" t="s">
        <v>74</v>
      </c>
      <c r="BD321">
        <v>110498</v>
      </c>
      <c r="BE321" t="s">
        <v>5554</v>
      </c>
      <c r="BF321" t="str">
        <f>HYPERLINK("http://dx.doi.org/10.1016/j.ress.2024.110498","http://dx.doi.org/10.1016/j.ress.2024.110498")</f>
        <v>http://dx.doi.org/10.1016/j.ress.2024.110498</v>
      </c>
      <c r="BG321" t="s">
        <v>74</v>
      </c>
      <c r="BH321" t="s">
        <v>516</v>
      </c>
      <c r="BI321">
        <v>12</v>
      </c>
      <c r="BJ321" t="s">
        <v>148</v>
      </c>
      <c r="BK321" t="s">
        <v>149</v>
      </c>
      <c r="BL321" t="s">
        <v>150</v>
      </c>
      <c r="BM321" t="s">
        <v>5555</v>
      </c>
      <c r="BN321" t="s">
        <v>74</v>
      </c>
      <c r="BO321" t="s">
        <v>74</v>
      </c>
      <c r="BP321" t="s">
        <v>74</v>
      </c>
      <c r="BQ321" t="s">
        <v>74</v>
      </c>
      <c r="BR321" t="s">
        <v>104</v>
      </c>
      <c r="BS321" t="s">
        <v>5556</v>
      </c>
      <c r="BT321" t="str">
        <f>HYPERLINK("https%3A%2F%2Fwww.webofscience.com%2Fwos%2Fwoscc%2Ffull-record%2FWOS:001318246600001","View Full Record in Web of Science")</f>
        <v>View Full Record in Web of Science</v>
      </c>
    </row>
    <row r="322" spans="1:72" x14ac:dyDescent="0.25">
      <c r="A322" t="s">
        <v>72</v>
      </c>
      <c r="B322" t="s">
        <v>5557</v>
      </c>
      <c r="C322" t="s">
        <v>74</v>
      </c>
      <c r="D322" t="s">
        <v>74</v>
      </c>
      <c r="E322" t="s">
        <v>74</v>
      </c>
      <c r="F322" t="s">
        <v>5558</v>
      </c>
      <c r="G322" t="s">
        <v>74</v>
      </c>
      <c r="H322" t="s">
        <v>74</v>
      </c>
      <c r="I322" t="s">
        <v>5559</v>
      </c>
      <c r="J322" t="s">
        <v>128</v>
      </c>
      <c r="K322" t="s">
        <v>74</v>
      </c>
      <c r="L322" t="s">
        <v>74</v>
      </c>
      <c r="M322" t="s">
        <v>78</v>
      </c>
      <c r="N322" t="s">
        <v>79</v>
      </c>
      <c r="O322" t="s">
        <v>74</v>
      </c>
      <c r="P322" t="s">
        <v>74</v>
      </c>
      <c r="Q322" t="s">
        <v>74</v>
      </c>
      <c r="R322" t="s">
        <v>74</v>
      </c>
      <c r="S322" t="s">
        <v>74</v>
      </c>
      <c r="T322" t="s">
        <v>5560</v>
      </c>
      <c r="U322" t="s">
        <v>355</v>
      </c>
      <c r="V322" t="s">
        <v>5561</v>
      </c>
      <c r="W322" t="s">
        <v>5562</v>
      </c>
      <c r="X322" t="s">
        <v>4190</v>
      </c>
      <c r="Y322" t="s">
        <v>5563</v>
      </c>
      <c r="Z322" t="s">
        <v>5564</v>
      </c>
      <c r="AA322" t="s">
        <v>74</v>
      </c>
      <c r="AB322" t="s">
        <v>1483</v>
      </c>
      <c r="AC322" t="s">
        <v>5565</v>
      </c>
      <c r="AD322" t="s">
        <v>5566</v>
      </c>
      <c r="AE322" t="s">
        <v>5567</v>
      </c>
      <c r="AF322" t="s">
        <v>74</v>
      </c>
      <c r="AG322">
        <v>49</v>
      </c>
      <c r="AH322">
        <v>13</v>
      </c>
      <c r="AI322">
        <v>13</v>
      </c>
      <c r="AJ322">
        <v>24</v>
      </c>
      <c r="AK322">
        <v>44</v>
      </c>
      <c r="AL322" t="s">
        <v>138</v>
      </c>
      <c r="AM322" t="s">
        <v>139</v>
      </c>
      <c r="AN322" t="s">
        <v>140</v>
      </c>
      <c r="AO322" t="s">
        <v>141</v>
      </c>
      <c r="AP322" t="s">
        <v>142</v>
      </c>
      <c r="AQ322" t="s">
        <v>74</v>
      </c>
      <c r="AR322" t="s">
        <v>143</v>
      </c>
      <c r="AS322" t="s">
        <v>144</v>
      </c>
      <c r="AT322" t="s">
        <v>275</v>
      </c>
      <c r="AU322">
        <v>2024</v>
      </c>
      <c r="AV322">
        <v>243</v>
      </c>
      <c r="AW322" t="s">
        <v>74</v>
      </c>
      <c r="AX322" t="s">
        <v>74</v>
      </c>
      <c r="AY322" t="s">
        <v>74</v>
      </c>
      <c r="AZ322" t="s">
        <v>74</v>
      </c>
      <c r="BA322" t="s">
        <v>74</v>
      </c>
      <c r="BB322" t="s">
        <v>74</v>
      </c>
      <c r="BC322" t="s">
        <v>74</v>
      </c>
      <c r="BD322">
        <v>109824</v>
      </c>
      <c r="BE322" t="s">
        <v>5568</v>
      </c>
      <c r="BF322" t="str">
        <f>HYPERLINK("http://dx.doi.org/10.1016/j.ress.2023.109824","http://dx.doi.org/10.1016/j.ress.2023.109824")</f>
        <v>http://dx.doi.org/10.1016/j.ress.2023.109824</v>
      </c>
      <c r="BG322" t="s">
        <v>74</v>
      </c>
      <c r="BH322" t="s">
        <v>1111</v>
      </c>
      <c r="BI322">
        <v>19</v>
      </c>
      <c r="BJ322" t="s">
        <v>148</v>
      </c>
      <c r="BK322" t="s">
        <v>149</v>
      </c>
      <c r="BL322" t="s">
        <v>150</v>
      </c>
      <c r="BM322" t="s">
        <v>5569</v>
      </c>
      <c r="BN322" t="s">
        <v>74</v>
      </c>
      <c r="BO322" t="s">
        <v>74</v>
      </c>
      <c r="BP322" t="s">
        <v>74</v>
      </c>
      <c r="BQ322" t="s">
        <v>74</v>
      </c>
      <c r="BR322" t="s">
        <v>104</v>
      </c>
      <c r="BS322" t="s">
        <v>5570</v>
      </c>
      <c r="BT322" t="str">
        <f>HYPERLINK("https%3A%2F%2Fwww.webofscience.com%2Fwos%2Fwoscc%2Ffull-record%2FWOS:001125498500001","View Full Record in Web of Science")</f>
        <v>View Full Record in Web of Science</v>
      </c>
    </row>
    <row r="323" spans="1:72" x14ac:dyDescent="0.25">
      <c r="A323" t="s">
        <v>72</v>
      </c>
      <c r="B323" t="s">
        <v>5571</v>
      </c>
      <c r="C323" t="s">
        <v>74</v>
      </c>
      <c r="D323" t="s">
        <v>74</v>
      </c>
      <c r="E323" t="s">
        <v>74</v>
      </c>
      <c r="F323" t="s">
        <v>5572</v>
      </c>
      <c r="G323" t="s">
        <v>74</v>
      </c>
      <c r="H323" t="s">
        <v>74</v>
      </c>
      <c r="I323" t="s">
        <v>5573</v>
      </c>
      <c r="J323" t="s">
        <v>128</v>
      </c>
      <c r="K323" t="s">
        <v>74</v>
      </c>
      <c r="L323" t="s">
        <v>74</v>
      </c>
      <c r="M323" t="s">
        <v>78</v>
      </c>
      <c r="N323" t="s">
        <v>79</v>
      </c>
      <c r="O323" t="s">
        <v>74</v>
      </c>
      <c r="P323" t="s">
        <v>74</v>
      </c>
      <c r="Q323" t="s">
        <v>74</v>
      </c>
      <c r="R323" t="s">
        <v>74</v>
      </c>
      <c r="S323" t="s">
        <v>74</v>
      </c>
      <c r="T323" t="s">
        <v>5574</v>
      </c>
      <c r="U323" t="s">
        <v>5575</v>
      </c>
      <c r="V323" t="s">
        <v>5576</v>
      </c>
      <c r="W323" t="s">
        <v>5577</v>
      </c>
      <c r="X323" t="s">
        <v>5578</v>
      </c>
      <c r="Y323" t="s">
        <v>5579</v>
      </c>
      <c r="Z323" t="s">
        <v>5580</v>
      </c>
      <c r="AA323" t="s">
        <v>74</v>
      </c>
      <c r="AB323" t="s">
        <v>634</v>
      </c>
      <c r="AC323" t="s">
        <v>74</v>
      </c>
      <c r="AD323" t="s">
        <v>74</v>
      </c>
      <c r="AE323" t="s">
        <v>74</v>
      </c>
      <c r="AF323" t="s">
        <v>74</v>
      </c>
      <c r="AG323">
        <v>44</v>
      </c>
      <c r="AH323">
        <v>42</v>
      </c>
      <c r="AI323">
        <v>44</v>
      </c>
      <c r="AJ323">
        <v>1</v>
      </c>
      <c r="AK323">
        <v>34</v>
      </c>
      <c r="AL323" t="s">
        <v>138</v>
      </c>
      <c r="AM323" t="s">
        <v>246</v>
      </c>
      <c r="AN323" t="s">
        <v>247</v>
      </c>
      <c r="AO323" t="s">
        <v>141</v>
      </c>
      <c r="AP323" t="s">
        <v>142</v>
      </c>
      <c r="AQ323" t="s">
        <v>74</v>
      </c>
      <c r="AR323" t="s">
        <v>143</v>
      </c>
      <c r="AS323" t="s">
        <v>144</v>
      </c>
      <c r="AT323" t="s">
        <v>145</v>
      </c>
      <c r="AU323">
        <v>2020</v>
      </c>
      <c r="AV323">
        <v>204</v>
      </c>
      <c r="AW323" t="s">
        <v>74</v>
      </c>
      <c r="AX323" t="s">
        <v>74</v>
      </c>
      <c r="AY323" t="s">
        <v>74</v>
      </c>
      <c r="AZ323" t="s">
        <v>74</v>
      </c>
      <c r="BA323" t="s">
        <v>74</v>
      </c>
      <c r="BB323" t="s">
        <v>74</v>
      </c>
      <c r="BC323" t="s">
        <v>74</v>
      </c>
      <c r="BD323">
        <v>107133</v>
      </c>
      <c r="BE323" t="s">
        <v>5581</v>
      </c>
      <c r="BF323" t="str">
        <f>HYPERLINK("http://dx.doi.org/10.1016/j.ress.2020.107133","http://dx.doi.org/10.1016/j.ress.2020.107133")</f>
        <v>http://dx.doi.org/10.1016/j.ress.2020.107133</v>
      </c>
      <c r="BG323" t="s">
        <v>74</v>
      </c>
      <c r="BH323" t="s">
        <v>74</v>
      </c>
      <c r="BI323">
        <v>10</v>
      </c>
      <c r="BJ323" t="s">
        <v>148</v>
      </c>
      <c r="BK323" t="s">
        <v>149</v>
      </c>
      <c r="BL323" t="s">
        <v>150</v>
      </c>
      <c r="BM323" t="s">
        <v>4651</v>
      </c>
      <c r="BN323" t="s">
        <v>74</v>
      </c>
      <c r="BO323" t="s">
        <v>5582</v>
      </c>
      <c r="BP323" t="s">
        <v>74</v>
      </c>
      <c r="BQ323" t="s">
        <v>74</v>
      </c>
      <c r="BR323" t="s">
        <v>104</v>
      </c>
      <c r="BS323" t="s">
        <v>5583</v>
      </c>
      <c r="BT323" t="str">
        <f>HYPERLINK("https%3A%2F%2Fwww.webofscience.com%2Fwos%2Fwoscc%2Ffull-record%2FWOS:000583913400021","View Full Record in Web of Science")</f>
        <v>View Full Record in Web of Science</v>
      </c>
    </row>
    <row r="324" spans="1:72" x14ac:dyDescent="0.25">
      <c r="A324" t="s">
        <v>72</v>
      </c>
      <c r="B324" t="s">
        <v>5584</v>
      </c>
      <c r="C324" t="s">
        <v>74</v>
      </c>
      <c r="D324" t="s">
        <v>74</v>
      </c>
      <c r="E324" t="s">
        <v>74</v>
      </c>
      <c r="F324" t="s">
        <v>5585</v>
      </c>
      <c r="G324" t="s">
        <v>74</v>
      </c>
      <c r="H324" t="s">
        <v>74</v>
      </c>
      <c r="I324" t="s">
        <v>5586</v>
      </c>
      <c r="J324" t="s">
        <v>299</v>
      </c>
      <c r="K324" t="s">
        <v>74</v>
      </c>
      <c r="L324" t="s">
        <v>74</v>
      </c>
      <c r="M324" t="s">
        <v>78</v>
      </c>
      <c r="N324" t="s">
        <v>79</v>
      </c>
      <c r="O324" t="s">
        <v>74</v>
      </c>
      <c r="P324" t="s">
        <v>74</v>
      </c>
      <c r="Q324" t="s">
        <v>74</v>
      </c>
      <c r="R324" t="s">
        <v>74</v>
      </c>
      <c r="S324" t="s">
        <v>74</v>
      </c>
      <c r="T324" t="s">
        <v>5587</v>
      </c>
      <c r="U324" t="s">
        <v>5588</v>
      </c>
      <c r="V324" t="s">
        <v>5589</v>
      </c>
      <c r="W324" t="s">
        <v>5590</v>
      </c>
      <c r="X324" t="s">
        <v>5591</v>
      </c>
      <c r="Y324" t="s">
        <v>5592</v>
      </c>
      <c r="Z324" t="s">
        <v>5593</v>
      </c>
      <c r="AA324" t="s">
        <v>5594</v>
      </c>
      <c r="AB324" t="s">
        <v>5595</v>
      </c>
      <c r="AC324" t="s">
        <v>5596</v>
      </c>
      <c r="AD324" t="s">
        <v>5597</v>
      </c>
      <c r="AE324" t="s">
        <v>5598</v>
      </c>
      <c r="AF324" t="s">
        <v>74</v>
      </c>
      <c r="AG324">
        <v>44</v>
      </c>
      <c r="AH324">
        <v>24</v>
      </c>
      <c r="AI324">
        <v>25</v>
      </c>
      <c r="AJ324">
        <v>20</v>
      </c>
      <c r="AK324">
        <v>112</v>
      </c>
      <c r="AL324" t="s">
        <v>311</v>
      </c>
      <c r="AM324" t="s">
        <v>312</v>
      </c>
      <c r="AN324" t="s">
        <v>313</v>
      </c>
      <c r="AO324" t="s">
        <v>314</v>
      </c>
      <c r="AP324" t="s">
        <v>315</v>
      </c>
      <c r="AQ324" t="s">
        <v>74</v>
      </c>
      <c r="AR324" t="s">
        <v>316</v>
      </c>
      <c r="AS324" t="s">
        <v>317</v>
      </c>
      <c r="AT324" t="s">
        <v>5599</v>
      </c>
      <c r="AU324">
        <v>2022</v>
      </c>
      <c r="AV324">
        <v>60</v>
      </c>
      <c r="AW324">
        <v>22</v>
      </c>
      <c r="AX324" t="s">
        <v>74</v>
      </c>
      <c r="AY324" t="s">
        <v>74</v>
      </c>
      <c r="AZ324" t="s">
        <v>560</v>
      </c>
      <c r="BA324" t="s">
        <v>74</v>
      </c>
      <c r="BB324">
        <v>6848</v>
      </c>
      <c r="BC324">
        <v>6865</v>
      </c>
      <c r="BD324" t="s">
        <v>74</v>
      </c>
      <c r="BE324" t="s">
        <v>5600</v>
      </c>
      <c r="BF324" t="str">
        <f>HYPERLINK("http://dx.doi.org/10.1080/00207543.2021.1962558","http://dx.doi.org/10.1080/00207543.2021.1962558")</f>
        <v>http://dx.doi.org/10.1080/00207543.2021.1962558</v>
      </c>
      <c r="BG324" t="s">
        <v>74</v>
      </c>
      <c r="BH324" t="s">
        <v>2573</v>
      </c>
      <c r="BI324">
        <v>18</v>
      </c>
      <c r="BJ324" t="s">
        <v>321</v>
      </c>
      <c r="BK324" t="s">
        <v>149</v>
      </c>
      <c r="BL324" t="s">
        <v>150</v>
      </c>
      <c r="BM324" t="s">
        <v>5601</v>
      </c>
      <c r="BN324" t="s">
        <v>74</v>
      </c>
      <c r="BO324" t="s">
        <v>74</v>
      </c>
      <c r="BP324" t="s">
        <v>74</v>
      </c>
      <c r="BQ324" t="s">
        <v>74</v>
      </c>
      <c r="BR324" t="s">
        <v>104</v>
      </c>
      <c r="BS324" t="s">
        <v>5602</v>
      </c>
      <c r="BT324" t="str">
        <f>HYPERLINK("https%3A%2F%2Fwww.webofscience.com%2Fwos%2Fwoscc%2Ffull-record%2FWOS:000693291200001","View Full Record in Web of Science")</f>
        <v>View Full Record in Web of Science</v>
      </c>
    </row>
    <row r="325" spans="1:72" x14ac:dyDescent="0.25">
      <c r="A325" t="s">
        <v>72</v>
      </c>
      <c r="B325" t="s">
        <v>5603</v>
      </c>
      <c r="C325" t="s">
        <v>74</v>
      </c>
      <c r="D325" t="s">
        <v>74</v>
      </c>
      <c r="E325" t="s">
        <v>74</v>
      </c>
      <c r="F325" t="s">
        <v>5604</v>
      </c>
      <c r="G325" t="s">
        <v>74</v>
      </c>
      <c r="H325" t="s">
        <v>74</v>
      </c>
      <c r="I325" t="s">
        <v>5605</v>
      </c>
      <c r="J325" t="s">
        <v>1402</v>
      </c>
      <c r="K325" t="s">
        <v>74</v>
      </c>
      <c r="L325" t="s">
        <v>74</v>
      </c>
      <c r="M325" t="s">
        <v>78</v>
      </c>
      <c r="N325" t="s">
        <v>79</v>
      </c>
      <c r="O325" t="s">
        <v>74</v>
      </c>
      <c r="P325" t="s">
        <v>74</v>
      </c>
      <c r="Q325" t="s">
        <v>74</v>
      </c>
      <c r="R325" t="s">
        <v>74</v>
      </c>
      <c r="S325" t="s">
        <v>74</v>
      </c>
      <c r="T325" t="s">
        <v>5606</v>
      </c>
      <c r="U325" t="s">
        <v>5607</v>
      </c>
      <c r="V325" t="s">
        <v>5608</v>
      </c>
      <c r="W325" t="s">
        <v>5609</v>
      </c>
      <c r="X325" t="s">
        <v>3197</v>
      </c>
      <c r="Y325" t="s">
        <v>5610</v>
      </c>
      <c r="Z325" t="s">
        <v>3199</v>
      </c>
      <c r="AA325" t="s">
        <v>3200</v>
      </c>
      <c r="AB325" t="s">
        <v>74</v>
      </c>
      <c r="AC325" t="s">
        <v>5611</v>
      </c>
      <c r="AD325" t="s">
        <v>482</v>
      </c>
      <c r="AE325" t="s">
        <v>5612</v>
      </c>
      <c r="AF325" t="s">
        <v>74</v>
      </c>
      <c r="AG325">
        <v>52</v>
      </c>
      <c r="AH325">
        <v>19</v>
      </c>
      <c r="AI325">
        <v>20</v>
      </c>
      <c r="AJ325">
        <v>2</v>
      </c>
      <c r="AK325">
        <v>38</v>
      </c>
      <c r="AL325" t="s">
        <v>1415</v>
      </c>
      <c r="AM325" t="s">
        <v>1416</v>
      </c>
      <c r="AN325" t="s">
        <v>1417</v>
      </c>
      <c r="AO325" t="s">
        <v>1418</v>
      </c>
      <c r="AP325" t="s">
        <v>1419</v>
      </c>
      <c r="AQ325" t="s">
        <v>74</v>
      </c>
      <c r="AR325" t="s">
        <v>1420</v>
      </c>
      <c r="AS325" t="s">
        <v>1421</v>
      </c>
      <c r="AT325" t="s">
        <v>5613</v>
      </c>
      <c r="AU325">
        <v>2020</v>
      </c>
      <c r="AV325">
        <v>52</v>
      </c>
      <c r="AW325">
        <v>7</v>
      </c>
      <c r="AX325" t="s">
        <v>74</v>
      </c>
      <c r="AY325" t="s">
        <v>74</v>
      </c>
      <c r="AZ325" t="s">
        <v>74</v>
      </c>
      <c r="BA325" t="s">
        <v>74</v>
      </c>
      <c r="BB325">
        <v>732</v>
      </c>
      <c r="BC325">
        <v>750</v>
      </c>
      <c r="BD325" t="s">
        <v>74</v>
      </c>
      <c r="BE325" t="s">
        <v>5614</v>
      </c>
      <c r="BF325" t="str">
        <f>HYPERLINK("http://dx.doi.org/10.1080/24725854.2019.1647478","http://dx.doi.org/10.1080/24725854.2019.1647478")</f>
        <v>http://dx.doi.org/10.1080/24725854.2019.1647478</v>
      </c>
      <c r="BG325" t="s">
        <v>74</v>
      </c>
      <c r="BH325" t="s">
        <v>5615</v>
      </c>
      <c r="BI325">
        <v>19</v>
      </c>
      <c r="BJ325" t="s">
        <v>148</v>
      </c>
      <c r="BK325" t="s">
        <v>149</v>
      </c>
      <c r="BL325" t="s">
        <v>150</v>
      </c>
      <c r="BM325" t="s">
        <v>5616</v>
      </c>
      <c r="BN325" t="s">
        <v>74</v>
      </c>
      <c r="BO325" t="s">
        <v>74</v>
      </c>
      <c r="BP325" t="s">
        <v>74</v>
      </c>
      <c r="BQ325" t="s">
        <v>74</v>
      </c>
      <c r="BR325" t="s">
        <v>104</v>
      </c>
      <c r="BS325" t="s">
        <v>5617</v>
      </c>
      <c r="BT325" t="str">
        <f>HYPERLINK("https%3A%2F%2Fwww.webofscience.com%2Fwos%2Fwoscc%2Ffull-record%2FWOS:000485850400001","View Full Record in Web of Science")</f>
        <v>View Full Record in Web of Science</v>
      </c>
    </row>
    <row r="326" spans="1:72" x14ac:dyDescent="0.25">
      <c r="A326" t="s">
        <v>72</v>
      </c>
      <c r="B326" t="s">
        <v>5618</v>
      </c>
      <c r="C326" t="s">
        <v>74</v>
      </c>
      <c r="D326" t="s">
        <v>74</v>
      </c>
      <c r="E326" t="s">
        <v>74</v>
      </c>
      <c r="F326" t="s">
        <v>5619</v>
      </c>
      <c r="G326" t="s">
        <v>74</v>
      </c>
      <c r="H326" t="s">
        <v>74</v>
      </c>
      <c r="I326" t="s">
        <v>5620</v>
      </c>
      <c r="J326" t="s">
        <v>128</v>
      </c>
      <c r="K326" t="s">
        <v>74</v>
      </c>
      <c r="L326" t="s">
        <v>74</v>
      </c>
      <c r="M326" t="s">
        <v>78</v>
      </c>
      <c r="N326" t="s">
        <v>79</v>
      </c>
      <c r="O326" t="s">
        <v>74</v>
      </c>
      <c r="P326" t="s">
        <v>74</v>
      </c>
      <c r="Q326" t="s">
        <v>74</v>
      </c>
      <c r="R326" t="s">
        <v>74</v>
      </c>
      <c r="S326" t="s">
        <v>74</v>
      </c>
      <c r="T326" t="s">
        <v>5621</v>
      </c>
      <c r="U326" t="s">
        <v>5622</v>
      </c>
      <c r="V326" t="s">
        <v>5623</v>
      </c>
      <c r="W326" t="s">
        <v>5624</v>
      </c>
      <c r="X326" t="s">
        <v>2564</v>
      </c>
      <c r="Y326" t="s">
        <v>5625</v>
      </c>
      <c r="Z326" t="s">
        <v>5626</v>
      </c>
      <c r="AA326" t="s">
        <v>5627</v>
      </c>
      <c r="AB326" t="s">
        <v>5628</v>
      </c>
      <c r="AC326" t="s">
        <v>5629</v>
      </c>
      <c r="AD326" t="s">
        <v>482</v>
      </c>
      <c r="AE326" t="s">
        <v>5630</v>
      </c>
      <c r="AF326" t="s">
        <v>74</v>
      </c>
      <c r="AG326">
        <v>42</v>
      </c>
      <c r="AH326">
        <v>34</v>
      </c>
      <c r="AI326">
        <v>35</v>
      </c>
      <c r="AJ326">
        <v>11</v>
      </c>
      <c r="AK326">
        <v>44</v>
      </c>
      <c r="AL326" t="s">
        <v>138</v>
      </c>
      <c r="AM326" t="s">
        <v>246</v>
      </c>
      <c r="AN326" t="s">
        <v>247</v>
      </c>
      <c r="AO326" t="s">
        <v>141</v>
      </c>
      <c r="AP326" t="s">
        <v>142</v>
      </c>
      <c r="AQ326" t="s">
        <v>74</v>
      </c>
      <c r="AR326" t="s">
        <v>143</v>
      </c>
      <c r="AS326" t="s">
        <v>144</v>
      </c>
      <c r="AT326" t="s">
        <v>559</v>
      </c>
      <c r="AU326">
        <v>2021</v>
      </c>
      <c r="AV326">
        <v>210</v>
      </c>
      <c r="AW326" t="s">
        <v>74</v>
      </c>
      <c r="AX326" t="s">
        <v>74</v>
      </c>
      <c r="AY326" t="s">
        <v>74</v>
      </c>
      <c r="AZ326" t="s">
        <v>74</v>
      </c>
      <c r="BA326" t="s">
        <v>74</v>
      </c>
      <c r="BB326" t="s">
        <v>74</v>
      </c>
      <c r="BC326" t="s">
        <v>74</v>
      </c>
      <c r="BD326">
        <v>107512</v>
      </c>
      <c r="BE326" t="s">
        <v>5631</v>
      </c>
      <c r="BF326" t="str">
        <f>HYPERLINK("http://dx.doi.org/10.1016/j.ress.2021.107512","http://dx.doi.org/10.1016/j.ress.2021.107512")</f>
        <v>http://dx.doi.org/10.1016/j.ress.2021.107512</v>
      </c>
      <c r="BG326" t="s">
        <v>74</v>
      </c>
      <c r="BH326" t="s">
        <v>639</v>
      </c>
      <c r="BI326">
        <v>14</v>
      </c>
      <c r="BJ326" t="s">
        <v>148</v>
      </c>
      <c r="BK326" t="s">
        <v>149</v>
      </c>
      <c r="BL326" t="s">
        <v>150</v>
      </c>
      <c r="BM326" t="s">
        <v>640</v>
      </c>
      <c r="BN326" t="s">
        <v>74</v>
      </c>
      <c r="BO326" t="s">
        <v>74</v>
      </c>
      <c r="BP326" t="s">
        <v>74</v>
      </c>
      <c r="BQ326" t="s">
        <v>74</v>
      </c>
      <c r="BR326" t="s">
        <v>104</v>
      </c>
      <c r="BS326" t="s">
        <v>5632</v>
      </c>
      <c r="BT326" t="str">
        <f>HYPERLINK("https%3A%2F%2Fwww.webofscience.com%2Fwos%2Fwoscc%2Ffull-record%2FWOS:000663909400020","View Full Record in Web of Science")</f>
        <v>View Full Record in Web of Science</v>
      </c>
    </row>
    <row r="327" spans="1:72" x14ac:dyDescent="0.25">
      <c r="A327" t="s">
        <v>72</v>
      </c>
      <c r="B327" t="s">
        <v>5633</v>
      </c>
      <c r="C327" t="s">
        <v>74</v>
      </c>
      <c r="D327" t="s">
        <v>74</v>
      </c>
      <c r="E327" t="s">
        <v>74</v>
      </c>
      <c r="F327" t="s">
        <v>5634</v>
      </c>
      <c r="G327" t="s">
        <v>74</v>
      </c>
      <c r="H327" t="s">
        <v>74</v>
      </c>
      <c r="I327" t="s">
        <v>5635</v>
      </c>
      <c r="J327" t="s">
        <v>2868</v>
      </c>
      <c r="K327" t="s">
        <v>74</v>
      </c>
      <c r="L327" t="s">
        <v>74</v>
      </c>
      <c r="M327" t="s">
        <v>78</v>
      </c>
      <c r="N327" t="s">
        <v>79</v>
      </c>
      <c r="O327" t="s">
        <v>74</v>
      </c>
      <c r="P327" t="s">
        <v>74</v>
      </c>
      <c r="Q327" t="s">
        <v>74</v>
      </c>
      <c r="R327" t="s">
        <v>74</v>
      </c>
      <c r="S327" t="s">
        <v>74</v>
      </c>
      <c r="T327" t="s">
        <v>5636</v>
      </c>
      <c r="U327" t="s">
        <v>5637</v>
      </c>
      <c r="V327" t="s">
        <v>5638</v>
      </c>
      <c r="W327" t="s">
        <v>5639</v>
      </c>
      <c r="X327" t="s">
        <v>5640</v>
      </c>
      <c r="Y327" t="s">
        <v>5641</v>
      </c>
      <c r="Z327" t="s">
        <v>5642</v>
      </c>
      <c r="AA327" t="s">
        <v>74</v>
      </c>
      <c r="AB327" t="s">
        <v>74</v>
      </c>
      <c r="AC327" t="s">
        <v>5643</v>
      </c>
      <c r="AD327" t="s">
        <v>5644</v>
      </c>
      <c r="AE327" t="s">
        <v>5645</v>
      </c>
      <c r="AF327" t="s">
        <v>74</v>
      </c>
      <c r="AG327">
        <v>58</v>
      </c>
      <c r="AH327">
        <v>3</v>
      </c>
      <c r="AI327">
        <v>3</v>
      </c>
      <c r="AJ327">
        <v>23</v>
      </c>
      <c r="AK327">
        <v>28</v>
      </c>
      <c r="AL327" t="s">
        <v>2880</v>
      </c>
      <c r="AM327" t="s">
        <v>2881</v>
      </c>
      <c r="AN327" t="s">
        <v>2882</v>
      </c>
      <c r="AO327" t="s">
        <v>2883</v>
      </c>
      <c r="AP327" t="s">
        <v>2884</v>
      </c>
      <c r="AQ327" t="s">
        <v>74</v>
      </c>
      <c r="AR327" t="s">
        <v>2885</v>
      </c>
      <c r="AS327" t="s">
        <v>2886</v>
      </c>
      <c r="AT327" t="s">
        <v>205</v>
      </c>
      <c r="AU327">
        <v>2024</v>
      </c>
      <c r="AV327">
        <v>11</v>
      </c>
      <c r="AW327">
        <v>3</v>
      </c>
      <c r="AX327" t="s">
        <v>74</v>
      </c>
      <c r="AY327" t="s">
        <v>74</v>
      </c>
      <c r="AZ327" t="s">
        <v>74</v>
      </c>
      <c r="BA327" t="s">
        <v>74</v>
      </c>
      <c r="BB327">
        <v>377</v>
      </c>
      <c r="BC327">
        <v>395</v>
      </c>
      <c r="BD327" t="s">
        <v>74</v>
      </c>
      <c r="BE327" t="s">
        <v>5646</v>
      </c>
      <c r="BF327" t="str">
        <f>HYPERLINK("http://dx.doi.org/10.1007/s42524-024-0145-3","http://dx.doi.org/10.1007/s42524-024-0145-3")</f>
        <v>http://dx.doi.org/10.1007/s42524-024-0145-3</v>
      </c>
      <c r="BG327" t="s">
        <v>74</v>
      </c>
      <c r="BH327" t="s">
        <v>361</v>
      </c>
      <c r="BI327">
        <v>19</v>
      </c>
      <c r="BJ327" t="s">
        <v>100</v>
      </c>
      <c r="BK327" t="s">
        <v>101</v>
      </c>
      <c r="BL327" t="s">
        <v>102</v>
      </c>
      <c r="BM327" t="s">
        <v>5647</v>
      </c>
      <c r="BN327" t="s">
        <v>74</v>
      </c>
      <c r="BO327" t="s">
        <v>74</v>
      </c>
      <c r="BP327" t="s">
        <v>74</v>
      </c>
      <c r="BQ327" t="s">
        <v>74</v>
      </c>
      <c r="BR327" t="s">
        <v>104</v>
      </c>
      <c r="BS327" t="s">
        <v>5648</v>
      </c>
      <c r="BT327" t="str">
        <f>HYPERLINK("https%3A%2F%2Fwww.webofscience.com%2Fwos%2Fwoscc%2Ffull-record%2FWOS:001250545000004","View Full Record in Web of Science")</f>
        <v>View Full Record in Web of Science</v>
      </c>
    </row>
    <row r="328" spans="1:72" x14ac:dyDescent="0.25">
      <c r="A328" t="s">
        <v>72</v>
      </c>
      <c r="B328" t="s">
        <v>5649</v>
      </c>
      <c r="C328" t="s">
        <v>74</v>
      </c>
      <c r="D328" t="s">
        <v>74</v>
      </c>
      <c r="E328" t="s">
        <v>74</v>
      </c>
      <c r="F328" t="s">
        <v>5650</v>
      </c>
      <c r="G328" t="s">
        <v>74</v>
      </c>
      <c r="H328" t="s">
        <v>74</v>
      </c>
      <c r="I328" t="s">
        <v>5651</v>
      </c>
      <c r="J328" t="s">
        <v>697</v>
      </c>
      <c r="K328" t="s">
        <v>74</v>
      </c>
      <c r="L328" t="s">
        <v>74</v>
      </c>
      <c r="M328" t="s">
        <v>78</v>
      </c>
      <c r="N328" t="s">
        <v>79</v>
      </c>
      <c r="O328" t="s">
        <v>74</v>
      </c>
      <c r="P328" t="s">
        <v>74</v>
      </c>
      <c r="Q328" t="s">
        <v>74</v>
      </c>
      <c r="R328" t="s">
        <v>74</v>
      </c>
      <c r="S328" t="s">
        <v>74</v>
      </c>
      <c r="T328" t="s">
        <v>5652</v>
      </c>
      <c r="U328" t="s">
        <v>5653</v>
      </c>
      <c r="V328" t="s">
        <v>5654</v>
      </c>
      <c r="W328" t="s">
        <v>5655</v>
      </c>
      <c r="X328" t="s">
        <v>5656</v>
      </c>
      <c r="Y328" t="s">
        <v>5657</v>
      </c>
      <c r="Z328" t="s">
        <v>5002</v>
      </c>
      <c r="AA328" t="s">
        <v>5658</v>
      </c>
      <c r="AB328" t="s">
        <v>5659</v>
      </c>
      <c r="AC328" t="s">
        <v>2533</v>
      </c>
      <c r="AD328" t="s">
        <v>482</v>
      </c>
      <c r="AE328" t="s">
        <v>5660</v>
      </c>
      <c r="AF328" t="s">
        <v>74</v>
      </c>
      <c r="AG328">
        <v>53</v>
      </c>
      <c r="AH328">
        <v>33</v>
      </c>
      <c r="AI328">
        <v>35</v>
      </c>
      <c r="AJ328">
        <v>3</v>
      </c>
      <c r="AK328">
        <v>53</v>
      </c>
      <c r="AL328" t="s">
        <v>707</v>
      </c>
      <c r="AM328" t="s">
        <v>246</v>
      </c>
      <c r="AN328" t="s">
        <v>708</v>
      </c>
      <c r="AO328" t="s">
        <v>709</v>
      </c>
      <c r="AP328" t="s">
        <v>710</v>
      </c>
      <c r="AQ328" t="s">
        <v>74</v>
      </c>
      <c r="AR328" t="s">
        <v>711</v>
      </c>
      <c r="AS328" t="s">
        <v>712</v>
      </c>
      <c r="AT328" t="s">
        <v>1867</v>
      </c>
      <c r="AU328">
        <v>2020</v>
      </c>
      <c r="AV328">
        <v>142</v>
      </c>
      <c r="AW328" t="s">
        <v>74</v>
      </c>
      <c r="AX328" t="s">
        <v>74</v>
      </c>
      <c r="AY328" t="s">
        <v>74</v>
      </c>
      <c r="AZ328" t="s">
        <v>74</v>
      </c>
      <c r="BA328" t="s">
        <v>74</v>
      </c>
      <c r="BB328" t="s">
        <v>74</v>
      </c>
      <c r="BC328" t="s">
        <v>74</v>
      </c>
      <c r="BD328">
        <v>106344</v>
      </c>
      <c r="BE328" t="s">
        <v>5661</v>
      </c>
      <c r="BF328" t="str">
        <f>HYPERLINK("http://dx.doi.org/10.1016/j.cie.2020.106344","http://dx.doi.org/10.1016/j.cie.2020.106344")</f>
        <v>http://dx.doi.org/10.1016/j.cie.2020.106344</v>
      </c>
      <c r="BG328" t="s">
        <v>74</v>
      </c>
      <c r="BH328" t="s">
        <v>74</v>
      </c>
      <c r="BI328">
        <v>12</v>
      </c>
      <c r="BJ328" t="s">
        <v>715</v>
      </c>
      <c r="BK328" t="s">
        <v>322</v>
      </c>
      <c r="BL328" t="s">
        <v>716</v>
      </c>
      <c r="BM328" t="s">
        <v>5662</v>
      </c>
      <c r="BN328" t="s">
        <v>74</v>
      </c>
      <c r="BO328" t="s">
        <v>74</v>
      </c>
      <c r="BP328" t="s">
        <v>74</v>
      </c>
      <c r="BQ328" t="s">
        <v>74</v>
      </c>
      <c r="BR328" t="s">
        <v>104</v>
      </c>
      <c r="BS328" t="s">
        <v>5663</v>
      </c>
      <c r="BT328" t="str">
        <f>HYPERLINK("https%3A%2F%2Fwww.webofscience.com%2Fwos%2Fwoscc%2Ffull-record%2FWOS:000525375800028","View Full Record in Web of Science")</f>
        <v>View Full Record in Web of Science</v>
      </c>
    </row>
    <row r="329" spans="1:72" x14ac:dyDescent="0.25">
      <c r="A329" t="s">
        <v>72</v>
      </c>
      <c r="B329" t="s">
        <v>5664</v>
      </c>
      <c r="C329" t="s">
        <v>74</v>
      </c>
      <c r="D329" t="s">
        <v>74</v>
      </c>
      <c r="E329" t="s">
        <v>74</v>
      </c>
      <c r="F329" t="s">
        <v>5665</v>
      </c>
      <c r="G329" t="s">
        <v>74</v>
      </c>
      <c r="H329" t="s">
        <v>74</v>
      </c>
      <c r="I329" t="s">
        <v>5666</v>
      </c>
      <c r="J329" t="s">
        <v>3529</v>
      </c>
      <c r="K329" t="s">
        <v>74</v>
      </c>
      <c r="L329" t="s">
        <v>74</v>
      </c>
      <c r="M329" t="s">
        <v>78</v>
      </c>
      <c r="N329" t="s">
        <v>79</v>
      </c>
      <c r="O329" t="s">
        <v>74</v>
      </c>
      <c r="P329" t="s">
        <v>74</v>
      </c>
      <c r="Q329" t="s">
        <v>74</v>
      </c>
      <c r="R329" t="s">
        <v>74</v>
      </c>
      <c r="S329" t="s">
        <v>74</v>
      </c>
      <c r="T329" t="s">
        <v>5667</v>
      </c>
      <c r="U329" t="s">
        <v>5668</v>
      </c>
      <c r="V329" t="s">
        <v>5669</v>
      </c>
      <c r="W329" t="s">
        <v>5670</v>
      </c>
      <c r="X329" t="s">
        <v>5671</v>
      </c>
      <c r="Y329" t="s">
        <v>5672</v>
      </c>
      <c r="Z329" t="s">
        <v>5673</v>
      </c>
      <c r="AA329" t="s">
        <v>5674</v>
      </c>
      <c r="AB329" t="s">
        <v>5675</v>
      </c>
      <c r="AC329" t="s">
        <v>5676</v>
      </c>
      <c r="AD329" t="s">
        <v>5677</v>
      </c>
      <c r="AE329" t="s">
        <v>5678</v>
      </c>
      <c r="AF329" t="s">
        <v>74</v>
      </c>
      <c r="AG329">
        <v>39</v>
      </c>
      <c r="AH329">
        <v>2</v>
      </c>
      <c r="AI329">
        <v>2</v>
      </c>
      <c r="AJ329">
        <v>1</v>
      </c>
      <c r="AK329">
        <v>8</v>
      </c>
      <c r="AL329" t="s">
        <v>3538</v>
      </c>
      <c r="AM329" t="s">
        <v>3539</v>
      </c>
      <c r="AN329" t="s">
        <v>3540</v>
      </c>
      <c r="AO329" t="s">
        <v>74</v>
      </c>
      <c r="AP329" t="s">
        <v>3541</v>
      </c>
      <c r="AQ329" t="s">
        <v>74</v>
      </c>
      <c r="AR329" t="s">
        <v>3542</v>
      </c>
      <c r="AS329" t="s">
        <v>3543</v>
      </c>
      <c r="AT329" t="s">
        <v>74</v>
      </c>
      <c r="AU329">
        <v>2021</v>
      </c>
      <c r="AV329">
        <v>28</v>
      </c>
      <c r="AW329">
        <v>5</v>
      </c>
      <c r="AX329" t="s">
        <v>74</v>
      </c>
      <c r="AY329" t="s">
        <v>74</v>
      </c>
      <c r="AZ329" t="s">
        <v>74</v>
      </c>
      <c r="BA329" t="s">
        <v>74</v>
      </c>
      <c r="BB329">
        <v>541</v>
      </c>
      <c r="BC329">
        <v>562</v>
      </c>
      <c r="BD329" t="s">
        <v>74</v>
      </c>
      <c r="BE329" t="s">
        <v>74</v>
      </c>
      <c r="BF329" t="s">
        <v>74</v>
      </c>
      <c r="BG329" t="s">
        <v>74</v>
      </c>
      <c r="BH329" t="s">
        <v>74</v>
      </c>
      <c r="BI329">
        <v>22</v>
      </c>
      <c r="BJ329" t="s">
        <v>3544</v>
      </c>
      <c r="BK329" t="s">
        <v>149</v>
      </c>
      <c r="BL329" t="s">
        <v>102</v>
      </c>
      <c r="BM329" t="s">
        <v>5679</v>
      </c>
      <c r="BN329" t="s">
        <v>74</v>
      </c>
      <c r="BO329" t="s">
        <v>74</v>
      </c>
      <c r="BP329" t="s">
        <v>74</v>
      </c>
      <c r="BQ329" t="s">
        <v>74</v>
      </c>
      <c r="BR329" t="s">
        <v>104</v>
      </c>
      <c r="BS329" t="s">
        <v>5680</v>
      </c>
      <c r="BT329" t="str">
        <f>HYPERLINK("https%3A%2F%2Fwww.webofscience.com%2Fwos%2Fwoscc%2Ffull-record%2FWOS:000742778900001","View Full Record in Web of Science")</f>
        <v>View Full Record in Web of Science</v>
      </c>
    </row>
    <row r="330" spans="1:72" x14ac:dyDescent="0.25">
      <c r="A330" t="s">
        <v>72</v>
      </c>
      <c r="B330" t="s">
        <v>5681</v>
      </c>
      <c r="C330" t="s">
        <v>74</v>
      </c>
      <c r="D330" t="s">
        <v>74</v>
      </c>
      <c r="E330" t="s">
        <v>74</v>
      </c>
      <c r="F330" t="s">
        <v>5682</v>
      </c>
      <c r="G330" t="s">
        <v>74</v>
      </c>
      <c r="H330" t="s">
        <v>74</v>
      </c>
      <c r="I330" t="s">
        <v>5683</v>
      </c>
      <c r="J330" t="s">
        <v>697</v>
      </c>
      <c r="K330" t="s">
        <v>74</v>
      </c>
      <c r="L330" t="s">
        <v>74</v>
      </c>
      <c r="M330" t="s">
        <v>78</v>
      </c>
      <c r="N330" t="s">
        <v>79</v>
      </c>
      <c r="O330" t="s">
        <v>74</v>
      </c>
      <c r="P330" t="s">
        <v>74</v>
      </c>
      <c r="Q330" t="s">
        <v>74</v>
      </c>
      <c r="R330" t="s">
        <v>74</v>
      </c>
      <c r="S330" t="s">
        <v>74</v>
      </c>
      <c r="T330" t="s">
        <v>5684</v>
      </c>
      <c r="U330" t="s">
        <v>5685</v>
      </c>
      <c r="V330" t="s">
        <v>5686</v>
      </c>
      <c r="W330" t="s">
        <v>5687</v>
      </c>
      <c r="X330" t="s">
        <v>5688</v>
      </c>
      <c r="Y330" t="s">
        <v>5689</v>
      </c>
      <c r="Z330" t="s">
        <v>5690</v>
      </c>
      <c r="AA330" t="s">
        <v>5691</v>
      </c>
      <c r="AB330" t="s">
        <v>5692</v>
      </c>
      <c r="AC330" t="s">
        <v>74</v>
      </c>
      <c r="AD330" t="s">
        <v>74</v>
      </c>
      <c r="AE330" t="s">
        <v>74</v>
      </c>
      <c r="AF330" t="s">
        <v>74</v>
      </c>
      <c r="AG330">
        <v>55</v>
      </c>
      <c r="AH330">
        <v>28</v>
      </c>
      <c r="AI330">
        <v>28</v>
      </c>
      <c r="AJ330">
        <v>10</v>
      </c>
      <c r="AK330">
        <v>72</v>
      </c>
      <c r="AL330" t="s">
        <v>707</v>
      </c>
      <c r="AM330" t="s">
        <v>246</v>
      </c>
      <c r="AN330" t="s">
        <v>708</v>
      </c>
      <c r="AO330" t="s">
        <v>709</v>
      </c>
      <c r="AP330" t="s">
        <v>710</v>
      </c>
      <c r="AQ330" t="s">
        <v>74</v>
      </c>
      <c r="AR330" t="s">
        <v>711</v>
      </c>
      <c r="AS330" t="s">
        <v>712</v>
      </c>
      <c r="AT330" t="s">
        <v>2225</v>
      </c>
      <c r="AU330">
        <v>2021</v>
      </c>
      <c r="AV330">
        <v>158</v>
      </c>
      <c r="AW330" t="s">
        <v>74</v>
      </c>
      <c r="AX330" t="s">
        <v>74</v>
      </c>
      <c r="AY330" t="s">
        <v>74</v>
      </c>
      <c r="AZ330" t="s">
        <v>74</v>
      </c>
      <c r="BA330" t="s">
        <v>74</v>
      </c>
      <c r="BB330" t="s">
        <v>74</v>
      </c>
      <c r="BC330" t="s">
        <v>74</v>
      </c>
      <c r="BD330">
        <v>107321</v>
      </c>
      <c r="BE330" t="s">
        <v>5693</v>
      </c>
      <c r="BF330" t="str">
        <f>HYPERLINK("http://dx.doi.org/10.1016/j.cie.2021.107321","http://dx.doi.org/10.1016/j.cie.2021.107321")</f>
        <v>http://dx.doi.org/10.1016/j.cie.2021.107321</v>
      </c>
      <c r="BG330" t="s">
        <v>74</v>
      </c>
      <c r="BH330" t="s">
        <v>1614</v>
      </c>
      <c r="BI330">
        <v>9</v>
      </c>
      <c r="BJ330" t="s">
        <v>715</v>
      </c>
      <c r="BK330" t="s">
        <v>322</v>
      </c>
      <c r="BL330" t="s">
        <v>716</v>
      </c>
      <c r="BM330" t="s">
        <v>5694</v>
      </c>
      <c r="BN330" t="s">
        <v>74</v>
      </c>
      <c r="BO330" t="s">
        <v>74</v>
      </c>
      <c r="BP330" t="s">
        <v>74</v>
      </c>
      <c r="BQ330" t="s">
        <v>74</v>
      </c>
      <c r="BR330" t="s">
        <v>104</v>
      </c>
      <c r="BS330" t="s">
        <v>5695</v>
      </c>
      <c r="BT330" t="str">
        <f>HYPERLINK("https%3A%2F%2Fwww.webofscience.com%2Fwos%2Fwoscc%2Ffull-record%2FWOS:000667165200006","View Full Record in Web of Science")</f>
        <v>View Full Record in Web of Science</v>
      </c>
    </row>
    <row r="331" spans="1:72" x14ac:dyDescent="0.25">
      <c r="A331" t="s">
        <v>72</v>
      </c>
      <c r="B331" t="s">
        <v>5696</v>
      </c>
      <c r="C331" t="s">
        <v>74</v>
      </c>
      <c r="D331" t="s">
        <v>74</v>
      </c>
      <c r="E331" t="s">
        <v>74</v>
      </c>
      <c r="F331" t="s">
        <v>5697</v>
      </c>
      <c r="G331" t="s">
        <v>74</v>
      </c>
      <c r="H331" t="s">
        <v>74</v>
      </c>
      <c r="I331" t="s">
        <v>5698</v>
      </c>
      <c r="J331" t="s">
        <v>1814</v>
      </c>
      <c r="K331" t="s">
        <v>74</v>
      </c>
      <c r="L331" t="s">
        <v>74</v>
      </c>
      <c r="M331" t="s">
        <v>78</v>
      </c>
      <c r="N331" t="s">
        <v>79</v>
      </c>
      <c r="O331" t="s">
        <v>74</v>
      </c>
      <c r="P331" t="s">
        <v>74</v>
      </c>
      <c r="Q331" t="s">
        <v>74</v>
      </c>
      <c r="R331" t="s">
        <v>74</v>
      </c>
      <c r="S331" t="s">
        <v>74</v>
      </c>
      <c r="T331" t="s">
        <v>5699</v>
      </c>
      <c r="U331" t="s">
        <v>5700</v>
      </c>
      <c r="V331" t="s">
        <v>5701</v>
      </c>
      <c r="W331" t="s">
        <v>5702</v>
      </c>
      <c r="X331" t="s">
        <v>5703</v>
      </c>
      <c r="Y331" t="s">
        <v>5704</v>
      </c>
      <c r="Z331" t="s">
        <v>5705</v>
      </c>
      <c r="AA331" t="s">
        <v>5706</v>
      </c>
      <c r="AB331" t="s">
        <v>5707</v>
      </c>
      <c r="AC331" t="s">
        <v>5708</v>
      </c>
      <c r="AD331" t="s">
        <v>5709</v>
      </c>
      <c r="AE331" t="s">
        <v>5710</v>
      </c>
      <c r="AF331" t="s">
        <v>74</v>
      </c>
      <c r="AG331">
        <v>35</v>
      </c>
      <c r="AH331">
        <v>22</v>
      </c>
      <c r="AI331">
        <v>23</v>
      </c>
      <c r="AJ331">
        <v>2</v>
      </c>
      <c r="AK331">
        <v>22</v>
      </c>
      <c r="AL331" t="s">
        <v>509</v>
      </c>
      <c r="AM331" t="s">
        <v>510</v>
      </c>
      <c r="AN331" t="s">
        <v>511</v>
      </c>
      <c r="AO331" t="s">
        <v>1824</v>
      </c>
      <c r="AP331" t="s">
        <v>1825</v>
      </c>
      <c r="AQ331" t="s">
        <v>74</v>
      </c>
      <c r="AR331" t="s">
        <v>1826</v>
      </c>
      <c r="AS331" t="s">
        <v>1827</v>
      </c>
      <c r="AT331" t="s">
        <v>275</v>
      </c>
      <c r="AU331">
        <v>2020</v>
      </c>
      <c r="AV331">
        <v>221</v>
      </c>
      <c r="AW331" t="s">
        <v>74</v>
      </c>
      <c r="AX331" t="s">
        <v>74</v>
      </c>
      <c r="AY331" t="s">
        <v>74</v>
      </c>
      <c r="AZ331" t="s">
        <v>74</v>
      </c>
      <c r="BA331" t="s">
        <v>74</v>
      </c>
      <c r="BB331" t="s">
        <v>74</v>
      </c>
      <c r="BC331" t="s">
        <v>74</v>
      </c>
      <c r="BD331">
        <v>107482</v>
      </c>
      <c r="BE331" t="s">
        <v>5711</v>
      </c>
      <c r="BF331" t="str">
        <f>HYPERLINK("http://dx.doi.org/10.1016/j.ijpe.2019.09.003","http://dx.doi.org/10.1016/j.ijpe.2019.09.003")</f>
        <v>http://dx.doi.org/10.1016/j.ijpe.2019.09.003</v>
      </c>
      <c r="BG331" t="s">
        <v>74</v>
      </c>
      <c r="BH331" t="s">
        <v>74</v>
      </c>
      <c r="BI331">
        <v>14</v>
      </c>
      <c r="BJ331" t="s">
        <v>321</v>
      </c>
      <c r="BK331" t="s">
        <v>149</v>
      </c>
      <c r="BL331" t="s">
        <v>150</v>
      </c>
      <c r="BM331" t="s">
        <v>5712</v>
      </c>
      <c r="BN331" t="s">
        <v>74</v>
      </c>
      <c r="BO331" t="s">
        <v>324</v>
      </c>
      <c r="BP331" t="s">
        <v>74</v>
      </c>
      <c r="BQ331" t="s">
        <v>74</v>
      </c>
      <c r="BR331" t="s">
        <v>104</v>
      </c>
      <c r="BS331" t="s">
        <v>5713</v>
      </c>
      <c r="BT331" t="str">
        <f>HYPERLINK("https%3A%2F%2Fwww.webofscience.com%2Fwos%2Fwoscc%2Ffull-record%2FWOS:000525321300006","View Full Record in Web of Science")</f>
        <v>View Full Record in Web of Science</v>
      </c>
    </row>
    <row r="332" spans="1:72" x14ac:dyDescent="0.25">
      <c r="A332" t="s">
        <v>72</v>
      </c>
      <c r="B332" t="s">
        <v>5714</v>
      </c>
      <c r="C332" t="s">
        <v>74</v>
      </c>
      <c r="D332" t="s">
        <v>74</v>
      </c>
      <c r="E332" t="s">
        <v>74</v>
      </c>
      <c r="F332" t="s">
        <v>5715</v>
      </c>
      <c r="G332" t="s">
        <v>74</v>
      </c>
      <c r="H332" t="s">
        <v>74</v>
      </c>
      <c r="I332" t="s">
        <v>5716</v>
      </c>
      <c r="J332" t="s">
        <v>697</v>
      </c>
      <c r="K332" t="s">
        <v>74</v>
      </c>
      <c r="L332" t="s">
        <v>74</v>
      </c>
      <c r="M332" t="s">
        <v>78</v>
      </c>
      <c r="N332" t="s">
        <v>79</v>
      </c>
      <c r="O332" t="s">
        <v>74</v>
      </c>
      <c r="P332" t="s">
        <v>74</v>
      </c>
      <c r="Q332" t="s">
        <v>74</v>
      </c>
      <c r="R332" t="s">
        <v>74</v>
      </c>
      <c r="S332" t="s">
        <v>74</v>
      </c>
      <c r="T332" t="s">
        <v>5717</v>
      </c>
      <c r="U332" t="s">
        <v>5718</v>
      </c>
      <c r="V332" t="s">
        <v>5719</v>
      </c>
      <c r="W332" t="s">
        <v>5720</v>
      </c>
      <c r="X332" t="s">
        <v>5721</v>
      </c>
      <c r="Y332" t="s">
        <v>5722</v>
      </c>
      <c r="Z332" t="s">
        <v>3825</v>
      </c>
      <c r="AA332" t="s">
        <v>74</v>
      </c>
      <c r="AB332" t="s">
        <v>74</v>
      </c>
      <c r="AC332" t="s">
        <v>5723</v>
      </c>
      <c r="AD332" t="s">
        <v>5724</v>
      </c>
      <c r="AE332" t="s">
        <v>5725</v>
      </c>
      <c r="AF332" t="s">
        <v>74</v>
      </c>
      <c r="AG332">
        <v>46</v>
      </c>
      <c r="AH332">
        <v>15</v>
      </c>
      <c r="AI332">
        <v>16</v>
      </c>
      <c r="AJ332">
        <v>7</v>
      </c>
      <c r="AK332">
        <v>33</v>
      </c>
      <c r="AL332" t="s">
        <v>707</v>
      </c>
      <c r="AM332" t="s">
        <v>246</v>
      </c>
      <c r="AN332" t="s">
        <v>708</v>
      </c>
      <c r="AO332" t="s">
        <v>709</v>
      </c>
      <c r="AP332" t="s">
        <v>710</v>
      </c>
      <c r="AQ332" t="s">
        <v>74</v>
      </c>
      <c r="AR332" t="s">
        <v>711</v>
      </c>
      <c r="AS332" t="s">
        <v>712</v>
      </c>
      <c r="AT332" t="s">
        <v>1867</v>
      </c>
      <c r="AU332">
        <v>2022</v>
      </c>
      <c r="AV332">
        <v>166</v>
      </c>
      <c r="AW332" t="s">
        <v>74</v>
      </c>
      <c r="AX332" t="s">
        <v>74</v>
      </c>
      <c r="AY332" t="s">
        <v>74</v>
      </c>
      <c r="AZ332" t="s">
        <v>74</v>
      </c>
      <c r="BA332" t="s">
        <v>74</v>
      </c>
      <c r="BB332" t="s">
        <v>74</v>
      </c>
      <c r="BC332" t="s">
        <v>74</v>
      </c>
      <c r="BD332">
        <v>107958</v>
      </c>
      <c r="BE332" t="s">
        <v>5726</v>
      </c>
      <c r="BF332" t="str">
        <f>HYPERLINK("http://dx.doi.org/10.1016/j.cie.2022.107958","http://dx.doi.org/10.1016/j.cie.2022.107958")</f>
        <v>http://dx.doi.org/10.1016/j.cie.2022.107958</v>
      </c>
      <c r="BG332" t="s">
        <v>74</v>
      </c>
      <c r="BH332" t="s">
        <v>1971</v>
      </c>
      <c r="BI332">
        <v>15</v>
      </c>
      <c r="BJ332" t="s">
        <v>715</v>
      </c>
      <c r="BK332" t="s">
        <v>149</v>
      </c>
      <c r="BL332" t="s">
        <v>716</v>
      </c>
      <c r="BM332" t="s">
        <v>5727</v>
      </c>
      <c r="BN332" t="s">
        <v>74</v>
      </c>
      <c r="BO332" t="s">
        <v>74</v>
      </c>
      <c r="BP332" t="s">
        <v>74</v>
      </c>
      <c r="BQ332" t="s">
        <v>74</v>
      </c>
      <c r="BR332" t="s">
        <v>104</v>
      </c>
      <c r="BS332" t="s">
        <v>5728</v>
      </c>
      <c r="BT332" t="str">
        <f>HYPERLINK("https%3A%2F%2Fwww.webofscience.com%2Fwos%2Fwoscc%2Ffull-record%2FWOS:000777738200008","View Full Record in Web of Science")</f>
        <v>View Full Record in Web of Science</v>
      </c>
    </row>
    <row r="333" spans="1:72" x14ac:dyDescent="0.25">
      <c r="A333" t="s">
        <v>72</v>
      </c>
      <c r="B333" t="s">
        <v>5729</v>
      </c>
      <c r="C333" t="s">
        <v>74</v>
      </c>
      <c r="D333" t="s">
        <v>74</v>
      </c>
      <c r="E333" t="s">
        <v>74</v>
      </c>
      <c r="F333" t="s">
        <v>5730</v>
      </c>
      <c r="G333" t="s">
        <v>74</v>
      </c>
      <c r="H333" t="s">
        <v>74</v>
      </c>
      <c r="I333" t="s">
        <v>5731</v>
      </c>
      <c r="J333" t="s">
        <v>128</v>
      </c>
      <c r="K333" t="s">
        <v>74</v>
      </c>
      <c r="L333" t="s">
        <v>74</v>
      </c>
      <c r="M333" t="s">
        <v>78</v>
      </c>
      <c r="N333" t="s">
        <v>79</v>
      </c>
      <c r="O333" t="s">
        <v>74</v>
      </c>
      <c r="P333" t="s">
        <v>74</v>
      </c>
      <c r="Q333" t="s">
        <v>74</v>
      </c>
      <c r="R333" t="s">
        <v>74</v>
      </c>
      <c r="S333" t="s">
        <v>74</v>
      </c>
      <c r="T333" t="s">
        <v>5732</v>
      </c>
      <c r="U333" t="s">
        <v>74</v>
      </c>
      <c r="V333" t="s">
        <v>5733</v>
      </c>
      <c r="W333" t="s">
        <v>5734</v>
      </c>
      <c r="X333" t="s">
        <v>5735</v>
      </c>
      <c r="Y333" t="s">
        <v>5736</v>
      </c>
      <c r="Z333" t="s">
        <v>5737</v>
      </c>
      <c r="AA333" t="s">
        <v>5738</v>
      </c>
      <c r="AB333" t="s">
        <v>5739</v>
      </c>
      <c r="AC333" t="s">
        <v>5740</v>
      </c>
      <c r="AD333" t="s">
        <v>5741</v>
      </c>
      <c r="AE333" t="s">
        <v>5742</v>
      </c>
      <c r="AF333" t="s">
        <v>74</v>
      </c>
      <c r="AG333">
        <v>29</v>
      </c>
      <c r="AH333">
        <v>4</v>
      </c>
      <c r="AI333">
        <v>4</v>
      </c>
      <c r="AJ333">
        <v>1</v>
      </c>
      <c r="AK333">
        <v>17</v>
      </c>
      <c r="AL333" t="s">
        <v>138</v>
      </c>
      <c r="AM333" t="s">
        <v>139</v>
      </c>
      <c r="AN333" t="s">
        <v>140</v>
      </c>
      <c r="AO333" t="s">
        <v>141</v>
      </c>
      <c r="AP333" t="s">
        <v>142</v>
      </c>
      <c r="AQ333" t="s">
        <v>74</v>
      </c>
      <c r="AR333" t="s">
        <v>143</v>
      </c>
      <c r="AS333" t="s">
        <v>144</v>
      </c>
      <c r="AT333" t="s">
        <v>205</v>
      </c>
      <c r="AU333">
        <v>2023</v>
      </c>
      <c r="AV333">
        <v>237</v>
      </c>
      <c r="AW333" t="s">
        <v>74</v>
      </c>
      <c r="AX333" t="s">
        <v>74</v>
      </c>
      <c r="AY333" t="s">
        <v>74</v>
      </c>
      <c r="AZ333" t="s">
        <v>74</v>
      </c>
      <c r="BA333" t="s">
        <v>74</v>
      </c>
      <c r="BB333" t="s">
        <v>74</v>
      </c>
      <c r="BC333" t="s">
        <v>74</v>
      </c>
      <c r="BD333">
        <v>109334</v>
      </c>
      <c r="BE333" t="s">
        <v>5743</v>
      </c>
      <c r="BF333" t="str">
        <f>HYPERLINK("http://dx.doi.org/10.1016/j.ress.2023.109334","http://dx.doi.org/10.1016/j.ress.2023.109334")</f>
        <v>http://dx.doi.org/10.1016/j.ress.2023.109334</v>
      </c>
      <c r="BG333" t="s">
        <v>74</v>
      </c>
      <c r="BH333" t="s">
        <v>2390</v>
      </c>
      <c r="BI333">
        <v>8</v>
      </c>
      <c r="BJ333" t="s">
        <v>148</v>
      </c>
      <c r="BK333" t="s">
        <v>149</v>
      </c>
      <c r="BL333" t="s">
        <v>150</v>
      </c>
      <c r="BM333" t="s">
        <v>5744</v>
      </c>
      <c r="BN333" t="s">
        <v>74</v>
      </c>
      <c r="BO333" t="s">
        <v>400</v>
      </c>
      <c r="BP333" t="s">
        <v>74</v>
      </c>
      <c r="BQ333" t="s">
        <v>74</v>
      </c>
      <c r="BR333" t="s">
        <v>104</v>
      </c>
      <c r="BS333" t="s">
        <v>5745</v>
      </c>
      <c r="BT333" t="str">
        <f>HYPERLINK("https%3A%2F%2Fwww.webofscience.com%2Fwos%2Fwoscc%2Ffull-record%2FWOS:000999211200001","View Full Record in Web of Science")</f>
        <v>View Full Record in Web of Science</v>
      </c>
    </row>
    <row r="334" spans="1:72" x14ac:dyDescent="0.25">
      <c r="A334" t="s">
        <v>72</v>
      </c>
      <c r="B334" t="s">
        <v>5746</v>
      </c>
      <c r="C334" t="s">
        <v>74</v>
      </c>
      <c r="D334" t="s">
        <v>74</v>
      </c>
      <c r="E334" t="s">
        <v>74</v>
      </c>
      <c r="F334" t="s">
        <v>1161</v>
      </c>
      <c r="G334" t="s">
        <v>74</v>
      </c>
      <c r="H334" t="s">
        <v>74</v>
      </c>
      <c r="I334" t="s">
        <v>5747</v>
      </c>
      <c r="J334" t="s">
        <v>128</v>
      </c>
      <c r="K334" t="s">
        <v>74</v>
      </c>
      <c r="L334" t="s">
        <v>74</v>
      </c>
      <c r="M334" t="s">
        <v>78</v>
      </c>
      <c r="N334" t="s">
        <v>79</v>
      </c>
      <c r="O334" t="s">
        <v>74</v>
      </c>
      <c r="P334" t="s">
        <v>74</v>
      </c>
      <c r="Q334" t="s">
        <v>74</v>
      </c>
      <c r="R334" t="s">
        <v>74</v>
      </c>
      <c r="S334" t="s">
        <v>74</v>
      </c>
      <c r="T334" t="s">
        <v>5748</v>
      </c>
      <c r="U334" t="s">
        <v>5749</v>
      </c>
      <c r="V334" t="s">
        <v>5750</v>
      </c>
      <c r="W334" t="s">
        <v>4414</v>
      </c>
      <c r="X334" t="s">
        <v>2511</v>
      </c>
      <c r="Y334" t="s">
        <v>2512</v>
      </c>
      <c r="Z334" t="s">
        <v>2513</v>
      </c>
      <c r="AA334" t="s">
        <v>74</v>
      </c>
      <c r="AB334" t="s">
        <v>74</v>
      </c>
      <c r="AC334" t="s">
        <v>5751</v>
      </c>
      <c r="AD334" t="s">
        <v>2516</v>
      </c>
      <c r="AE334" t="s">
        <v>5752</v>
      </c>
      <c r="AF334" t="s">
        <v>74</v>
      </c>
      <c r="AG334">
        <v>42</v>
      </c>
      <c r="AH334">
        <v>9</v>
      </c>
      <c r="AI334">
        <v>9</v>
      </c>
      <c r="AJ334">
        <v>12</v>
      </c>
      <c r="AK334">
        <v>62</v>
      </c>
      <c r="AL334" t="s">
        <v>138</v>
      </c>
      <c r="AM334" t="s">
        <v>139</v>
      </c>
      <c r="AN334" t="s">
        <v>140</v>
      </c>
      <c r="AO334" t="s">
        <v>141</v>
      </c>
      <c r="AP334" t="s">
        <v>142</v>
      </c>
      <c r="AQ334" t="s">
        <v>74</v>
      </c>
      <c r="AR334" t="s">
        <v>143</v>
      </c>
      <c r="AS334" t="s">
        <v>144</v>
      </c>
      <c r="AT334" t="s">
        <v>205</v>
      </c>
      <c r="AU334">
        <v>2023</v>
      </c>
      <c r="AV334">
        <v>237</v>
      </c>
      <c r="AW334" t="s">
        <v>74</v>
      </c>
      <c r="AX334" t="s">
        <v>74</v>
      </c>
      <c r="AY334" t="s">
        <v>74</v>
      </c>
      <c r="AZ334" t="s">
        <v>74</v>
      </c>
      <c r="BA334" t="s">
        <v>74</v>
      </c>
      <c r="BB334" t="s">
        <v>74</v>
      </c>
      <c r="BC334" t="s">
        <v>74</v>
      </c>
      <c r="BD334">
        <v>109385</v>
      </c>
      <c r="BE334" t="s">
        <v>5753</v>
      </c>
      <c r="BF334" t="str">
        <f>HYPERLINK("http://dx.doi.org/10.1016/j.ress.2023.109385","http://dx.doi.org/10.1016/j.ress.2023.109385")</f>
        <v>http://dx.doi.org/10.1016/j.ress.2023.109385</v>
      </c>
      <c r="BG334" t="s">
        <v>74</v>
      </c>
      <c r="BH334" t="s">
        <v>2390</v>
      </c>
      <c r="BI334">
        <v>14</v>
      </c>
      <c r="BJ334" t="s">
        <v>148</v>
      </c>
      <c r="BK334" t="s">
        <v>149</v>
      </c>
      <c r="BL334" t="s">
        <v>150</v>
      </c>
      <c r="BM334" t="s">
        <v>5754</v>
      </c>
      <c r="BN334" t="s">
        <v>74</v>
      </c>
      <c r="BO334" t="s">
        <v>74</v>
      </c>
      <c r="BP334" t="s">
        <v>74</v>
      </c>
      <c r="BQ334" t="s">
        <v>74</v>
      </c>
      <c r="BR334" t="s">
        <v>104</v>
      </c>
      <c r="BS334" t="s">
        <v>5755</v>
      </c>
      <c r="BT334" t="str">
        <f>HYPERLINK("https%3A%2F%2Fwww.webofscience.com%2Fwos%2Fwoscc%2Ffull-record%2FWOS:001002440800001","View Full Record in Web of Science")</f>
        <v>View Full Record in Web of Science</v>
      </c>
    </row>
    <row r="335" spans="1:72" x14ac:dyDescent="0.25">
      <c r="A335" t="s">
        <v>72</v>
      </c>
      <c r="B335" t="s">
        <v>5756</v>
      </c>
      <c r="C335" t="s">
        <v>74</v>
      </c>
      <c r="D335" t="s">
        <v>74</v>
      </c>
      <c r="E335" t="s">
        <v>74</v>
      </c>
      <c r="F335" t="s">
        <v>5757</v>
      </c>
      <c r="G335" t="s">
        <v>74</v>
      </c>
      <c r="H335" t="s">
        <v>74</v>
      </c>
      <c r="I335" t="s">
        <v>5758</v>
      </c>
      <c r="J335" t="s">
        <v>3529</v>
      </c>
      <c r="K335" t="s">
        <v>74</v>
      </c>
      <c r="L335" t="s">
        <v>74</v>
      </c>
      <c r="M335" t="s">
        <v>78</v>
      </c>
      <c r="N335" t="s">
        <v>79</v>
      </c>
      <c r="O335" t="s">
        <v>74</v>
      </c>
      <c r="P335" t="s">
        <v>74</v>
      </c>
      <c r="Q335" t="s">
        <v>74</v>
      </c>
      <c r="R335" t="s">
        <v>74</v>
      </c>
      <c r="S335" t="s">
        <v>74</v>
      </c>
      <c r="T335" t="s">
        <v>5759</v>
      </c>
      <c r="U335" t="s">
        <v>5760</v>
      </c>
      <c r="V335" t="s">
        <v>5761</v>
      </c>
      <c r="W335" t="s">
        <v>5762</v>
      </c>
      <c r="X335" t="s">
        <v>5763</v>
      </c>
      <c r="Y335" t="s">
        <v>5764</v>
      </c>
      <c r="Z335" t="s">
        <v>5765</v>
      </c>
      <c r="AA335" t="s">
        <v>5766</v>
      </c>
      <c r="AB335" t="s">
        <v>5767</v>
      </c>
      <c r="AC335" t="s">
        <v>5768</v>
      </c>
      <c r="AD335" t="s">
        <v>5769</v>
      </c>
      <c r="AE335" t="s">
        <v>5770</v>
      </c>
      <c r="AF335" t="s">
        <v>74</v>
      </c>
      <c r="AG335">
        <v>33</v>
      </c>
      <c r="AH335">
        <v>0</v>
      </c>
      <c r="AI335">
        <v>0</v>
      </c>
      <c r="AJ335">
        <v>2</v>
      </c>
      <c r="AK335">
        <v>14</v>
      </c>
      <c r="AL335" t="s">
        <v>3538</v>
      </c>
      <c r="AM335" t="s">
        <v>3539</v>
      </c>
      <c r="AN335" t="s">
        <v>3540</v>
      </c>
      <c r="AO335" t="s">
        <v>3812</v>
      </c>
      <c r="AP335" t="s">
        <v>3541</v>
      </c>
      <c r="AQ335" t="s">
        <v>74</v>
      </c>
      <c r="AR335" t="s">
        <v>3542</v>
      </c>
      <c r="AS335" t="s">
        <v>3543</v>
      </c>
      <c r="AT335" t="s">
        <v>74</v>
      </c>
      <c r="AU335">
        <v>2022</v>
      </c>
      <c r="AV335">
        <v>29</v>
      </c>
      <c r="AW335">
        <v>3</v>
      </c>
      <c r="AX335" t="s">
        <v>74</v>
      </c>
      <c r="AY335" t="s">
        <v>74</v>
      </c>
      <c r="AZ335" t="s">
        <v>74</v>
      </c>
      <c r="BA335" t="s">
        <v>74</v>
      </c>
      <c r="BB335">
        <v>315</v>
      </c>
      <c r="BC335">
        <v>334</v>
      </c>
      <c r="BD335" t="s">
        <v>74</v>
      </c>
      <c r="BE335" t="s">
        <v>5771</v>
      </c>
      <c r="BF335" t="str">
        <f>HYPERLINK("http://dx.doi.org/10.23055/ijietap.2022.29.3.8013","http://dx.doi.org/10.23055/ijietap.2022.29.3.8013")</f>
        <v>http://dx.doi.org/10.23055/ijietap.2022.29.3.8013</v>
      </c>
      <c r="BG335" t="s">
        <v>74</v>
      </c>
      <c r="BH335" t="s">
        <v>74</v>
      </c>
      <c r="BI335">
        <v>20</v>
      </c>
      <c r="BJ335" t="s">
        <v>3544</v>
      </c>
      <c r="BK335" t="s">
        <v>149</v>
      </c>
      <c r="BL335" t="s">
        <v>102</v>
      </c>
      <c r="BM335" t="s">
        <v>5772</v>
      </c>
      <c r="BN335" t="s">
        <v>74</v>
      </c>
      <c r="BO335" t="s">
        <v>74</v>
      </c>
      <c r="BP335" t="s">
        <v>74</v>
      </c>
      <c r="BQ335" t="s">
        <v>74</v>
      </c>
      <c r="BR335" t="s">
        <v>104</v>
      </c>
      <c r="BS335" t="s">
        <v>5773</v>
      </c>
      <c r="BT335" t="str">
        <f>HYPERLINK("https%3A%2F%2Fwww.webofscience.com%2Fwos%2Fwoscc%2Ffull-record%2FWOS:000829161100001","View Full Record in Web of Science")</f>
        <v>View Full Record in Web of Science</v>
      </c>
    </row>
    <row r="336" spans="1:72" x14ac:dyDescent="0.25">
      <c r="A336" t="s">
        <v>72</v>
      </c>
      <c r="B336" t="s">
        <v>5774</v>
      </c>
      <c r="C336" t="s">
        <v>74</v>
      </c>
      <c r="D336" t="s">
        <v>74</v>
      </c>
      <c r="E336" t="s">
        <v>74</v>
      </c>
      <c r="F336" t="s">
        <v>5775</v>
      </c>
      <c r="G336" t="s">
        <v>74</v>
      </c>
      <c r="H336" t="s">
        <v>74</v>
      </c>
      <c r="I336" t="s">
        <v>5776</v>
      </c>
      <c r="J336" t="s">
        <v>128</v>
      </c>
      <c r="K336" t="s">
        <v>74</v>
      </c>
      <c r="L336" t="s">
        <v>74</v>
      </c>
      <c r="M336" t="s">
        <v>78</v>
      </c>
      <c r="N336" t="s">
        <v>79</v>
      </c>
      <c r="O336" t="s">
        <v>74</v>
      </c>
      <c r="P336" t="s">
        <v>74</v>
      </c>
      <c r="Q336" t="s">
        <v>74</v>
      </c>
      <c r="R336" t="s">
        <v>74</v>
      </c>
      <c r="S336" t="s">
        <v>74</v>
      </c>
      <c r="T336" t="s">
        <v>5777</v>
      </c>
      <c r="U336" t="s">
        <v>5778</v>
      </c>
      <c r="V336" t="s">
        <v>5779</v>
      </c>
      <c r="W336" t="s">
        <v>5780</v>
      </c>
      <c r="X336" t="s">
        <v>5781</v>
      </c>
      <c r="Y336" t="s">
        <v>5782</v>
      </c>
      <c r="Z336" t="s">
        <v>5783</v>
      </c>
      <c r="AA336" t="s">
        <v>5784</v>
      </c>
      <c r="AB336" t="s">
        <v>5785</v>
      </c>
      <c r="AC336" t="s">
        <v>5786</v>
      </c>
      <c r="AD336" t="s">
        <v>5787</v>
      </c>
      <c r="AE336" t="s">
        <v>5788</v>
      </c>
      <c r="AF336" t="s">
        <v>74</v>
      </c>
      <c r="AG336">
        <v>35</v>
      </c>
      <c r="AH336">
        <v>15</v>
      </c>
      <c r="AI336">
        <v>17</v>
      </c>
      <c r="AJ336">
        <v>6</v>
      </c>
      <c r="AK336">
        <v>54</v>
      </c>
      <c r="AL336" t="s">
        <v>138</v>
      </c>
      <c r="AM336" t="s">
        <v>246</v>
      </c>
      <c r="AN336" t="s">
        <v>247</v>
      </c>
      <c r="AO336" t="s">
        <v>141</v>
      </c>
      <c r="AP336" t="s">
        <v>142</v>
      </c>
      <c r="AQ336" t="s">
        <v>74</v>
      </c>
      <c r="AR336" t="s">
        <v>143</v>
      </c>
      <c r="AS336" t="s">
        <v>144</v>
      </c>
      <c r="AT336" t="s">
        <v>1008</v>
      </c>
      <c r="AU336">
        <v>2022</v>
      </c>
      <c r="AV336">
        <v>217</v>
      </c>
      <c r="AW336" t="s">
        <v>74</v>
      </c>
      <c r="AX336" t="s">
        <v>74</v>
      </c>
      <c r="AY336" t="s">
        <v>74</v>
      </c>
      <c r="AZ336" t="s">
        <v>74</v>
      </c>
      <c r="BA336" t="s">
        <v>74</v>
      </c>
      <c r="BB336" t="s">
        <v>74</v>
      </c>
      <c r="BC336" t="s">
        <v>74</v>
      </c>
      <c r="BD336">
        <v>108038</v>
      </c>
      <c r="BE336" t="s">
        <v>5789</v>
      </c>
      <c r="BF336" t="str">
        <f>HYPERLINK("http://dx.doi.org/10.1016/j.ress.2021.108038","http://dx.doi.org/10.1016/j.ress.2021.108038")</f>
        <v>http://dx.doi.org/10.1016/j.ress.2021.108038</v>
      </c>
      <c r="BG336" t="s">
        <v>74</v>
      </c>
      <c r="BH336" t="s">
        <v>99</v>
      </c>
      <c r="BI336">
        <v>16</v>
      </c>
      <c r="BJ336" t="s">
        <v>148</v>
      </c>
      <c r="BK336" t="s">
        <v>149</v>
      </c>
      <c r="BL336" t="s">
        <v>150</v>
      </c>
      <c r="BM336" t="s">
        <v>4508</v>
      </c>
      <c r="BN336" t="s">
        <v>74</v>
      </c>
      <c r="BO336" t="s">
        <v>74</v>
      </c>
      <c r="BP336" t="s">
        <v>74</v>
      </c>
      <c r="BQ336" t="s">
        <v>74</v>
      </c>
      <c r="BR336" t="s">
        <v>104</v>
      </c>
      <c r="BS336" t="s">
        <v>5790</v>
      </c>
      <c r="BT336" t="str">
        <f>HYPERLINK("https%3A%2F%2Fwww.webofscience.com%2Fwos%2Fwoscc%2Ffull-record%2FWOS:000708365800004","View Full Record in Web of Science")</f>
        <v>View Full Record in Web of Science</v>
      </c>
    </row>
    <row r="337" spans="1:72" x14ac:dyDescent="0.25">
      <c r="A337" t="s">
        <v>72</v>
      </c>
      <c r="B337" t="s">
        <v>5791</v>
      </c>
      <c r="C337" t="s">
        <v>74</v>
      </c>
      <c r="D337" t="s">
        <v>74</v>
      </c>
      <c r="E337" t="s">
        <v>74</v>
      </c>
      <c r="F337" t="s">
        <v>5792</v>
      </c>
      <c r="G337" t="s">
        <v>74</v>
      </c>
      <c r="H337" t="s">
        <v>74</v>
      </c>
      <c r="I337" t="s">
        <v>5793</v>
      </c>
      <c r="J337" t="s">
        <v>128</v>
      </c>
      <c r="K337" t="s">
        <v>74</v>
      </c>
      <c r="L337" t="s">
        <v>74</v>
      </c>
      <c r="M337" t="s">
        <v>78</v>
      </c>
      <c r="N337" t="s">
        <v>79</v>
      </c>
      <c r="O337" t="s">
        <v>74</v>
      </c>
      <c r="P337" t="s">
        <v>74</v>
      </c>
      <c r="Q337" t="s">
        <v>74</v>
      </c>
      <c r="R337" t="s">
        <v>74</v>
      </c>
      <c r="S337" t="s">
        <v>74</v>
      </c>
      <c r="T337" t="s">
        <v>5794</v>
      </c>
      <c r="U337" t="s">
        <v>5795</v>
      </c>
      <c r="V337" t="s">
        <v>5796</v>
      </c>
      <c r="W337" t="s">
        <v>5797</v>
      </c>
      <c r="X337" t="s">
        <v>5798</v>
      </c>
      <c r="Y337" t="s">
        <v>5799</v>
      </c>
      <c r="Z337" t="s">
        <v>5800</v>
      </c>
      <c r="AA337" t="s">
        <v>5801</v>
      </c>
      <c r="AB337" t="s">
        <v>74</v>
      </c>
      <c r="AC337" t="s">
        <v>5802</v>
      </c>
      <c r="AD337" t="s">
        <v>482</v>
      </c>
      <c r="AE337" t="s">
        <v>5803</v>
      </c>
      <c r="AF337" t="s">
        <v>74</v>
      </c>
      <c r="AG337">
        <v>41</v>
      </c>
      <c r="AH337">
        <v>1</v>
      </c>
      <c r="AI337">
        <v>1</v>
      </c>
      <c r="AJ337">
        <v>24</v>
      </c>
      <c r="AK337">
        <v>26</v>
      </c>
      <c r="AL337" t="s">
        <v>138</v>
      </c>
      <c r="AM337" t="s">
        <v>139</v>
      </c>
      <c r="AN337" t="s">
        <v>140</v>
      </c>
      <c r="AO337" t="s">
        <v>141</v>
      </c>
      <c r="AP337" t="s">
        <v>142</v>
      </c>
      <c r="AQ337" t="s">
        <v>74</v>
      </c>
      <c r="AR337" t="s">
        <v>143</v>
      </c>
      <c r="AS337" t="s">
        <v>144</v>
      </c>
      <c r="AT337" t="s">
        <v>491</v>
      </c>
      <c r="AU337">
        <v>2024</v>
      </c>
      <c r="AV337">
        <v>251</v>
      </c>
      <c r="AW337" t="s">
        <v>74</v>
      </c>
      <c r="AX337" t="s">
        <v>74</v>
      </c>
      <c r="AY337" t="s">
        <v>74</v>
      </c>
      <c r="AZ337" t="s">
        <v>74</v>
      </c>
      <c r="BA337" t="s">
        <v>74</v>
      </c>
      <c r="BB337" t="s">
        <v>74</v>
      </c>
      <c r="BC337" t="s">
        <v>74</v>
      </c>
      <c r="BD337">
        <v>110349</v>
      </c>
      <c r="BE337" t="s">
        <v>5804</v>
      </c>
      <c r="BF337" t="str">
        <f>HYPERLINK("http://dx.doi.org/10.1016/j.ress.2024.110349","http://dx.doi.org/10.1016/j.ress.2024.110349")</f>
        <v>http://dx.doi.org/10.1016/j.ress.2024.110349</v>
      </c>
      <c r="BG337" t="s">
        <v>74</v>
      </c>
      <c r="BH337" t="s">
        <v>493</v>
      </c>
      <c r="BI337">
        <v>11</v>
      </c>
      <c r="BJ337" t="s">
        <v>148</v>
      </c>
      <c r="BK337" t="s">
        <v>149</v>
      </c>
      <c r="BL337" t="s">
        <v>150</v>
      </c>
      <c r="BM337" t="s">
        <v>5805</v>
      </c>
      <c r="BN337" t="s">
        <v>74</v>
      </c>
      <c r="BO337" t="s">
        <v>74</v>
      </c>
      <c r="BP337" t="s">
        <v>74</v>
      </c>
      <c r="BQ337" t="s">
        <v>74</v>
      </c>
      <c r="BR337" t="s">
        <v>104</v>
      </c>
      <c r="BS337" t="s">
        <v>5806</v>
      </c>
      <c r="BT337" t="str">
        <f>HYPERLINK("https%3A%2F%2Fwww.webofscience.com%2Fwos%2Fwoscc%2Ffull-record%2FWOS:001278623600001","View Full Record in Web of Science")</f>
        <v>View Full Record in Web of Science</v>
      </c>
    </row>
    <row r="338" spans="1:72" x14ac:dyDescent="0.25">
      <c r="A338" t="s">
        <v>72</v>
      </c>
      <c r="B338" t="s">
        <v>5807</v>
      </c>
      <c r="C338" t="s">
        <v>74</v>
      </c>
      <c r="D338" t="s">
        <v>74</v>
      </c>
      <c r="E338" t="s">
        <v>74</v>
      </c>
      <c r="F338" t="s">
        <v>5808</v>
      </c>
      <c r="G338" t="s">
        <v>74</v>
      </c>
      <c r="H338" t="s">
        <v>74</v>
      </c>
      <c r="I338" t="s">
        <v>5809</v>
      </c>
      <c r="J338" t="s">
        <v>697</v>
      </c>
      <c r="K338" t="s">
        <v>74</v>
      </c>
      <c r="L338" t="s">
        <v>74</v>
      </c>
      <c r="M338" t="s">
        <v>78</v>
      </c>
      <c r="N338" t="s">
        <v>79</v>
      </c>
      <c r="O338" t="s">
        <v>74</v>
      </c>
      <c r="P338" t="s">
        <v>74</v>
      </c>
      <c r="Q338" t="s">
        <v>74</v>
      </c>
      <c r="R338" t="s">
        <v>74</v>
      </c>
      <c r="S338" t="s">
        <v>74</v>
      </c>
      <c r="T338" t="s">
        <v>5810</v>
      </c>
      <c r="U338" t="s">
        <v>5811</v>
      </c>
      <c r="V338" t="s">
        <v>5812</v>
      </c>
      <c r="W338" t="s">
        <v>5813</v>
      </c>
      <c r="X338" t="s">
        <v>5814</v>
      </c>
      <c r="Y338" t="s">
        <v>5815</v>
      </c>
      <c r="Z338" t="s">
        <v>5816</v>
      </c>
      <c r="AA338" t="s">
        <v>74</v>
      </c>
      <c r="AB338" t="s">
        <v>5817</v>
      </c>
      <c r="AC338" t="s">
        <v>5818</v>
      </c>
      <c r="AD338" t="s">
        <v>5819</v>
      </c>
      <c r="AE338" t="s">
        <v>5820</v>
      </c>
      <c r="AF338" t="s">
        <v>74</v>
      </c>
      <c r="AG338">
        <v>50</v>
      </c>
      <c r="AH338">
        <v>57</v>
      </c>
      <c r="AI338">
        <v>65</v>
      </c>
      <c r="AJ338">
        <v>2</v>
      </c>
      <c r="AK338">
        <v>121</v>
      </c>
      <c r="AL338" t="s">
        <v>707</v>
      </c>
      <c r="AM338" t="s">
        <v>246</v>
      </c>
      <c r="AN338" t="s">
        <v>708</v>
      </c>
      <c r="AO338" t="s">
        <v>709</v>
      </c>
      <c r="AP338" t="s">
        <v>710</v>
      </c>
      <c r="AQ338" t="s">
        <v>74</v>
      </c>
      <c r="AR338" t="s">
        <v>711</v>
      </c>
      <c r="AS338" t="s">
        <v>712</v>
      </c>
      <c r="AT338" t="s">
        <v>2225</v>
      </c>
      <c r="AU338">
        <v>2019</v>
      </c>
      <c r="AV338">
        <v>134</v>
      </c>
      <c r="AW338" t="s">
        <v>74</v>
      </c>
      <c r="AX338" t="s">
        <v>74</v>
      </c>
      <c r="AY338" t="s">
        <v>74</v>
      </c>
      <c r="AZ338" t="s">
        <v>74</v>
      </c>
      <c r="BA338" t="s">
        <v>74</v>
      </c>
      <c r="BB338">
        <v>1</v>
      </c>
      <c r="BC338">
        <v>10</v>
      </c>
      <c r="BD338" t="s">
        <v>74</v>
      </c>
      <c r="BE338" t="s">
        <v>5821</v>
      </c>
      <c r="BF338" t="str">
        <f>HYPERLINK("http://dx.doi.org/10.1016/j.cie.2019.05.020","http://dx.doi.org/10.1016/j.cie.2019.05.020")</f>
        <v>http://dx.doi.org/10.1016/j.cie.2019.05.020</v>
      </c>
      <c r="BG338" t="s">
        <v>74</v>
      </c>
      <c r="BH338" t="s">
        <v>74</v>
      </c>
      <c r="BI338">
        <v>10</v>
      </c>
      <c r="BJ338" t="s">
        <v>715</v>
      </c>
      <c r="BK338" t="s">
        <v>149</v>
      </c>
      <c r="BL338" t="s">
        <v>716</v>
      </c>
      <c r="BM338" t="s">
        <v>5822</v>
      </c>
      <c r="BN338" t="s">
        <v>74</v>
      </c>
      <c r="BO338" t="s">
        <v>74</v>
      </c>
      <c r="BP338" t="s">
        <v>74</v>
      </c>
      <c r="BQ338" t="s">
        <v>74</v>
      </c>
      <c r="BR338" t="s">
        <v>104</v>
      </c>
      <c r="BS338" t="s">
        <v>5823</v>
      </c>
      <c r="BT338" t="str">
        <f>HYPERLINK("https%3A%2F%2Fwww.webofscience.com%2Fwos%2Fwoscc%2Ffull-record%2FWOS:000474493600001","View Full Record in Web of Science")</f>
        <v>View Full Record in Web of Science</v>
      </c>
    </row>
    <row r="339" spans="1:72" x14ac:dyDescent="0.25">
      <c r="A339" t="s">
        <v>72</v>
      </c>
      <c r="B339" t="s">
        <v>5824</v>
      </c>
      <c r="C339" t="s">
        <v>74</v>
      </c>
      <c r="D339" t="s">
        <v>74</v>
      </c>
      <c r="E339" t="s">
        <v>74</v>
      </c>
      <c r="F339" t="s">
        <v>5825</v>
      </c>
      <c r="G339" t="s">
        <v>74</v>
      </c>
      <c r="H339" t="s">
        <v>74</v>
      </c>
      <c r="I339" t="s">
        <v>5826</v>
      </c>
      <c r="J339" t="s">
        <v>128</v>
      </c>
      <c r="K339" t="s">
        <v>74</v>
      </c>
      <c r="L339" t="s">
        <v>74</v>
      </c>
      <c r="M339" t="s">
        <v>78</v>
      </c>
      <c r="N339" t="s">
        <v>79</v>
      </c>
      <c r="O339" t="s">
        <v>74</v>
      </c>
      <c r="P339" t="s">
        <v>74</v>
      </c>
      <c r="Q339" t="s">
        <v>74</v>
      </c>
      <c r="R339" t="s">
        <v>74</v>
      </c>
      <c r="S339" t="s">
        <v>74</v>
      </c>
      <c r="T339" t="s">
        <v>5827</v>
      </c>
      <c r="U339" t="s">
        <v>5828</v>
      </c>
      <c r="V339" t="s">
        <v>5829</v>
      </c>
      <c r="W339" t="s">
        <v>5830</v>
      </c>
      <c r="X339" t="s">
        <v>5831</v>
      </c>
      <c r="Y339" t="s">
        <v>3282</v>
      </c>
      <c r="Z339" t="s">
        <v>5832</v>
      </c>
      <c r="AA339" t="s">
        <v>5833</v>
      </c>
      <c r="AB339" t="s">
        <v>74</v>
      </c>
      <c r="AC339" t="s">
        <v>5834</v>
      </c>
      <c r="AD339" t="s">
        <v>5835</v>
      </c>
      <c r="AE339" t="s">
        <v>5836</v>
      </c>
      <c r="AF339" t="s">
        <v>74</v>
      </c>
      <c r="AG339">
        <v>41</v>
      </c>
      <c r="AH339">
        <v>26</v>
      </c>
      <c r="AI339">
        <v>27</v>
      </c>
      <c r="AJ339">
        <v>3</v>
      </c>
      <c r="AK339">
        <v>45</v>
      </c>
      <c r="AL339" t="s">
        <v>138</v>
      </c>
      <c r="AM339" t="s">
        <v>246</v>
      </c>
      <c r="AN339" t="s">
        <v>247</v>
      </c>
      <c r="AO339" t="s">
        <v>141</v>
      </c>
      <c r="AP339" t="s">
        <v>142</v>
      </c>
      <c r="AQ339" t="s">
        <v>74</v>
      </c>
      <c r="AR339" t="s">
        <v>143</v>
      </c>
      <c r="AS339" t="s">
        <v>144</v>
      </c>
      <c r="AT339" t="s">
        <v>145</v>
      </c>
      <c r="AU339">
        <v>2021</v>
      </c>
      <c r="AV339">
        <v>216</v>
      </c>
      <c r="AW339" t="s">
        <v>74</v>
      </c>
      <c r="AX339" t="s">
        <v>74</v>
      </c>
      <c r="AY339" t="s">
        <v>74</v>
      </c>
      <c r="AZ339" t="s">
        <v>74</v>
      </c>
      <c r="BA339" t="s">
        <v>74</v>
      </c>
      <c r="BB339" t="s">
        <v>74</v>
      </c>
      <c r="BC339" t="s">
        <v>74</v>
      </c>
      <c r="BD339">
        <v>107951</v>
      </c>
      <c r="BE339" t="s">
        <v>5837</v>
      </c>
      <c r="BF339" t="str">
        <f>HYPERLINK("http://dx.doi.org/10.1016/j.ress.2021.107951","http://dx.doi.org/10.1016/j.ress.2021.107951")</f>
        <v>http://dx.doi.org/10.1016/j.ress.2021.107951</v>
      </c>
      <c r="BG339" t="s">
        <v>74</v>
      </c>
      <c r="BH339" t="s">
        <v>2089</v>
      </c>
      <c r="BI339">
        <v>12</v>
      </c>
      <c r="BJ339" t="s">
        <v>148</v>
      </c>
      <c r="BK339" t="s">
        <v>322</v>
      </c>
      <c r="BL339" t="s">
        <v>150</v>
      </c>
      <c r="BM339" t="s">
        <v>2090</v>
      </c>
      <c r="BN339" t="s">
        <v>74</v>
      </c>
      <c r="BO339" t="s">
        <v>74</v>
      </c>
      <c r="BP339" t="s">
        <v>74</v>
      </c>
      <c r="BQ339" t="s">
        <v>74</v>
      </c>
      <c r="BR339" t="s">
        <v>104</v>
      </c>
      <c r="BS339" t="s">
        <v>5838</v>
      </c>
      <c r="BT339" t="str">
        <f>HYPERLINK("https%3A%2F%2Fwww.webofscience.com%2Fwos%2Fwoscc%2Ffull-record%2FWOS:000702351700038","View Full Record in Web of Science")</f>
        <v>View Full Record in Web of Science</v>
      </c>
    </row>
    <row r="340" spans="1:72" x14ac:dyDescent="0.25">
      <c r="A340" t="s">
        <v>72</v>
      </c>
      <c r="B340" t="s">
        <v>3274</v>
      </c>
      <c r="C340" t="s">
        <v>74</v>
      </c>
      <c r="D340" t="s">
        <v>74</v>
      </c>
      <c r="E340" t="s">
        <v>74</v>
      </c>
      <c r="F340" t="s">
        <v>3275</v>
      </c>
      <c r="G340" t="s">
        <v>74</v>
      </c>
      <c r="H340" t="s">
        <v>74</v>
      </c>
      <c r="I340" t="s">
        <v>5839</v>
      </c>
      <c r="J340" t="s">
        <v>128</v>
      </c>
      <c r="K340" t="s">
        <v>74</v>
      </c>
      <c r="L340" t="s">
        <v>74</v>
      </c>
      <c r="M340" t="s">
        <v>78</v>
      </c>
      <c r="N340" t="s">
        <v>79</v>
      </c>
      <c r="O340" t="s">
        <v>74</v>
      </c>
      <c r="P340" t="s">
        <v>74</v>
      </c>
      <c r="Q340" t="s">
        <v>74</v>
      </c>
      <c r="R340" t="s">
        <v>74</v>
      </c>
      <c r="S340" t="s">
        <v>74</v>
      </c>
      <c r="T340" t="s">
        <v>5840</v>
      </c>
      <c r="U340" t="s">
        <v>3678</v>
      </c>
      <c r="V340" t="s">
        <v>5841</v>
      </c>
      <c r="W340" t="s">
        <v>5842</v>
      </c>
      <c r="X340" t="s">
        <v>5843</v>
      </c>
      <c r="Y340" t="s">
        <v>3282</v>
      </c>
      <c r="Z340" t="s">
        <v>5832</v>
      </c>
      <c r="AA340" t="s">
        <v>1965</v>
      </c>
      <c r="AB340" t="s">
        <v>3284</v>
      </c>
      <c r="AC340" t="s">
        <v>5844</v>
      </c>
      <c r="AD340" t="s">
        <v>5845</v>
      </c>
      <c r="AE340" t="s">
        <v>5846</v>
      </c>
      <c r="AF340" t="s">
        <v>74</v>
      </c>
      <c r="AG340">
        <v>39</v>
      </c>
      <c r="AH340">
        <v>10</v>
      </c>
      <c r="AI340">
        <v>11</v>
      </c>
      <c r="AJ340">
        <v>5</v>
      </c>
      <c r="AK340">
        <v>23</v>
      </c>
      <c r="AL340" t="s">
        <v>138</v>
      </c>
      <c r="AM340" t="s">
        <v>139</v>
      </c>
      <c r="AN340" t="s">
        <v>140</v>
      </c>
      <c r="AO340" t="s">
        <v>141</v>
      </c>
      <c r="AP340" t="s">
        <v>142</v>
      </c>
      <c r="AQ340" t="s">
        <v>74</v>
      </c>
      <c r="AR340" t="s">
        <v>143</v>
      </c>
      <c r="AS340" t="s">
        <v>144</v>
      </c>
      <c r="AT340" t="s">
        <v>248</v>
      </c>
      <c r="AU340">
        <v>2023</v>
      </c>
      <c r="AV340">
        <v>235</v>
      </c>
      <c r="AW340" t="s">
        <v>74</v>
      </c>
      <c r="AX340" t="s">
        <v>74</v>
      </c>
      <c r="AY340" t="s">
        <v>74</v>
      </c>
      <c r="AZ340" t="s">
        <v>74</v>
      </c>
      <c r="BA340" t="s">
        <v>74</v>
      </c>
      <c r="BB340" t="s">
        <v>74</v>
      </c>
      <c r="BC340" t="s">
        <v>74</v>
      </c>
      <c r="BD340">
        <v>109240</v>
      </c>
      <c r="BE340" t="s">
        <v>5847</v>
      </c>
      <c r="BF340" t="str">
        <f>HYPERLINK("http://dx.doi.org/10.1016/j.ress.2023.109240","http://dx.doi.org/10.1016/j.ress.2023.109240")</f>
        <v>http://dx.doi.org/10.1016/j.ress.2023.109240</v>
      </c>
      <c r="BG340" t="s">
        <v>74</v>
      </c>
      <c r="BH340" t="s">
        <v>1685</v>
      </c>
      <c r="BI340">
        <v>13</v>
      </c>
      <c r="BJ340" t="s">
        <v>148</v>
      </c>
      <c r="BK340" t="s">
        <v>149</v>
      </c>
      <c r="BL340" t="s">
        <v>150</v>
      </c>
      <c r="BM340" t="s">
        <v>5848</v>
      </c>
      <c r="BN340" t="s">
        <v>74</v>
      </c>
      <c r="BO340" t="s">
        <v>74</v>
      </c>
      <c r="BP340" t="s">
        <v>74</v>
      </c>
      <c r="BQ340" t="s">
        <v>74</v>
      </c>
      <c r="BR340" t="s">
        <v>104</v>
      </c>
      <c r="BS340" t="s">
        <v>5849</v>
      </c>
      <c r="BT340" t="str">
        <f>HYPERLINK("https%3A%2F%2Fwww.webofscience.com%2Fwos%2Fwoscc%2Ffull-record%2FWOS:000956292700001","View Full Record in Web of Science")</f>
        <v>View Full Record in Web of Science</v>
      </c>
    </row>
    <row r="341" spans="1:72" x14ac:dyDescent="0.25">
      <c r="A341" t="s">
        <v>72</v>
      </c>
      <c r="B341" t="s">
        <v>5850</v>
      </c>
      <c r="C341" t="s">
        <v>74</v>
      </c>
      <c r="D341" t="s">
        <v>74</v>
      </c>
      <c r="E341" t="s">
        <v>74</v>
      </c>
      <c r="F341" t="s">
        <v>5851</v>
      </c>
      <c r="G341" t="s">
        <v>74</v>
      </c>
      <c r="H341" t="s">
        <v>74</v>
      </c>
      <c r="I341" t="s">
        <v>5852</v>
      </c>
      <c r="J341" t="s">
        <v>128</v>
      </c>
      <c r="K341" t="s">
        <v>74</v>
      </c>
      <c r="L341" t="s">
        <v>74</v>
      </c>
      <c r="M341" t="s">
        <v>78</v>
      </c>
      <c r="N341" t="s">
        <v>79</v>
      </c>
      <c r="O341" t="s">
        <v>74</v>
      </c>
      <c r="P341" t="s">
        <v>74</v>
      </c>
      <c r="Q341" t="s">
        <v>74</v>
      </c>
      <c r="R341" t="s">
        <v>74</v>
      </c>
      <c r="S341" t="s">
        <v>74</v>
      </c>
      <c r="T341" t="s">
        <v>5853</v>
      </c>
      <c r="U341" t="s">
        <v>5854</v>
      </c>
      <c r="V341" t="s">
        <v>5855</v>
      </c>
      <c r="W341" t="s">
        <v>5856</v>
      </c>
      <c r="X341" t="s">
        <v>5857</v>
      </c>
      <c r="Y341" t="s">
        <v>3132</v>
      </c>
      <c r="Z341" t="s">
        <v>5858</v>
      </c>
      <c r="AA341" t="s">
        <v>5859</v>
      </c>
      <c r="AB341" t="s">
        <v>74</v>
      </c>
      <c r="AC341" t="s">
        <v>5860</v>
      </c>
      <c r="AD341" t="s">
        <v>5861</v>
      </c>
      <c r="AE341" t="s">
        <v>5862</v>
      </c>
      <c r="AF341" t="s">
        <v>74</v>
      </c>
      <c r="AG341">
        <v>46</v>
      </c>
      <c r="AH341">
        <v>14</v>
      </c>
      <c r="AI341">
        <v>14</v>
      </c>
      <c r="AJ341">
        <v>13</v>
      </c>
      <c r="AK341">
        <v>50</v>
      </c>
      <c r="AL341" t="s">
        <v>138</v>
      </c>
      <c r="AM341" t="s">
        <v>139</v>
      </c>
      <c r="AN341" t="s">
        <v>140</v>
      </c>
      <c r="AO341" t="s">
        <v>141</v>
      </c>
      <c r="AP341" t="s">
        <v>142</v>
      </c>
      <c r="AQ341" t="s">
        <v>74</v>
      </c>
      <c r="AR341" t="s">
        <v>143</v>
      </c>
      <c r="AS341" t="s">
        <v>144</v>
      </c>
      <c r="AT341" t="s">
        <v>1076</v>
      </c>
      <c r="AU341">
        <v>2023</v>
      </c>
      <c r="AV341">
        <v>238</v>
      </c>
      <c r="AW341" t="s">
        <v>74</v>
      </c>
      <c r="AX341" t="s">
        <v>74</v>
      </c>
      <c r="AY341" t="s">
        <v>74</v>
      </c>
      <c r="AZ341" t="s">
        <v>74</v>
      </c>
      <c r="BA341" t="s">
        <v>74</v>
      </c>
      <c r="BB341" t="s">
        <v>74</v>
      </c>
      <c r="BC341" t="s">
        <v>74</v>
      </c>
      <c r="BD341">
        <v>109429</v>
      </c>
      <c r="BE341" t="s">
        <v>5863</v>
      </c>
      <c r="BF341" t="str">
        <f>HYPERLINK("http://dx.doi.org/10.1016/j.ress.2023.109429","http://dx.doi.org/10.1016/j.ress.2023.109429")</f>
        <v>http://dx.doi.org/10.1016/j.ress.2023.109429</v>
      </c>
      <c r="BG341" t="s">
        <v>74</v>
      </c>
      <c r="BH341" t="s">
        <v>1042</v>
      </c>
      <c r="BI341">
        <v>13</v>
      </c>
      <c r="BJ341" t="s">
        <v>148</v>
      </c>
      <c r="BK341" t="s">
        <v>149</v>
      </c>
      <c r="BL341" t="s">
        <v>150</v>
      </c>
      <c r="BM341" t="s">
        <v>5864</v>
      </c>
      <c r="BN341" t="s">
        <v>74</v>
      </c>
      <c r="BO341" t="s">
        <v>74</v>
      </c>
      <c r="BP341" t="s">
        <v>74</v>
      </c>
      <c r="BQ341" t="s">
        <v>74</v>
      </c>
      <c r="BR341" t="s">
        <v>104</v>
      </c>
      <c r="BS341" t="s">
        <v>5865</v>
      </c>
      <c r="BT341" t="str">
        <f>HYPERLINK("https%3A%2F%2Fwww.webofscience.com%2Fwos%2Fwoscc%2Ffull-record%2FWOS:001023179000001","View Full Record in Web of Science")</f>
        <v>View Full Record in Web of Science</v>
      </c>
    </row>
    <row r="342" spans="1:72" x14ac:dyDescent="0.25">
      <c r="A342" t="s">
        <v>72</v>
      </c>
      <c r="B342" t="s">
        <v>5866</v>
      </c>
      <c r="C342" t="s">
        <v>74</v>
      </c>
      <c r="D342" t="s">
        <v>74</v>
      </c>
      <c r="E342" t="s">
        <v>74</v>
      </c>
      <c r="F342" t="s">
        <v>5867</v>
      </c>
      <c r="G342" t="s">
        <v>74</v>
      </c>
      <c r="H342" t="s">
        <v>74</v>
      </c>
      <c r="I342" t="s">
        <v>5868</v>
      </c>
      <c r="J342" t="s">
        <v>1894</v>
      </c>
      <c r="K342" t="s">
        <v>74</v>
      </c>
      <c r="L342" t="s">
        <v>74</v>
      </c>
      <c r="M342" t="s">
        <v>78</v>
      </c>
      <c r="N342" t="s">
        <v>79</v>
      </c>
      <c r="O342" t="s">
        <v>74</v>
      </c>
      <c r="P342" t="s">
        <v>74</v>
      </c>
      <c r="Q342" t="s">
        <v>74</v>
      </c>
      <c r="R342" t="s">
        <v>74</v>
      </c>
      <c r="S342" t="s">
        <v>74</v>
      </c>
      <c r="T342" t="s">
        <v>5869</v>
      </c>
      <c r="U342" t="s">
        <v>5870</v>
      </c>
      <c r="V342" t="s">
        <v>5871</v>
      </c>
      <c r="W342" t="s">
        <v>5872</v>
      </c>
      <c r="X342" t="s">
        <v>2564</v>
      </c>
      <c r="Y342" t="s">
        <v>5873</v>
      </c>
      <c r="Z342" t="s">
        <v>3075</v>
      </c>
      <c r="AA342" t="s">
        <v>3076</v>
      </c>
      <c r="AB342" t="s">
        <v>5874</v>
      </c>
      <c r="AC342" t="s">
        <v>5875</v>
      </c>
      <c r="AD342" t="s">
        <v>482</v>
      </c>
      <c r="AE342" t="s">
        <v>5876</v>
      </c>
      <c r="AF342" t="s">
        <v>74</v>
      </c>
      <c r="AG342">
        <v>31</v>
      </c>
      <c r="AH342">
        <v>58</v>
      </c>
      <c r="AI342">
        <v>63</v>
      </c>
      <c r="AJ342">
        <v>2</v>
      </c>
      <c r="AK342">
        <v>60</v>
      </c>
      <c r="AL342" t="s">
        <v>138</v>
      </c>
      <c r="AM342" t="s">
        <v>246</v>
      </c>
      <c r="AN342" t="s">
        <v>247</v>
      </c>
      <c r="AO342" t="s">
        <v>1903</v>
      </c>
      <c r="AP342" t="s">
        <v>1904</v>
      </c>
      <c r="AQ342" t="s">
        <v>74</v>
      </c>
      <c r="AR342" t="s">
        <v>1905</v>
      </c>
      <c r="AS342" t="s">
        <v>1906</v>
      </c>
      <c r="AT342" t="s">
        <v>248</v>
      </c>
      <c r="AU342">
        <v>2019</v>
      </c>
      <c r="AV342">
        <v>52</v>
      </c>
      <c r="AW342" t="s">
        <v>74</v>
      </c>
      <c r="AX342" t="s">
        <v>1907</v>
      </c>
      <c r="AY342" t="s">
        <v>74</v>
      </c>
      <c r="AZ342" t="s">
        <v>74</v>
      </c>
      <c r="BA342" t="s">
        <v>74</v>
      </c>
      <c r="BB342">
        <v>76</v>
      </c>
      <c r="BC342">
        <v>85</v>
      </c>
      <c r="BD342" t="s">
        <v>74</v>
      </c>
      <c r="BE342" t="s">
        <v>5877</v>
      </c>
      <c r="BF342" t="str">
        <f>HYPERLINK("http://dx.doi.org/10.1016/j.jmsy.2019.04.003","http://dx.doi.org/10.1016/j.jmsy.2019.04.003")</f>
        <v>http://dx.doi.org/10.1016/j.jmsy.2019.04.003</v>
      </c>
      <c r="BG342" t="s">
        <v>74</v>
      </c>
      <c r="BH342" t="s">
        <v>74</v>
      </c>
      <c r="BI342">
        <v>10</v>
      </c>
      <c r="BJ342" t="s">
        <v>321</v>
      </c>
      <c r="BK342" t="s">
        <v>149</v>
      </c>
      <c r="BL342" t="s">
        <v>150</v>
      </c>
      <c r="BM342" t="s">
        <v>1909</v>
      </c>
      <c r="BN342" t="s">
        <v>74</v>
      </c>
      <c r="BO342" t="s">
        <v>74</v>
      </c>
      <c r="BP342" t="s">
        <v>74</v>
      </c>
      <c r="BQ342" t="s">
        <v>74</v>
      </c>
      <c r="BR342" t="s">
        <v>104</v>
      </c>
      <c r="BS342" t="s">
        <v>5878</v>
      </c>
      <c r="BT342" t="str">
        <f>HYPERLINK("https%3A%2F%2Fwww.webofscience.com%2Fwos%2Fwoscc%2Ffull-record%2FWOS:000488660800008","View Full Record in Web of Science")</f>
        <v>View Full Record in Web of Science</v>
      </c>
    </row>
    <row r="343" spans="1:72" x14ac:dyDescent="0.25">
      <c r="A343" t="s">
        <v>72</v>
      </c>
      <c r="B343" t="s">
        <v>4101</v>
      </c>
      <c r="C343" t="s">
        <v>74</v>
      </c>
      <c r="D343" t="s">
        <v>74</v>
      </c>
      <c r="E343" t="s">
        <v>74</v>
      </c>
      <c r="F343" t="s">
        <v>4102</v>
      </c>
      <c r="G343" t="s">
        <v>74</v>
      </c>
      <c r="H343" t="s">
        <v>74</v>
      </c>
      <c r="I343" t="s">
        <v>5879</v>
      </c>
      <c r="J343" t="s">
        <v>697</v>
      </c>
      <c r="K343" t="s">
        <v>74</v>
      </c>
      <c r="L343" t="s">
        <v>74</v>
      </c>
      <c r="M343" t="s">
        <v>78</v>
      </c>
      <c r="N343" t="s">
        <v>79</v>
      </c>
      <c r="O343" t="s">
        <v>74</v>
      </c>
      <c r="P343" t="s">
        <v>74</v>
      </c>
      <c r="Q343" t="s">
        <v>74</v>
      </c>
      <c r="R343" t="s">
        <v>74</v>
      </c>
      <c r="S343" t="s">
        <v>74</v>
      </c>
      <c r="T343" t="s">
        <v>5880</v>
      </c>
      <c r="U343" t="s">
        <v>5881</v>
      </c>
      <c r="V343" t="s">
        <v>5882</v>
      </c>
      <c r="W343" t="s">
        <v>5883</v>
      </c>
      <c r="X343" t="s">
        <v>4108</v>
      </c>
      <c r="Y343" t="s">
        <v>3251</v>
      </c>
      <c r="Z343" t="s">
        <v>4109</v>
      </c>
      <c r="AA343" t="s">
        <v>74</v>
      </c>
      <c r="AB343" t="s">
        <v>74</v>
      </c>
      <c r="AC343" t="s">
        <v>5884</v>
      </c>
      <c r="AD343" t="s">
        <v>5885</v>
      </c>
      <c r="AE343" t="s">
        <v>5886</v>
      </c>
      <c r="AF343" t="s">
        <v>74</v>
      </c>
      <c r="AG343">
        <v>40</v>
      </c>
      <c r="AH343">
        <v>31</v>
      </c>
      <c r="AI343">
        <v>32</v>
      </c>
      <c r="AJ343">
        <v>2</v>
      </c>
      <c r="AK343">
        <v>55</v>
      </c>
      <c r="AL343" t="s">
        <v>707</v>
      </c>
      <c r="AM343" t="s">
        <v>246</v>
      </c>
      <c r="AN343" t="s">
        <v>708</v>
      </c>
      <c r="AO343" t="s">
        <v>709</v>
      </c>
      <c r="AP343" t="s">
        <v>710</v>
      </c>
      <c r="AQ343" t="s">
        <v>74</v>
      </c>
      <c r="AR343" t="s">
        <v>711</v>
      </c>
      <c r="AS343" t="s">
        <v>712</v>
      </c>
      <c r="AT343" t="s">
        <v>1867</v>
      </c>
      <c r="AU343">
        <v>2020</v>
      </c>
      <c r="AV343">
        <v>142</v>
      </c>
      <c r="AW343" t="s">
        <v>74</v>
      </c>
      <c r="AX343" t="s">
        <v>74</v>
      </c>
      <c r="AY343" t="s">
        <v>74</v>
      </c>
      <c r="AZ343" t="s">
        <v>74</v>
      </c>
      <c r="BA343" t="s">
        <v>74</v>
      </c>
      <c r="BB343" t="s">
        <v>74</v>
      </c>
      <c r="BC343" t="s">
        <v>74</v>
      </c>
      <c r="BD343">
        <v>106291</v>
      </c>
      <c r="BE343" t="s">
        <v>5887</v>
      </c>
      <c r="BF343" t="str">
        <f>HYPERLINK("http://dx.doi.org/10.1016/j.cie.2020.106291","http://dx.doi.org/10.1016/j.cie.2020.106291")</f>
        <v>http://dx.doi.org/10.1016/j.cie.2020.106291</v>
      </c>
      <c r="BG343" t="s">
        <v>74</v>
      </c>
      <c r="BH343" t="s">
        <v>74</v>
      </c>
      <c r="BI343">
        <v>10</v>
      </c>
      <c r="BJ343" t="s">
        <v>715</v>
      </c>
      <c r="BK343" t="s">
        <v>149</v>
      </c>
      <c r="BL343" t="s">
        <v>716</v>
      </c>
      <c r="BM343" t="s">
        <v>5662</v>
      </c>
      <c r="BN343" t="s">
        <v>74</v>
      </c>
      <c r="BO343" t="s">
        <v>74</v>
      </c>
      <c r="BP343" t="s">
        <v>74</v>
      </c>
      <c r="BQ343" t="s">
        <v>74</v>
      </c>
      <c r="BR343" t="s">
        <v>104</v>
      </c>
      <c r="BS343" t="s">
        <v>5888</v>
      </c>
      <c r="BT343" t="str">
        <f>HYPERLINK("https%3A%2F%2Fwww.webofscience.com%2Fwos%2Fwoscc%2Ffull-record%2FWOS:000525375800004","View Full Record in Web of Science")</f>
        <v>View Full Record in Web of Science</v>
      </c>
    </row>
    <row r="344" spans="1:72" x14ac:dyDescent="0.25">
      <c r="A344" t="s">
        <v>72</v>
      </c>
      <c r="B344" t="s">
        <v>5889</v>
      </c>
      <c r="C344" t="s">
        <v>74</v>
      </c>
      <c r="D344" t="s">
        <v>74</v>
      </c>
      <c r="E344" t="s">
        <v>74</v>
      </c>
      <c r="F344" t="s">
        <v>5890</v>
      </c>
      <c r="G344" t="s">
        <v>74</v>
      </c>
      <c r="H344" t="s">
        <v>74</v>
      </c>
      <c r="I344" t="s">
        <v>5891</v>
      </c>
      <c r="J344" t="s">
        <v>697</v>
      </c>
      <c r="K344" t="s">
        <v>74</v>
      </c>
      <c r="L344" t="s">
        <v>74</v>
      </c>
      <c r="M344" t="s">
        <v>78</v>
      </c>
      <c r="N344" t="s">
        <v>79</v>
      </c>
      <c r="O344" t="s">
        <v>74</v>
      </c>
      <c r="P344" t="s">
        <v>74</v>
      </c>
      <c r="Q344" t="s">
        <v>74</v>
      </c>
      <c r="R344" t="s">
        <v>74</v>
      </c>
      <c r="S344" t="s">
        <v>74</v>
      </c>
      <c r="T344" t="s">
        <v>5892</v>
      </c>
      <c r="U344" t="s">
        <v>5893</v>
      </c>
      <c r="V344" t="s">
        <v>5894</v>
      </c>
      <c r="W344" t="s">
        <v>5895</v>
      </c>
      <c r="X344" t="s">
        <v>5896</v>
      </c>
      <c r="Y344" t="s">
        <v>5897</v>
      </c>
      <c r="Z344" t="s">
        <v>5898</v>
      </c>
      <c r="AA344" t="s">
        <v>74</v>
      </c>
      <c r="AB344" t="s">
        <v>74</v>
      </c>
      <c r="AC344" t="s">
        <v>5899</v>
      </c>
      <c r="AD344" t="s">
        <v>5900</v>
      </c>
      <c r="AE344" t="s">
        <v>5901</v>
      </c>
      <c r="AF344" t="s">
        <v>74</v>
      </c>
      <c r="AG344">
        <v>62</v>
      </c>
      <c r="AH344">
        <v>7</v>
      </c>
      <c r="AI344">
        <v>7</v>
      </c>
      <c r="AJ344">
        <v>14</v>
      </c>
      <c r="AK344">
        <v>28</v>
      </c>
      <c r="AL344" t="s">
        <v>707</v>
      </c>
      <c r="AM344" t="s">
        <v>246</v>
      </c>
      <c r="AN344" t="s">
        <v>708</v>
      </c>
      <c r="AO344" t="s">
        <v>709</v>
      </c>
      <c r="AP344" t="s">
        <v>710</v>
      </c>
      <c r="AQ344" t="s">
        <v>74</v>
      </c>
      <c r="AR344" t="s">
        <v>711</v>
      </c>
      <c r="AS344" t="s">
        <v>712</v>
      </c>
      <c r="AT344" t="s">
        <v>533</v>
      </c>
      <c r="AU344">
        <v>2024</v>
      </c>
      <c r="AV344">
        <v>188</v>
      </c>
      <c r="AW344" t="s">
        <v>74</v>
      </c>
      <c r="AX344" t="s">
        <v>74</v>
      </c>
      <c r="AY344" t="s">
        <v>74</v>
      </c>
      <c r="AZ344" t="s">
        <v>74</v>
      </c>
      <c r="BA344" t="s">
        <v>74</v>
      </c>
      <c r="BB344" t="s">
        <v>74</v>
      </c>
      <c r="BC344" t="s">
        <v>74</v>
      </c>
      <c r="BD344">
        <v>109856</v>
      </c>
      <c r="BE344" t="s">
        <v>5902</v>
      </c>
      <c r="BF344" t="str">
        <f>HYPERLINK("http://dx.doi.org/10.1016/j.cie.2023.109856","http://dx.doi.org/10.1016/j.cie.2023.109856")</f>
        <v>http://dx.doi.org/10.1016/j.cie.2023.109856</v>
      </c>
      <c r="BG344" t="s">
        <v>74</v>
      </c>
      <c r="BH344" t="s">
        <v>449</v>
      </c>
      <c r="BI344">
        <v>14</v>
      </c>
      <c r="BJ344" t="s">
        <v>715</v>
      </c>
      <c r="BK344" t="s">
        <v>149</v>
      </c>
      <c r="BL344" t="s">
        <v>716</v>
      </c>
      <c r="BM344" t="s">
        <v>5903</v>
      </c>
      <c r="BN344" t="s">
        <v>74</v>
      </c>
      <c r="BO344" t="s">
        <v>74</v>
      </c>
      <c r="BP344" t="s">
        <v>74</v>
      </c>
      <c r="BQ344" t="s">
        <v>74</v>
      </c>
      <c r="BR344" t="s">
        <v>104</v>
      </c>
      <c r="BS344" t="s">
        <v>5904</v>
      </c>
      <c r="BT344" t="str">
        <f>HYPERLINK("https%3A%2F%2Fwww.webofscience.com%2Fwos%2Fwoscc%2Ffull-record%2FWOS:001164856400001","View Full Record in Web of Science")</f>
        <v>View Full Record in Web of Science</v>
      </c>
    </row>
    <row r="345" spans="1:72" x14ac:dyDescent="0.25">
      <c r="A345" t="s">
        <v>72</v>
      </c>
      <c r="B345" t="s">
        <v>5905</v>
      </c>
      <c r="C345" t="s">
        <v>74</v>
      </c>
      <c r="D345" t="s">
        <v>74</v>
      </c>
      <c r="E345" t="s">
        <v>74</v>
      </c>
      <c r="F345" t="s">
        <v>5906</v>
      </c>
      <c r="G345" t="s">
        <v>74</v>
      </c>
      <c r="H345" t="s">
        <v>74</v>
      </c>
      <c r="I345" t="s">
        <v>5907</v>
      </c>
      <c r="J345" t="s">
        <v>128</v>
      </c>
      <c r="K345" t="s">
        <v>74</v>
      </c>
      <c r="L345" t="s">
        <v>74</v>
      </c>
      <c r="M345" t="s">
        <v>78</v>
      </c>
      <c r="N345" t="s">
        <v>79</v>
      </c>
      <c r="O345" t="s">
        <v>74</v>
      </c>
      <c r="P345" t="s">
        <v>74</v>
      </c>
      <c r="Q345" t="s">
        <v>74</v>
      </c>
      <c r="R345" t="s">
        <v>74</v>
      </c>
      <c r="S345" t="s">
        <v>74</v>
      </c>
      <c r="T345" t="s">
        <v>5908</v>
      </c>
      <c r="U345" t="s">
        <v>5909</v>
      </c>
      <c r="V345" t="s">
        <v>5910</v>
      </c>
      <c r="W345" t="s">
        <v>5911</v>
      </c>
      <c r="X345" t="s">
        <v>5912</v>
      </c>
      <c r="Y345" t="s">
        <v>5913</v>
      </c>
      <c r="Z345" t="s">
        <v>5914</v>
      </c>
      <c r="AA345" t="s">
        <v>74</v>
      </c>
      <c r="AB345" t="s">
        <v>5915</v>
      </c>
      <c r="AC345" t="s">
        <v>5916</v>
      </c>
      <c r="AD345" t="s">
        <v>4844</v>
      </c>
      <c r="AE345" t="s">
        <v>5917</v>
      </c>
      <c r="AF345" t="s">
        <v>74</v>
      </c>
      <c r="AG345">
        <v>42</v>
      </c>
      <c r="AH345">
        <v>0</v>
      </c>
      <c r="AI345">
        <v>0</v>
      </c>
      <c r="AJ345">
        <v>7</v>
      </c>
      <c r="AK345">
        <v>7</v>
      </c>
      <c r="AL345" t="s">
        <v>138</v>
      </c>
      <c r="AM345" t="s">
        <v>139</v>
      </c>
      <c r="AN345" t="s">
        <v>140</v>
      </c>
      <c r="AO345" t="s">
        <v>141</v>
      </c>
      <c r="AP345" t="s">
        <v>142</v>
      </c>
      <c r="AQ345" t="s">
        <v>74</v>
      </c>
      <c r="AR345" t="s">
        <v>143</v>
      </c>
      <c r="AS345" t="s">
        <v>144</v>
      </c>
      <c r="AT345" t="s">
        <v>145</v>
      </c>
      <c r="AU345">
        <v>2024</v>
      </c>
      <c r="AV345">
        <v>252</v>
      </c>
      <c r="AW345" t="s">
        <v>74</v>
      </c>
      <c r="AX345" t="s">
        <v>74</v>
      </c>
      <c r="AY345" t="s">
        <v>74</v>
      </c>
      <c r="AZ345" t="s">
        <v>74</v>
      </c>
      <c r="BA345" t="s">
        <v>74</v>
      </c>
      <c r="BB345" t="s">
        <v>74</v>
      </c>
      <c r="BC345" t="s">
        <v>74</v>
      </c>
      <c r="BD345">
        <v>110478</v>
      </c>
      <c r="BE345" t="s">
        <v>5918</v>
      </c>
      <c r="BF345" t="str">
        <f>HYPERLINK("http://dx.doi.org/10.1016/j.ress.2024.110478","http://dx.doi.org/10.1016/j.ress.2024.110478")</f>
        <v>http://dx.doi.org/10.1016/j.ress.2024.110478</v>
      </c>
      <c r="BG345" t="s">
        <v>74</v>
      </c>
      <c r="BH345" t="s">
        <v>516</v>
      </c>
      <c r="BI345">
        <v>17</v>
      </c>
      <c r="BJ345" t="s">
        <v>148</v>
      </c>
      <c r="BK345" t="s">
        <v>149</v>
      </c>
      <c r="BL345" t="s">
        <v>150</v>
      </c>
      <c r="BM345" t="s">
        <v>5919</v>
      </c>
      <c r="BN345" t="s">
        <v>74</v>
      </c>
      <c r="BO345" t="s">
        <v>123</v>
      </c>
      <c r="BP345" t="s">
        <v>74</v>
      </c>
      <c r="BQ345" t="s">
        <v>74</v>
      </c>
      <c r="BR345" t="s">
        <v>104</v>
      </c>
      <c r="BS345" t="s">
        <v>5920</v>
      </c>
      <c r="BT345" t="str">
        <f>HYPERLINK("https%3A%2F%2Fwww.webofscience.com%2Fwos%2Fwoscc%2Ffull-record%2FWOS:001306974300001","View Full Record in Web of Science")</f>
        <v>View Full Record in Web of Science</v>
      </c>
    </row>
    <row r="346" spans="1:72" x14ac:dyDescent="0.25">
      <c r="A346" t="s">
        <v>72</v>
      </c>
      <c r="B346" t="s">
        <v>5921</v>
      </c>
      <c r="C346" t="s">
        <v>74</v>
      </c>
      <c r="D346" t="s">
        <v>74</v>
      </c>
      <c r="E346" t="s">
        <v>74</v>
      </c>
      <c r="F346" t="s">
        <v>5922</v>
      </c>
      <c r="G346" t="s">
        <v>74</v>
      </c>
      <c r="H346" t="s">
        <v>74</v>
      </c>
      <c r="I346" t="s">
        <v>5923</v>
      </c>
      <c r="J346" t="s">
        <v>128</v>
      </c>
      <c r="K346" t="s">
        <v>74</v>
      </c>
      <c r="L346" t="s">
        <v>74</v>
      </c>
      <c r="M346" t="s">
        <v>78</v>
      </c>
      <c r="N346" t="s">
        <v>79</v>
      </c>
      <c r="O346" t="s">
        <v>74</v>
      </c>
      <c r="P346" t="s">
        <v>74</v>
      </c>
      <c r="Q346" t="s">
        <v>74</v>
      </c>
      <c r="R346" t="s">
        <v>74</v>
      </c>
      <c r="S346" t="s">
        <v>74</v>
      </c>
      <c r="T346" t="s">
        <v>5924</v>
      </c>
      <c r="U346" t="s">
        <v>5925</v>
      </c>
      <c r="V346" t="s">
        <v>5926</v>
      </c>
      <c r="W346" t="s">
        <v>5927</v>
      </c>
      <c r="X346" t="s">
        <v>5928</v>
      </c>
      <c r="Y346" t="s">
        <v>5929</v>
      </c>
      <c r="Z346" t="s">
        <v>5930</v>
      </c>
      <c r="AA346" t="s">
        <v>1965</v>
      </c>
      <c r="AB346" t="s">
        <v>3284</v>
      </c>
      <c r="AC346" t="s">
        <v>5931</v>
      </c>
      <c r="AD346" t="s">
        <v>4635</v>
      </c>
      <c r="AE346" t="s">
        <v>5932</v>
      </c>
      <c r="AF346" t="s">
        <v>74</v>
      </c>
      <c r="AG346">
        <v>40</v>
      </c>
      <c r="AH346">
        <v>17</v>
      </c>
      <c r="AI346">
        <v>18</v>
      </c>
      <c r="AJ346">
        <v>3</v>
      </c>
      <c r="AK346">
        <v>26</v>
      </c>
      <c r="AL346" t="s">
        <v>138</v>
      </c>
      <c r="AM346" t="s">
        <v>246</v>
      </c>
      <c r="AN346" t="s">
        <v>247</v>
      </c>
      <c r="AO346" t="s">
        <v>141</v>
      </c>
      <c r="AP346" t="s">
        <v>142</v>
      </c>
      <c r="AQ346" t="s">
        <v>74</v>
      </c>
      <c r="AR346" t="s">
        <v>143</v>
      </c>
      <c r="AS346" t="s">
        <v>144</v>
      </c>
      <c r="AT346" t="s">
        <v>145</v>
      </c>
      <c r="AU346">
        <v>2020</v>
      </c>
      <c r="AV346">
        <v>204</v>
      </c>
      <c r="AW346" t="s">
        <v>74</v>
      </c>
      <c r="AX346" t="s">
        <v>74</v>
      </c>
      <c r="AY346" t="s">
        <v>74</v>
      </c>
      <c r="AZ346" t="s">
        <v>74</v>
      </c>
      <c r="BA346" t="s">
        <v>74</v>
      </c>
      <c r="BB346" t="s">
        <v>74</v>
      </c>
      <c r="BC346" t="s">
        <v>74</v>
      </c>
      <c r="BD346">
        <v>107137</v>
      </c>
      <c r="BE346" t="s">
        <v>5933</v>
      </c>
      <c r="BF346" t="str">
        <f>HYPERLINK("http://dx.doi.org/10.1016/j.ress.2020.107137","http://dx.doi.org/10.1016/j.ress.2020.107137")</f>
        <v>http://dx.doi.org/10.1016/j.ress.2020.107137</v>
      </c>
      <c r="BG346" t="s">
        <v>74</v>
      </c>
      <c r="BH346" t="s">
        <v>74</v>
      </c>
      <c r="BI346">
        <v>12</v>
      </c>
      <c r="BJ346" t="s">
        <v>148</v>
      </c>
      <c r="BK346" t="s">
        <v>149</v>
      </c>
      <c r="BL346" t="s">
        <v>150</v>
      </c>
      <c r="BM346" t="s">
        <v>4651</v>
      </c>
      <c r="BN346" t="s">
        <v>74</v>
      </c>
      <c r="BO346" t="s">
        <v>74</v>
      </c>
      <c r="BP346" t="s">
        <v>74</v>
      </c>
      <c r="BQ346" t="s">
        <v>74</v>
      </c>
      <c r="BR346" t="s">
        <v>104</v>
      </c>
      <c r="BS346" t="s">
        <v>5934</v>
      </c>
      <c r="BT346" t="str">
        <f>HYPERLINK("https%3A%2F%2Fwww.webofscience.com%2Fwos%2Fwoscc%2Ffull-record%2FWOS:000583913400025","View Full Record in Web of Science")</f>
        <v>View Full Record in Web of Science</v>
      </c>
    </row>
    <row r="347" spans="1:72" x14ac:dyDescent="0.25">
      <c r="A347" t="s">
        <v>72</v>
      </c>
      <c r="B347" t="s">
        <v>5935</v>
      </c>
      <c r="C347" t="s">
        <v>74</v>
      </c>
      <c r="D347" t="s">
        <v>74</v>
      </c>
      <c r="E347" t="s">
        <v>74</v>
      </c>
      <c r="F347" t="s">
        <v>5936</v>
      </c>
      <c r="G347" t="s">
        <v>74</v>
      </c>
      <c r="H347" t="s">
        <v>74</v>
      </c>
      <c r="I347" t="s">
        <v>5937</v>
      </c>
      <c r="J347" t="s">
        <v>128</v>
      </c>
      <c r="K347" t="s">
        <v>74</v>
      </c>
      <c r="L347" t="s">
        <v>74</v>
      </c>
      <c r="M347" t="s">
        <v>78</v>
      </c>
      <c r="N347" t="s">
        <v>79</v>
      </c>
      <c r="O347" t="s">
        <v>74</v>
      </c>
      <c r="P347" t="s">
        <v>74</v>
      </c>
      <c r="Q347" t="s">
        <v>74</v>
      </c>
      <c r="R347" t="s">
        <v>74</v>
      </c>
      <c r="S347" t="s">
        <v>74</v>
      </c>
      <c r="T347" t="s">
        <v>5938</v>
      </c>
      <c r="U347" t="s">
        <v>5939</v>
      </c>
      <c r="V347" t="s">
        <v>5940</v>
      </c>
      <c r="W347" t="s">
        <v>5941</v>
      </c>
      <c r="X347" t="s">
        <v>3361</v>
      </c>
      <c r="Y347" t="s">
        <v>5942</v>
      </c>
      <c r="Z347" t="s">
        <v>5943</v>
      </c>
      <c r="AA347" t="s">
        <v>5944</v>
      </c>
      <c r="AB347" t="s">
        <v>1299</v>
      </c>
      <c r="AC347" t="s">
        <v>5945</v>
      </c>
      <c r="AD347" t="s">
        <v>5498</v>
      </c>
      <c r="AE347" t="s">
        <v>5946</v>
      </c>
      <c r="AF347" t="s">
        <v>74</v>
      </c>
      <c r="AG347">
        <v>38</v>
      </c>
      <c r="AH347">
        <v>9</v>
      </c>
      <c r="AI347">
        <v>9</v>
      </c>
      <c r="AJ347">
        <v>16</v>
      </c>
      <c r="AK347">
        <v>54</v>
      </c>
      <c r="AL347" t="s">
        <v>138</v>
      </c>
      <c r="AM347" t="s">
        <v>139</v>
      </c>
      <c r="AN347" t="s">
        <v>140</v>
      </c>
      <c r="AO347" t="s">
        <v>141</v>
      </c>
      <c r="AP347" t="s">
        <v>142</v>
      </c>
      <c r="AQ347" t="s">
        <v>74</v>
      </c>
      <c r="AR347" t="s">
        <v>143</v>
      </c>
      <c r="AS347" t="s">
        <v>144</v>
      </c>
      <c r="AT347" t="s">
        <v>145</v>
      </c>
      <c r="AU347">
        <v>2023</v>
      </c>
      <c r="AV347">
        <v>240</v>
      </c>
      <c r="AW347" t="s">
        <v>74</v>
      </c>
      <c r="AX347" t="s">
        <v>74</v>
      </c>
      <c r="AY347" t="s">
        <v>74</v>
      </c>
      <c r="AZ347" t="s">
        <v>74</v>
      </c>
      <c r="BA347" t="s">
        <v>74</v>
      </c>
      <c r="BB347" t="s">
        <v>74</v>
      </c>
      <c r="BC347" t="s">
        <v>74</v>
      </c>
      <c r="BD347">
        <v>109586</v>
      </c>
      <c r="BE347" t="s">
        <v>5947</v>
      </c>
      <c r="BF347" t="str">
        <f>HYPERLINK("http://dx.doi.org/10.1016/j.ress.2023.109586","http://dx.doi.org/10.1016/j.ress.2023.109586")</f>
        <v>http://dx.doi.org/10.1016/j.ress.2023.109586</v>
      </c>
      <c r="BG347" t="s">
        <v>74</v>
      </c>
      <c r="BH347" t="s">
        <v>1488</v>
      </c>
      <c r="BI347">
        <v>16</v>
      </c>
      <c r="BJ347" t="s">
        <v>148</v>
      </c>
      <c r="BK347" t="s">
        <v>149</v>
      </c>
      <c r="BL347" t="s">
        <v>150</v>
      </c>
      <c r="BM347" t="s">
        <v>5948</v>
      </c>
      <c r="BN347" t="s">
        <v>74</v>
      </c>
      <c r="BO347" t="s">
        <v>74</v>
      </c>
      <c r="BP347" t="s">
        <v>74</v>
      </c>
      <c r="BQ347" t="s">
        <v>74</v>
      </c>
      <c r="BR347" t="s">
        <v>104</v>
      </c>
      <c r="BS347" t="s">
        <v>5949</v>
      </c>
      <c r="BT347" t="str">
        <f>HYPERLINK("https%3A%2F%2Fwww.webofscience.com%2Fwos%2Fwoscc%2Ffull-record%2FWOS:001069654900001","View Full Record in Web of Science")</f>
        <v>View Full Record in Web of Science</v>
      </c>
    </row>
    <row r="348" spans="1:72" x14ac:dyDescent="0.25">
      <c r="A348" t="s">
        <v>72</v>
      </c>
      <c r="B348" t="s">
        <v>5950</v>
      </c>
      <c r="C348" t="s">
        <v>74</v>
      </c>
      <c r="D348" t="s">
        <v>74</v>
      </c>
      <c r="E348" t="s">
        <v>74</v>
      </c>
      <c r="F348" t="s">
        <v>5951</v>
      </c>
      <c r="G348" t="s">
        <v>74</v>
      </c>
      <c r="H348" t="s">
        <v>74</v>
      </c>
      <c r="I348" t="s">
        <v>5952</v>
      </c>
      <c r="J348" t="s">
        <v>2408</v>
      </c>
      <c r="K348" t="s">
        <v>74</v>
      </c>
      <c r="L348" t="s">
        <v>74</v>
      </c>
      <c r="M348" t="s">
        <v>78</v>
      </c>
      <c r="N348" t="s">
        <v>79</v>
      </c>
      <c r="O348" t="s">
        <v>74</v>
      </c>
      <c r="P348" t="s">
        <v>74</v>
      </c>
      <c r="Q348" t="s">
        <v>74</v>
      </c>
      <c r="R348" t="s">
        <v>74</v>
      </c>
      <c r="S348" t="s">
        <v>74</v>
      </c>
      <c r="T348" t="s">
        <v>5953</v>
      </c>
      <c r="U348" t="s">
        <v>5954</v>
      </c>
      <c r="V348" t="s">
        <v>5955</v>
      </c>
      <c r="W348" t="s">
        <v>5956</v>
      </c>
      <c r="X348" t="s">
        <v>5957</v>
      </c>
      <c r="Y348" t="s">
        <v>5958</v>
      </c>
      <c r="Z348" t="s">
        <v>5959</v>
      </c>
      <c r="AA348" t="s">
        <v>5960</v>
      </c>
      <c r="AB348" t="s">
        <v>5961</v>
      </c>
      <c r="AC348" t="s">
        <v>5962</v>
      </c>
      <c r="AD348" t="s">
        <v>5962</v>
      </c>
      <c r="AE348" t="s">
        <v>5963</v>
      </c>
      <c r="AF348" t="s">
        <v>74</v>
      </c>
      <c r="AG348">
        <v>56</v>
      </c>
      <c r="AH348">
        <v>38</v>
      </c>
      <c r="AI348">
        <v>38</v>
      </c>
      <c r="AJ348">
        <v>7</v>
      </c>
      <c r="AK348">
        <v>78</v>
      </c>
      <c r="AL348" t="s">
        <v>2421</v>
      </c>
      <c r="AM348" t="s">
        <v>2422</v>
      </c>
      <c r="AN348" t="s">
        <v>2423</v>
      </c>
      <c r="AO348" t="s">
        <v>2424</v>
      </c>
      <c r="AP348" t="s">
        <v>2425</v>
      </c>
      <c r="AQ348" t="s">
        <v>74</v>
      </c>
      <c r="AR348" t="s">
        <v>2426</v>
      </c>
      <c r="AS348" t="s">
        <v>2427</v>
      </c>
      <c r="AT348" t="s">
        <v>145</v>
      </c>
      <c r="AU348">
        <v>2019</v>
      </c>
      <c r="AV348">
        <v>30</v>
      </c>
      <c r="AW348">
        <v>8</v>
      </c>
      <c r="AX348" t="s">
        <v>74</v>
      </c>
      <c r="AY348" t="s">
        <v>74</v>
      </c>
      <c r="AZ348" t="s">
        <v>560</v>
      </c>
      <c r="BA348" t="s">
        <v>74</v>
      </c>
      <c r="BB348">
        <v>2981</v>
      </c>
      <c r="BC348">
        <v>2997</v>
      </c>
      <c r="BD348" t="s">
        <v>74</v>
      </c>
      <c r="BE348" t="s">
        <v>5964</v>
      </c>
      <c r="BF348" t="str">
        <f>HYPERLINK("http://dx.doi.org/10.1007/s10845-015-1171-0","http://dx.doi.org/10.1007/s10845-015-1171-0")</f>
        <v>http://dx.doi.org/10.1007/s10845-015-1171-0</v>
      </c>
      <c r="BG348" t="s">
        <v>74</v>
      </c>
      <c r="BH348" t="s">
        <v>74</v>
      </c>
      <c r="BI348">
        <v>17</v>
      </c>
      <c r="BJ348" t="s">
        <v>2429</v>
      </c>
      <c r="BK348" t="s">
        <v>149</v>
      </c>
      <c r="BL348" t="s">
        <v>716</v>
      </c>
      <c r="BM348" t="s">
        <v>5965</v>
      </c>
      <c r="BN348" t="s">
        <v>74</v>
      </c>
      <c r="BO348" t="s">
        <v>74</v>
      </c>
      <c r="BP348" t="s">
        <v>74</v>
      </c>
      <c r="BQ348" t="s">
        <v>74</v>
      </c>
      <c r="BR348" t="s">
        <v>104</v>
      </c>
      <c r="BS348" t="s">
        <v>5966</v>
      </c>
      <c r="BT348" t="str">
        <f>HYPERLINK("https%3A%2F%2Fwww.webofscience.com%2Fwos%2Fwoscc%2Ffull-record%2FWOS:000496662600012","View Full Record in Web of Science")</f>
        <v>View Full Record in Web of Science</v>
      </c>
    </row>
    <row r="349" spans="1:72" x14ac:dyDescent="0.25">
      <c r="A349" t="s">
        <v>72</v>
      </c>
      <c r="B349" t="s">
        <v>5967</v>
      </c>
      <c r="C349" t="s">
        <v>74</v>
      </c>
      <c r="D349" t="s">
        <v>74</v>
      </c>
      <c r="E349" t="s">
        <v>74</v>
      </c>
      <c r="F349" t="s">
        <v>5968</v>
      </c>
      <c r="G349" t="s">
        <v>74</v>
      </c>
      <c r="H349" t="s">
        <v>74</v>
      </c>
      <c r="I349" t="s">
        <v>5969</v>
      </c>
      <c r="J349" t="s">
        <v>128</v>
      </c>
      <c r="K349" t="s">
        <v>74</v>
      </c>
      <c r="L349" t="s">
        <v>74</v>
      </c>
      <c r="M349" t="s">
        <v>78</v>
      </c>
      <c r="N349" t="s">
        <v>79</v>
      </c>
      <c r="O349" t="s">
        <v>74</v>
      </c>
      <c r="P349" t="s">
        <v>74</v>
      </c>
      <c r="Q349" t="s">
        <v>74</v>
      </c>
      <c r="R349" t="s">
        <v>74</v>
      </c>
      <c r="S349" t="s">
        <v>74</v>
      </c>
      <c r="T349" t="s">
        <v>5970</v>
      </c>
      <c r="U349" t="s">
        <v>74</v>
      </c>
      <c r="V349" t="s">
        <v>5971</v>
      </c>
      <c r="W349" t="s">
        <v>5972</v>
      </c>
      <c r="X349" t="s">
        <v>5973</v>
      </c>
      <c r="Y349" t="s">
        <v>5736</v>
      </c>
      <c r="Z349" t="s">
        <v>5737</v>
      </c>
      <c r="AA349" t="s">
        <v>5738</v>
      </c>
      <c r="AB349" t="s">
        <v>5974</v>
      </c>
      <c r="AC349" t="s">
        <v>5740</v>
      </c>
      <c r="AD349" t="s">
        <v>5741</v>
      </c>
      <c r="AE349" t="s">
        <v>5975</v>
      </c>
      <c r="AF349" t="s">
        <v>74</v>
      </c>
      <c r="AG349">
        <v>24</v>
      </c>
      <c r="AH349">
        <v>3</v>
      </c>
      <c r="AI349">
        <v>3</v>
      </c>
      <c r="AJ349">
        <v>3</v>
      </c>
      <c r="AK349">
        <v>3</v>
      </c>
      <c r="AL349" t="s">
        <v>138</v>
      </c>
      <c r="AM349" t="s">
        <v>139</v>
      </c>
      <c r="AN349" t="s">
        <v>140</v>
      </c>
      <c r="AO349" t="s">
        <v>141</v>
      </c>
      <c r="AP349" t="s">
        <v>142</v>
      </c>
      <c r="AQ349" t="s">
        <v>74</v>
      </c>
      <c r="AR349" t="s">
        <v>143</v>
      </c>
      <c r="AS349" t="s">
        <v>144</v>
      </c>
      <c r="AT349" t="s">
        <v>275</v>
      </c>
      <c r="AU349">
        <v>2024</v>
      </c>
      <c r="AV349">
        <v>243</v>
      </c>
      <c r="AW349" t="s">
        <v>74</v>
      </c>
      <c r="AX349" t="s">
        <v>74</v>
      </c>
      <c r="AY349" t="s">
        <v>74</v>
      </c>
      <c r="AZ349" t="s">
        <v>74</v>
      </c>
      <c r="BA349" t="s">
        <v>74</v>
      </c>
      <c r="BB349" t="s">
        <v>74</v>
      </c>
      <c r="BC349" t="s">
        <v>74</v>
      </c>
      <c r="BD349">
        <v>109899</v>
      </c>
      <c r="BE349" t="s">
        <v>5976</v>
      </c>
      <c r="BF349" t="str">
        <f>HYPERLINK("http://dx.doi.org/10.1016/j.ress.2023.109899","http://dx.doi.org/10.1016/j.ress.2023.109899")</f>
        <v>http://dx.doi.org/10.1016/j.ress.2023.109899</v>
      </c>
      <c r="BG349" t="s">
        <v>74</v>
      </c>
      <c r="BH349" t="s">
        <v>449</v>
      </c>
      <c r="BI349">
        <v>7</v>
      </c>
      <c r="BJ349" t="s">
        <v>148</v>
      </c>
      <c r="BK349" t="s">
        <v>149</v>
      </c>
      <c r="BL349" t="s">
        <v>150</v>
      </c>
      <c r="BM349" t="s">
        <v>5977</v>
      </c>
      <c r="BN349" t="s">
        <v>74</v>
      </c>
      <c r="BO349" t="s">
        <v>74</v>
      </c>
      <c r="BP349" t="s">
        <v>74</v>
      </c>
      <c r="BQ349" t="s">
        <v>74</v>
      </c>
      <c r="BR349" t="s">
        <v>104</v>
      </c>
      <c r="BS349" t="s">
        <v>5978</v>
      </c>
      <c r="BT349" t="str">
        <f>HYPERLINK("https%3A%2F%2Fwww.webofscience.com%2Fwos%2Fwoscc%2Ffull-record%2FWOS:001166034700001","View Full Record in Web of Science")</f>
        <v>View Full Record in Web of Science</v>
      </c>
    </row>
    <row r="350" spans="1:72" x14ac:dyDescent="0.25">
      <c r="A350" t="s">
        <v>72</v>
      </c>
      <c r="B350" t="s">
        <v>3600</v>
      </c>
      <c r="C350" t="s">
        <v>74</v>
      </c>
      <c r="D350" t="s">
        <v>74</v>
      </c>
      <c r="E350" t="s">
        <v>74</v>
      </c>
      <c r="F350" t="s">
        <v>3601</v>
      </c>
      <c r="G350" t="s">
        <v>74</v>
      </c>
      <c r="H350" t="s">
        <v>74</v>
      </c>
      <c r="I350" t="s">
        <v>5979</v>
      </c>
      <c r="J350" t="s">
        <v>697</v>
      </c>
      <c r="K350" t="s">
        <v>74</v>
      </c>
      <c r="L350" t="s">
        <v>74</v>
      </c>
      <c r="M350" t="s">
        <v>78</v>
      </c>
      <c r="N350" t="s">
        <v>79</v>
      </c>
      <c r="O350" t="s">
        <v>74</v>
      </c>
      <c r="P350" t="s">
        <v>74</v>
      </c>
      <c r="Q350" t="s">
        <v>74</v>
      </c>
      <c r="R350" t="s">
        <v>74</v>
      </c>
      <c r="S350" t="s">
        <v>74</v>
      </c>
      <c r="T350" t="s">
        <v>5980</v>
      </c>
      <c r="U350" t="s">
        <v>5981</v>
      </c>
      <c r="V350" t="s">
        <v>5982</v>
      </c>
      <c r="W350" t="s">
        <v>3606</v>
      </c>
      <c r="X350" t="s">
        <v>3607</v>
      </c>
      <c r="Y350" t="s">
        <v>3608</v>
      </c>
      <c r="Z350" t="s">
        <v>5983</v>
      </c>
      <c r="AA350" t="s">
        <v>3610</v>
      </c>
      <c r="AB350" t="s">
        <v>5984</v>
      </c>
      <c r="AC350" t="s">
        <v>5985</v>
      </c>
      <c r="AD350" t="s">
        <v>5986</v>
      </c>
      <c r="AE350" t="s">
        <v>5987</v>
      </c>
      <c r="AF350" t="s">
        <v>74</v>
      </c>
      <c r="AG350">
        <v>52</v>
      </c>
      <c r="AH350">
        <v>30</v>
      </c>
      <c r="AI350">
        <v>31</v>
      </c>
      <c r="AJ350">
        <v>1</v>
      </c>
      <c r="AK350">
        <v>53</v>
      </c>
      <c r="AL350" t="s">
        <v>707</v>
      </c>
      <c r="AM350" t="s">
        <v>246</v>
      </c>
      <c r="AN350" t="s">
        <v>708</v>
      </c>
      <c r="AO350" t="s">
        <v>709</v>
      </c>
      <c r="AP350" t="s">
        <v>710</v>
      </c>
      <c r="AQ350" t="s">
        <v>74</v>
      </c>
      <c r="AR350" t="s">
        <v>711</v>
      </c>
      <c r="AS350" t="s">
        <v>712</v>
      </c>
      <c r="AT350" t="s">
        <v>533</v>
      </c>
      <c r="AU350">
        <v>2019</v>
      </c>
      <c r="AV350">
        <v>128</v>
      </c>
      <c r="AW350" t="s">
        <v>74</v>
      </c>
      <c r="AX350" t="s">
        <v>74</v>
      </c>
      <c r="AY350" t="s">
        <v>74</v>
      </c>
      <c r="AZ350" t="s">
        <v>74</v>
      </c>
      <c r="BA350" t="s">
        <v>74</v>
      </c>
      <c r="BB350">
        <v>920</v>
      </c>
      <c r="BC350">
        <v>936</v>
      </c>
      <c r="BD350" t="s">
        <v>74</v>
      </c>
      <c r="BE350" t="s">
        <v>5988</v>
      </c>
      <c r="BF350" t="str">
        <f>HYPERLINK("http://dx.doi.org/10.1016/j.cie.2018.10.015","http://dx.doi.org/10.1016/j.cie.2018.10.015")</f>
        <v>http://dx.doi.org/10.1016/j.cie.2018.10.015</v>
      </c>
      <c r="BG350" t="s">
        <v>74</v>
      </c>
      <c r="BH350" t="s">
        <v>74</v>
      </c>
      <c r="BI350">
        <v>17</v>
      </c>
      <c r="BJ350" t="s">
        <v>715</v>
      </c>
      <c r="BK350" t="s">
        <v>149</v>
      </c>
      <c r="BL350" t="s">
        <v>716</v>
      </c>
      <c r="BM350" t="s">
        <v>5989</v>
      </c>
      <c r="BN350" t="s">
        <v>74</v>
      </c>
      <c r="BO350" t="s">
        <v>74</v>
      </c>
      <c r="BP350" t="s">
        <v>74</v>
      </c>
      <c r="BQ350" t="s">
        <v>74</v>
      </c>
      <c r="BR350" t="s">
        <v>104</v>
      </c>
      <c r="BS350" t="s">
        <v>5990</v>
      </c>
      <c r="BT350" t="str">
        <f>HYPERLINK("https%3A%2F%2Fwww.webofscience.com%2Fwos%2Fwoscc%2Ffull-record%2FWOS:000458221900070","View Full Record in Web of Science")</f>
        <v>View Full Record in Web of Science</v>
      </c>
    </row>
    <row r="351" spans="1:72" x14ac:dyDescent="0.25">
      <c r="A351" t="s">
        <v>72</v>
      </c>
      <c r="B351" t="s">
        <v>5991</v>
      </c>
      <c r="C351" t="s">
        <v>74</v>
      </c>
      <c r="D351" t="s">
        <v>74</v>
      </c>
      <c r="E351" t="s">
        <v>74</v>
      </c>
      <c r="F351" t="s">
        <v>5992</v>
      </c>
      <c r="G351" t="s">
        <v>74</v>
      </c>
      <c r="H351" t="s">
        <v>74</v>
      </c>
      <c r="I351" t="s">
        <v>5993</v>
      </c>
      <c r="J351" t="s">
        <v>128</v>
      </c>
      <c r="K351" t="s">
        <v>74</v>
      </c>
      <c r="L351" t="s">
        <v>74</v>
      </c>
      <c r="M351" t="s">
        <v>78</v>
      </c>
      <c r="N351" t="s">
        <v>79</v>
      </c>
      <c r="O351" t="s">
        <v>74</v>
      </c>
      <c r="P351" t="s">
        <v>74</v>
      </c>
      <c r="Q351" t="s">
        <v>74</v>
      </c>
      <c r="R351" t="s">
        <v>74</v>
      </c>
      <c r="S351" t="s">
        <v>74</v>
      </c>
      <c r="T351" t="s">
        <v>5994</v>
      </c>
      <c r="U351" t="s">
        <v>5995</v>
      </c>
      <c r="V351" t="s">
        <v>5996</v>
      </c>
      <c r="W351" t="s">
        <v>5997</v>
      </c>
      <c r="X351" t="s">
        <v>5998</v>
      </c>
      <c r="Y351" t="s">
        <v>5999</v>
      </c>
      <c r="Z351" t="s">
        <v>2331</v>
      </c>
      <c r="AA351" t="s">
        <v>6000</v>
      </c>
      <c r="AB351" t="s">
        <v>6001</v>
      </c>
      <c r="AC351" t="s">
        <v>6002</v>
      </c>
      <c r="AD351" t="s">
        <v>6003</v>
      </c>
      <c r="AE351" t="s">
        <v>6004</v>
      </c>
      <c r="AF351" t="s">
        <v>74</v>
      </c>
      <c r="AG351">
        <v>40</v>
      </c>
      <c r="AH351">
        <v>34</v>
      </c>
      <c r="AI351">
        <v>35</v>
      </c>
      <c r="AJ351">
        <v>12</v>
      </c>
      <c r="AK351">
        <v>71</v>
      </c>
      <c r="AL351" t="s">
        <v>138</v>
      </c>
      <c r="AM351" t="s">
        <v>139</v>
      </c>
      <c r="AN351" t="s">
        <v>140</v>
      </c>
      <c r="AO351" t="s">
        <v>141</v>
      </c>
      <c r="AP351" t="s">
        <v>142</v>
      </c>
      <c r="AQ351" t="s">
        <v>74</v>
      </c>
      <c r="AR351" t="s">
        <v>143</v>
      </c>
      <c r="AS351" t="s">
        <v>144</v>
      </c>
      <c r="AT351" t="s">
        <v>275</v>
      </c>
      <c r="AU351">
        <v>2023</v>
      </c>
      <c r="AV351">
        <v>231</v>
      </c>
      <c r="AW351" t="s">
        <v>74</v>
      </c>
      <c r="AX351" t="s">
        <v>74</v>
      </c>
      <c r="AY351" t="s">
        <v>74</v>
      </c>
      <c r="AZ351" t="s">
        <v>74</v>
      </c>
      <c r="BA351" t="s">
        <v>74</v>
      </c>
      <c r="BB351" t="s">
        <v>74</v>
      </c>
      <c r="BC351" t="s">
        <v>74</v>
      </c>
      <c r="BD351">
        <v>108988</v>
      </c>
      <c r="BE351" t="s">
        <v>6005</v>
      </c>
      <c r="BF351" t="str">
        <f>HYPERLINK("http://dx.doi.org/10.1016/j.ress.2022.108988","http://dx.doi.org/10.1016/j.ress.2022.108988")</f>
        <v>http://dx.doi.org/10.1016/j.ress.2022.108988</v>
      </c>
      <c r="BG351" t="s">
        <v>74</v>
      </c>
      <c r="BH351" t="s">
        <v>396</v>
      </c>
      <c r="BI351">
        <v>11</v>
      </c>
      <c r="BJ351" t="s">
        <v>148</v>
      </c>
      <c r="BK351" t="s">
        <v>149</v>
      </c>
      <c r="BL351" t="s">
        <v>150</v>
      </c>
      <c r="BM351" t="s">
        <v>6006</v>
      </c>
      <c r="BN351" t="s">
        <v>74</v>
      </c>
      <c r="BO351" t="s">
        <v>74</v>
      </c>
      <c r="BP351" t="s">
        <v>74</v>
      </c>
      <c r="BQ351" t="s">
        <v>74</v>
      </c>
      <c r="BR351" t="s">
        <v>104</v>
      </c>
      <c r="BS351" t="s">
        <v>6007</v>
      </c>
      <c r="BT351" t="str">
        <f>HYPERLINK("https%3A%2F%2Fwww.webofscience.com%2Fwos%2Fwoscc%2Ffull-record%2FWOS:000896689600007","View Full Record in Web of Science")</f>
        <v>View Full Record in Web of Science</v>
      </c>
    </row>
    <row r="352" spans="1:72" x14ac:dyDescent="0.25">
      <c r="A352" t="s">
        <v>72</v>
      </c>
      <c r="B352" t="s">
        <v>6008</v>
      </c>
      <c r="C352" t="s">
        <v>74</v>
      </c>
      <c r="D352" t="s">
        <v>74</v>
      </c>
      <c r="E352" t="s">
        <v>74</v>
      </c>
      <c r="F352" t="s">
        <v>6009</v>
      </c>
      <c r="G352" t="s">
        <v>74</v>
      </c>
      <c r="H352" t="s">
        <v>74</v>
      </c>
      <c r="I352" t="s">
        <v>6010</v>
      </c>
      <c r="J352" t="s">
        <v>1402</v>
      </c>
      <c r="K352" t="s">
        <v>74</v>
      </c>
      <c r="L352" t="s">
        <v>74</v>
      </c>
      <c r="M352" t="s">
        <v>78</v>
      </c>
      <c r="N352" t="s">
        <v>79</v>
      </c>
      <c r="O352" t="s">
        <v>74</v>
      </c>
      <c r="P352" t="s">
        <v>74</v>
      </c>
      <c r="Q352" t="s">
        <v>74</v>
      </c>
      <c r="R352" t="s">
        <v>74</v>
      </c>
      <c r="S352" t="s">
        <v>74</v>
      </c>
      <c r="T352" t="s">
        <v>6011</v>
      </c>
      <c r="U352" t="s">
        <v>6012</v>
      </c>
      <c r="V352" t="s">
        <v>6013</v>
      </c>
      <c r="W352" t="s">
        <v>6014</v>
      </c>
      <c r="X352" t="s">
        <v>6015</v>
      </c>
      <c r="Y352" t="s">
        <v>6016</v>
      </c>
      <c r="Z352" t="s">
        <v>6017</v>
      </c>
      <c r="AA352" t="s">
        <v>6018</v>
      </c>
      <c r="AB352" t="s">
        <v>6019</v>
      </c>
      <c r="AC352" t="s">
        <v>6020</v>
      </c>
      <c r="AD352" t="s">
        <v>6021</v>
      </c>
      <c r="AE352" t="s">
        <v>6022</v>
      </c>
      <c r="AF352" t="s">
        <v>74</v>
      </c>
      <c r="AG352">
        <v>48</v>
      </c>
      <c r="AH352">
        <v>84</v>
      </c>
      <c r="AI352">
        <v>86</v>
      </c>
      <c r="AJ352">
        <v>14</v>
      </c>
      <c r="AK352">
        <v>74</v>
      </c>
      <c r="AL352" t="s">
        <v>1415</v>
      </c>
      <c r="AM352" t="s">
        <v>1416</v>
      </c>
      <c r="AN352" t="s">
        <v>1417</v>
      </c>
      <c r="AO352" t="s">
        <v>1418</v>
      </c>
      <c r="AP352" t="s">
        <v>1419</v>
      </c>
      <c r="AQ352" t="s">
        <v>74</v>
      </c>
      <c r="AR352" t="s">
        <v>1420</v>
      </c>
      <c r="AS352" t="s">
        <v>1421</v>
      </c>
      <c r="AT352" t="s">
        <v>5613</v>
      </c>
      <c r="AU352">
        <v>2020</v>
      </c>
      <c r="AV352">
        <v>52</v>
      </c>
      <c r="AW352">
        <v>7</v>
      </c>
      <c r="AX352" t="s">
        <v>74</v>
      </c>
      <c r="AY352" t="s">
        <v>74</v>
      </c>
      <c r="AZ352" t="s">
        <v>74</v>
      </c>
      <c r="BA352" t="s">
        <v>74</v>
      </c>
      <c r="BB352">
        <v>797</v>
      </c>
      <c r="BC352">
        <v>810</v>
      </c>
      <c r="BD352" t="s">
        <v>74</v>
      </c>
      <c r="BE352" t="s">
        <v>6023</v>
      </c>
      <c r="BF352" t="str">
        <f>HYPERLINK("http://dx.doi.org/10.1080/24725854.2019.1672908","http://dx.doi.org/10.1080/24725854.2019.1672908")</f>
        <v>http://dx.doi.org/10.1080/24725854.2019.1672908</v>
      </c>
      <c r="BG352" t="s">
        <v>74</v>
      </c>
      <c r="BH352" t="s">
        <v>5223</v>
      </c>
      <c r="BI352">
        <v>14</v>
      </c>
      <c r="BJ352" t="s">
        <v>148</v>
      </c>
      <c r="BK352" t="s">
        <v>149</v>
      </c>
      <c r="BL352" t="s">
        <v>150</v>
      </c>
      <c r="BM352" t="s">
        <v>5616</v>
      </c>
      <c r="BN352" t="s">
        <v>74</v>
      </c>
      <c r="BO352" t="s">
        <v>758</v>
      </c>
      <c r="BP352" t="s">
        <v>74</v>
      </c>
      <c r="BQ352" t="s">
        <v>74</v>
      </c>
      <c r="BR352" t="s">
        <v>104</v>
      </c>
      <c r="BS352" t="s">
        <v>6024</v>
      </c>
      <c r="BT352" t="str">
        <f>HYPERLINK("https%3A%2F%2Fwww.webofscience.com%2Fwos%2Fwoscc%2Ffull-record%2FWOS:000493999800001","View Full Record in Web of Science")</f>
        <v>View Full Record in Web of Science</v>
      </c>
    </row>
    <row r="353" spans="1:72" x14ac:dyDescent="0.25">
      <c r="A353" t="s">
        <v>72</v>
      </c>
      <c r="B353" t="s">
        <v>6025</v>
      </c>
      <c r="C353" t="s">
        <v>74</v>
      </c>
      <c r="D353" t="s">
        <v>74</v>
      </c>
      <c r="E353" t="s">
        <v>74</v>
      </c>
      <c r="F353" t="s">
        <v>6026</v>
      </c>
      <c r="G353" t="s">
        <v>74</v>
      </c>
      <c r="H353" t="s">
        <v>74</v>
      </c>
      <c r="I353" t="s">
        <v>6027</v>
      </c>
      <c r="J353" t="s">
        <v>128</v>
      </c>
      <c r="K353" t="s">
        <v>74</v>
      </c>
      <c r="L353" t="s">
        <v>74</v>
      </c>
      <c r="M353" t="s">
        <v>78</v>
      </c>
      <c r="N353" t="s">
        <v>79</v>
      </c>
      <c r="O353" t="s">
        <v>74</v>
      </c>
      <c r="P353" t="s">
        <v>74</v>
      </c>
      <c r="Q353" t="s">
        <v>74</v>
      </c>
      <c r="R353" t="s">
        <v>74</v>
      </c>
      <c r="S353" t="s">
        <v>74</v>
      </c>
      <c r="T353" t="s">
        <v>6028</v>
      </c>
      <c r="U353" t="s">
        <v>6029</v>
      </c>
      <c r="V353" t="s">
        <v>6030</v>
      </c>
      <c r="W353" t="s">
        <v>6031</v>
      </c>
      <c r="X353" t="s">
        <v>6032</v>
      </c>
      <c r="Y353" t="s">
        <v>6033</v>
      </c>
      <c r="Z353" t="s">
        <v>6034</v>
      </c>
      <c r="AA353" t="s">
        <v>6035</v>
      </c>
      <c r="AB353" t="s">
        <v>74</v>
      </c>
      <c r="AC353" t="s">
        <v>6036</v>
      </c>
      <c r="AD353" t="s">
        <v>6037</v>
      </c>
      <c r="AE353" t="s">
        <v>6038</v>
      </c>
      <c r="AF353" t="s">
        <v>74</v>
      </c>
      <c r="AG353">
        <v>35</v>
      </c>
      <c r="AH353">
        <v>13</v>
      </c>
      <c r="AI353">
        <v>14</v>
      </c>
      <c r="AJ353">
        <v>2</v>
      </c>
      <c r="AK353">
        <v>12</v>
      </c>
      <c r="AL353" t="s">
        <v>138</v>
      </c>
      <c r="AM353" t="s">
        <v>246</v>
      </c>
      <c r="AN353" t="s">
        <v>247</v>
      </c>
      <c r="AO353" t="s">
        <v>141</v>
      </c>
      <c r="AP353" t="s">
        <v>142</v>
      </c>
      <c r="AQ353" t="s">
        <v>74</v>
      </c>
      <c r="AR353" t="s">
        <v>143</v>
      </c>
      <c r="AS353" t="s">
        <v>144</v>
      </c>
      <c r="AT353" t="s">
        <v>275</v>
      </c>
      <c r="AU353">
        <v>2021</v>
      </c>
      <c r="AV353">
        <v>207</v>
      </c>
      <c r="AW353" t="s">
        <v>74</v>
      </c>
      <c r="AX353" t="s">
        <v>74</v>
      </c>
      <c r="AY353" t="s">
        <v>74</v>
      </c>
      <c r="AZ353" t="s">
        <v>74</v>
      </c>
      <c r="BA353" t="s">
        <v>74</v>
      </c>
      <c r="BB353" t="s">
        <v>74</v>
      </c>
      <c r="BC353" t="s">
        <v>74</v>
      </c>
      <c r="BD353">
        <v>107328</v>
      </c>
      <c r="BE353" t="s">
        <v>6039</v>
      </c>
      <c r="BF353" t="str">
        <f>HYPERLINK("http://dx.doi.org/10.1016/j.ress.2020.107328","http://dx.doi.org/10.1016/j.ress.2020.107328")</f>
        <v>http://dx.doi.org/10.1016/j.ress.2020.107328</v>
      </c>
      <c r="BG353" t="s">
        <v>74</v>
      </c>
      <c r="BH353" t="s">
        <v>74</v>
      </c>
      <c r="BI353">
        <v>15</v>
      </c>
      <c r="BJ353" t="s">
        <v>148</v>
      </c>
      <c r="BK353" t="s">
        <v>149</v>
      </c>
      <c r="BL353" t="s">
        <v>150</v>
      </c>
      <c r="BM353" t="s">
        <v>5161</v>
      </c>
      <c r="BN353" t="s">
        <v>74</v>
      </c>
      <c r="BO353" t="s">
        <v>758</v>
      </c>
      <c r="BP353" t="s">
        <v>74</v>
      </c>
      <c r="BQ353" t="s">
        <v>74</v>
      </c>
      <c r="BR353" t="s">
        <v>104</v>
      </c>
      <c r="BS353" t="s">
        <v>6040</v>
      </c>
      <c r="BT353" t="str">
        <f>HYPERLINK("https%3A%2F%2Fwww.webofscience.com%2Fwos%2Fwoscc%2Ffull-record%2FWOS:000606682100012","View Full Record in Web of Science")</f>
        <v>View Full Record in Web of Science</v>
      </c>
    </row>
    <row r="354" spans="1:72" x14ac:dyDescent="0.25">
      <c r="A354" t="s">
        <v>72</v>
      </c>
      <c r="B354" t="s">
        <v>6041</v>
      </c>
      <c r="C354" t="s">
        <v>74</v>
      </c>
      <c r="D354" t="s">
        <v>74</v>
      </c>
      <c r="E354" t="s">
        <v>74</v>
      </c>
      <c r="F354" t="s">
        <v>6042</v>
      </c>
      <c r="G354" t="s">
        <v>74</v>
      </c>
      <c r="H354" t="s">
        <v>74</v>
      </c>
      <c r="I354" t="s">
        <v>6043</v>
      </c>
      <c r="J354" t="s">
        <v>128</v>
      </c>
      <c r="K354" t="s">
        <v>74</v>
      </c>
      <c r="L354" t="s">
        <v>74</v>
      </c>
      <c r="M354" t="s">
        <v>78</v>
      </c>
      <c r="N354" t="s">
        <v>79</v>
      </c>
      <c r="O354" t="s">
        <v>74</v>
      </c>
      <c r="P354" t="s">
        <v>74</v>
      </c>
      <c r="Q354" t="s">
        <v>74</v>
      </c>
      <c r="R354" t="s">
        <v>74</v>
      </c>
      <c r="S354" t="s">
        <v>74</v>
      </c>
      <c r="T354" t="s">
        <v>6044</v>
      </c>
      <c r="U354" t="s">
        <v>6045</v>
      </c>
      <c r="V354" t="s">
        <v>6046</v>
      </c>
      <c r="W354" t="s">
        <v>6047</v>
      </c>
      <c r="X354" t="s">
        <v>6048</v>
      </c>
      <c r="Y354" t="s">
        <v>6049</v>
      </c>
      <c r="Z354" t="s">
        <v>6050</v>
      </c>
      <c r="AA354" t="s">
        <v>6051</v>
      </c>
      <c r="AB354" t="s">
        <v>6052</v>
      </c>
      <c r="AC354" t="s">
        <v>6053</v>
      </c>
      <c r="AD354" t="s">
        <v>6054</v>
      </c>
      <c r="AE354" t="s">
        <v>6055</v>
      </c>
      <c r="AF354" t="s">
        <v>74</v>
      </c>
      <c r="AG354">
        <v>69</v>
      </c>
      <c r="AH354">
        <v>4</v>
      </c>
      <c r="AI354">
        <v>4</v>
      </c>
      <c r="AJ354">
        <v>18</v>
      </c>
      <c r="AK354">
        <v>29</v>
      </c>
      <c r="AL354" t="s">
        <v>138</v>
      </c>
      <c r="AM354" t="s">
        <v>139</v>
      </c>
      <c r="AN354" t="s">
        <v>140</v>
      </c>
      <c r="AO354" t="s">
        <v>141</v>
      </c>
      <c r="AP354" t="s">
        <v>142</v>
      </c>
      <c r="AQ354" t="s">
        <v>74</v>
      </c>
      <c r="AR354" t="s">
        <v>143</v>
      </c>
      <c r="AS354" t="s">
        <v>144</v>
      </c>
      <c r="AT354" t="s">
        <v>248</v>
      </c>
      <c r="AU354">
        <v>2024</v>
      </c>
      <c r="AV354">
        <v>247</v>
      </c>
      <c r="AW354" t="s">
        <v>74</v>
      </c>
      <c r="AX354" t="s">
        <v>74</v>
      </c>
      <c r="AY354" t="s">
        <v>74</v>
      </c>
      <c r="AZ354" t="s">
        <v>74</v>
      </c>
      <c r="BA354" t="s">
        <v>74</v>
      </c>
      <c r="BB354" t="s">
        <v>74</v>
      </c>
      <c r="BC354" t="s">
        <v>74</v>
      </c>
      <c r="BD354">
        <v>110127</v>
      </c>
      <c r="BE354" t="s">
        <v>6056</v>
      </c>
      <c r="BF354" t="str">
        <f>HYPERLINK("http://dx.doi.org/10.1016/j.ress.2024.110127","http://dx.doi.org/10.1016/j.ress.2024.110127")</f>
        <v>http://dx.doi.org/10.1016/j.ress.2024.110127</v>
      </c>
      <c r="BG354" t="s">
        <v>74</v>
      </c>
      <c r="BH354" t="s">
        <v>2039</v>
      </c>
      <c r="BI354">
        <v>16</v>
      </c>
      <c r="BJ354" t="s">
        <v>148</v>
      </c>
      <c r="BK354" t="s">
        <v>149</v>
      </c>
      <c r="BL354" t="s">
        <v>150</v>
      </c>
      <c r="BM354" t="s">
        <v>6057</v>
      </c>
      <c r="BN354" t="s">
        <v>74</v>
      </c>
      <c r="BO354" t="s">
        <v>74</v>
      </c>
      <c r="BP354" t="s">
        <v>74</v>
      </c>
      <c r="BQ354" t="s">
        <v>74</v>
      </c>
      <c r="BR354" t="s">
        <v>104</v>
      </c>
      <c r="BS354" t="s">
        <v>6058</v>
      </c>
      <c r="BT354" t="str">
        <f>HYPERLINK("https%3A%2F%2Fwww.webofscience.com%2Fwos%2Fwoscc%2Ffull-record%2FWOS:001226315700001","View Full Record in Web of Science")</f>
        <v>View Full Record in Web of Science</v>
      </c>
    </row>
    <row r="355" spans="1:72" x14ac:dyDescent="0.25">
      <c r="A355" t="s">
        <v>72</v>
      </c>
      <c r="B355" t="s">
        <v>6059</v>
      </c>
      <c r="C355" t="s">
        <v>74</v>
      </c>
      <c r="D355" t="s">
        <v>74</v>
      </c>
      <c r="E355" t="s">
        <v>74</v>
      </c>
      <c r="F355" t="s">
        <v>6060</v>
      </c>
      <c r="G355" t="s">
        <v>74</v>
      </c>
      <c r="H355" t="s">
        <v>74</v>
      </c>
      <c r="I355" t="s">
        <v>6061</v>
      </c>
      <c r="J355" t="s">
        <v>4387</v>
      </c>
      <c r="K355" t="s">
        <v>74</v>
      </c>
      <c r="L355" t="s">
        <v>74</v>
      </c>
      <c r="M355" t="s">
        <v>78</v>
      </c>
      <c r="N355" t="s">
        <v>79</v>
      </c>
      <c r="O355" t="s">
        <v>74</v>
      </c>
      <c r="P355" t="s">
        <v>74</v>
      </c>
      <c r="Q355" t="s">
        <v>74</v>
      </c>
      <c r="R355" t="s">
        <v>74</v>
      </c>
      <c r="S355" t="s">
        <v>74</v>
      </c>
      <c r="T355" t="s">
        <v>6062</v>
      </c>
      <c r="U355" t="s">
        <v>6063</v>
      </c>
      <c r="V355" t="s">
        <v>6064</v>
      </c>
      <c r="W355" t="s">
        <v>6065</v>
      </c>
      <c r="X355" t="s">
        <v>6066</v>
      </c>
      <c r="Y355" t="s">
        <v>6067</v>
      </c>
      <c r="Z355" t="s">
        <v>6068</v>
      </c>
      <c r="AA355" t="s">
        <v>74</v>
      </c>
      <c r="AB355" t="s">
        <v>6069</v>
      </c>
      <c r="AC355" t="s">
        <v>74</v>
      </c>
      <c r="AD355" t="s">
        <v>74</v>
      </c>
      <c r="AE355" t="s">
        <v>74</v>
      </c>
      <c r="AF355" t="s">
        <v>74</v>
      </c>
      <c r="AG355">
        <v>49</v>
      </c>
      <c r="AH355">
        <v>10</v>
      </c>
      <c r="AI355">
        <v>10</v>
      </c>
      <c r="AJ355">
        <v>0</v>
      </c>
      <c r="AK355">
        <v>13</v>
      </c>
      <c r="AL355" t="s">
        <v>339</v>
      </c>
      <c r="AM355" t="s">
        <v>340</v>
      </c>
      <c r="AN355" t="s">
        <v>341</v>
      </c>
      <c r="AO355" t="s">
        <v>4400</v>
      </c>
      <c r="AP355" t="s">
        <v>4401</v>
      </c>
      <c r="AQ355" t="s">
        <v>74</v>
      </c>
      <c r="AR355" t="s">
        <v>4402</v>
      </c>
      <c r="AS355" t="s">
        <v>4403</v>
      </c>
      <c r="AT355" t="s">
        <v>4404</v>
      </c>
      <c r="AU355">
        <v>2021</v>
      </c>
      <c r="AV355">
        <v>147</v>
      </c>
      <c r="AW355">
        <v>3</v>
      </c>
      <c r="AX355" t="s">
        <v>74</v>
      </c>
      <c r="AY355" t="s">
        <v>74</v>
      </c>
      <c r="AZ355" t="s">
        <v>74</v>
      </c>
      <c r="BA355" t="s">
        <v>74</v>
      </c>
      <c r="BB355" t="s">
        <v>74</v>
      </c>
      <c r="BC355" t="s">
        <v>74</v>
      </c>
      <c r="BD355">
        <v>4020185</v>
      </c>
      <c r="BE355" t="s">
        <v>6070</v>
      </c>
      <c r="BF355" t="str">
        <f>HYPERLINK("http://dx.doi.org/10.1061/(ASCE)CO.1943-7862.0001956","http://dx.doi.org/10.1061/(ASCE)CO.1943-7862.0001956")</f>
        <v>http://dx.doi.org/10.1061/(ASCE)CO.1943-7862.0001956</v>
      </c>
      <c r="BG355" t="s">
        <v>74</v>
      </c>
      <c r="BH355" t="s">
        <v>74</v>
      </c>
      <c r="BI355">
        <v>11</v>
      </c>
      <c r="BJ355" t="s">
        <v>4406</v>
      </c>
      <c r="BK355" t="s">
        <v>149</v>
      </c>
      <c r="BL355" t="s">
        <v>4407</v>
      </c>
      <c r="BM355" t="s">
        <v>6071</v>
      </c>
      <c r="BN355" t="s">
        <v>74</v>
      </c>
      <c r="BO355" t="s">
        <v>74</v>
      </c>
      <c r="BP355" t="s">
        <v>74</v>
      </c>
      <c r="BQ355" t="s">
        <v>74</v>
      </c>
      <c r="BR355" t="s">
        <v>104</v>
      </c>
      <c r="BS355" t="s">
        <v>6072</v>
      </c>
      <c r="BT355" t="str">
        <f>HYPERLINK("https%3A%2F%2Fwww.webofscience.com%2Fwos%2Fwoscc%2Ffull-record%2FWOS:000656445700017","View Full Record in Web of Science")</f>
        <v>View Full Record in Web of Science</v>
      </c>
    </row>
    <row r="356" spans="1:72" x14ac:dyDescent="0.25">
      <c r="A356" t="s">
        <v>72</v>
      </c>
      <c r="B356" t="s">
        <v>6073</v>
      </c>
      <c r="C356" t="s">
        <v>74</v>
      </c>
      <c r="D356" t="s">
        <v>74</v>
      </c>
      <c r="E356" t="s">
        <v>74</v>
      </c>
      <c r="F356" t="s">
        <v>6074</v>
      </c>
      <c r="G356" t="s">
        <v>74</v>
      </c>
      <c r="H356" t="s">
        <v>74</v>
      </c>
      <c r="I356" t="s">
        <v>6075</v>
      </c>
      <c r="J356" t="s">
        <v>6076</v>
      </c>
      <c r="K356" t="s">
        <v>74</v>
      </c>
      <c r="L356" t="s">
        <v>74</v>
      </c>
      <c r="M356" t="s">
        <v>78</v>
      </c>
      <c r="N356" t="s">
        <v>79</v>
      </c>
      <c r="O356" t="s">
        <v>74</v>
      </c>
      <c r="P356" t="s">
        <v>74</v>
      </c>
      <c r="Q356" t="s">
        <v>74</v>
      </c>
      <c r="R356" t="s">
        <v>74</v>
      </c>
      <c r="S356" t="s">
        <v>74</v>
      </c>
      <c r="T356" t="s">
        <v>6077</v>
      </c>
      <c r="U356" t="s">
        <v>6078</v>
      </c>
      <c r="V356" t="s">
        <v>6079</v>
      </c>
      <c r="W356" t="s">
        <v>6080</v>
      </c>
      <c r="X356" t="s">
        <v>6081</v>
      </c>
      <c r="Y356" t="s">
        <v>6082</v>
      </c>
      <c r="Z356" t="s">
        <v>6083</v>
      </c>
      <c r="AA356" t="s">
        <v>6084</v>
      </c>
      <c r="AB356" t="s">
        <v>74</v>
      </c>
      <c r="AC356" t="s">
        <v>6085</v>
      </c>
      <c r="AD356" t="s">
        <v>6086</v>
      </c>
      <c r="AE356" t="s">
        <v>6087</v>
      </c>
      <c r="AF356" t="s">
        <v>74</v>
      </c>
      <c r="AG356">
        <v>37</v>
      </c>
      <c r="AH356">
        <v>1</v>
      </c>
      <c r="AI356">
        <v>1</v>
      </c>
      <c r="AJ356">
        <v>6</v>
      </c>
      <c r="AK356">
        <v>14</v>
      </c>
      <c r="AL356" t="s">
        <v>6088</v>
      </c>
      <c r="AM356" t="s">
        <v>510</v>
      </c>
      <c r="AN356" t="s">
        <v>6089</v>
      </c>
      <c r="AO356" t="s">
        <v>6090</v>
      </c>
      <c r="AP356" t="s">
        <v>6091</v>
      </c>
      <c r="AQ356" t="s">
        <v>74</v>
      </c>
      <c r="AR356" t="s">
        <v>6092</v>
      </c>
      <c r="AS356" t="s">
        <v>6093</v>
      </c>
      <c r="AT356" t="s">
        <v>74</v>
      </c>
      <c r="AU356">
        <v>2022</v>
      </c>
      <c r="AV356">
        <v>42</v>
      </c>
      <c r="AW356">
        <v>6</v>
      </c>
      <c r="AX356" t="s">
        <v>74</v>
      </c>
      <c r="AY356" t="s">
        <v>74</v>
      </c>
      <c r="AZ356" t="s">
        <v>74</v>
      </c>
      <c r="BA356" t="s">
        <v>74</v>
      </c>
      <c r="BB356">
        <v>5321</v>
      </c>
      <c r="BC356">
        <v>5334</v>
      </c>
      <c r="BD356" t="s">
        <v>74</v>
      </c>
      <c r="BE356" t="s">
        <v>6094</v>
      </c>
      <c r="BF356" t="str">
        <f>HYPERLINK("http://dx.doi.org/10.3233/JIFS-211853","http://dx.doi.org/10.3233/JIFS-211853")</f>
        <v>http://dx.doi.org/10.3233/JIFS-211853</v>
      </c>
      <c r="BG356" t="s">
        <v>74</v>
      </c>
      <c r="BH356" t="s">
        <v>74</v>
      </c>
      <c r="BI356">
        <v>14</v>
      </c>
      <c r="BJ356" t="s">
        <v>1267</v>
      </c>
      <c r="BK356" t="s">
        <v>149</v>
      </c>
      <c r="BL356" t="s">
        <v>1228</v>
      </c>
      <c r="BM356" t="s">
        <v>6095</v>
      </c>
      <c r="BN356" t="s">
        <v>74</v>
      </c>
      <c r="BO356" t="s">
        <v>74</v>
      </c>
      <c r="BP356" t="s">
        <v>74</v>
      </c>
      <c r="BQ356" t="s">
        <v>74</v>
      </c>
      <c r="BR356" t="s">
        <v>104</v>
      </c>
      <c r="BS356" t="s">
        <v>6096</v>
      </c>
      <c r="BT356" t="str">
        <f>HYPERLINK("https%3A%2F%2Fwww.webofscience.com%2Fwos%2Fwoscc%2Ffull-record%2FWOS:000790690300036","View Full Record in Web of Science")</f>
        <v>View Full Record in Web of Science</v>
      </c>
    </row>
    <row r="357" spans="1:72" x14ac:dyDescent="0.25">
      <c r="A357" t="s">
        <v>72</v>
      </c>
      <c r="B357" t="s">
        <v>6097</v>
      </c>
      <c r="C357" t="s">
        <v>74</v>
      </c>
      <c r="D357" t="s">
        <v>74</v>
      </c>
      <c r="E357" t="s">
        <v>74</v>
      </c>
      <c r="F357" t="s">
        <v>6098</v>
      </c>
      <c r="G357" t="s">
        <v>74</v>
      </c>
      <c r="H357" t="s">
        <v>74</v>
      </c>
      <c r="I357" t="s">
        <v>6099</v>
      </c>
      <c r="J357" t="s">
        <v>188</v>
      </c>
      <c r="K357" t="s">
        <v>74</v>
      </c>
      <c r="L357" t="s">
        <v>74</v>
      </c>
      <c r="M357" t="s">
        <v>78</v>
      </c>
      <c r="N357" t="s">
        <v>79</v>
      </c>
      <c r="O357" t="s">
        <v>74</v>
      </c>
      <c r="P357" t="s">
        <v>74</v>
      </c>
      <c r="Q357" t="s">
        <v>74</v>
      </c>
      <c r="R357" t="s">
        <v>74</v>
      </c>
      <c r="S357" t="s">
        <v>74</v>
      </c>
      <c r="T357" t="s">
        <v>6100</v>
      </c>
      <c r="U357" t="s">
        <v>6101</v>
      </c>
      <c r="V357" t="s">
        <v>6102</v>
      </c>
      <c r="W357" t="s">
        <v>6103</v>
      </c>
      <c r="X357" t="s">
        <v>6104</v>
      </c>
      <c r="Y357" t="s">
        <v>6105</v>
      </c>
      <c r="Z357" t="s">
        <v>6106</v>
      </c>
      <c r="AA357" t="s">
        <v>6107</v>
      </c>
      <c r="AB357" t="s">
        <v>6108</v>
      </c>
      <c r="AC357" t="s">
        <v>74</v>
      </c>
      <c r="AD357" t="s">
        <v>74</v>
      </c>
      <c r="AE357" t="s">
        <v>74</v>
      </c>
      <c r="AF357" t="s">
        <v>74</v>
      </c>
      <c r="AG357">
        <v>29</v>
      </c>
      <c r="AH357">
        <v>0</v>
      </c>
      <c r="AI357">
        <v>0</v>
      </c>
      <c r="AJ357">
        <v>3</v>
      </c>
      <c r="AK357">
        <v>3</v>
      </c>
      <c r="AL357" t="s">
        <v>198</v>
      </c>
      <c r="AM357" t="s">
        <v>199</v>
      </c>
      <c r="AN357" t="s">
        <v>200</v>
      </c>
      <c r="AO357" t="s">
        <v>201</v>
      </c>
      <c r="AP357" t="s">
        <v>202</v>
      </c>
      <c r="AQ357" t="s">
        <v>74</v>
      </c>
      <c r="AR357" t="s">
        <v>203</v>
      </c>
      <c r="AS357" t="s">
        <v>204</v>
      </c>
      <c r="AT357" t="s">
        <v>275</v>
      </c>
      <c r="AU357">
        <v>2024</v>
      </c>
      <c r="AV357">
        <v>15</v>
      </c>
      <c r="AW357">
        <v>1</v>
      </c>
      <c r="AX357" t="s">
        <v>74</v>
      </c>
      <c r="AY357" t="s">
        <v>74</v>
      </c>
      <c r="AZ357" t="s">
        <v>74</v>
      </c>
      <c r="BA357" t="s">
        <v>74</v>
      </c>
      <c r="BB357">
        <v>111</v>
      </c>
      <c r="BC357">
        <v>125</v>
      </c>
      <c r="BD357" t="s">
        <v>74</v>
      </c>
      <c r="BE357" t="s">
        <v>6109</v>
      </c>
      <c r="BF357" t="str">
        <f>HYPERLINK("http://dx.doi.org/10.24425/mper.2024.149994","http://dx.doi.org/10.24425/mper.2024.149994")</f>
        <v>http://dx.doi.org/10.24425/mper.2024.149994</v>
      </c>
      <c r="BG357" t="s">
        <v>74</v>
      </c>
      <c r="BH357" t="s">
        <v>74</v>
      </c>
      <c r="BI357">
        <v>15</v>
      </c>
      <c r="BJ357" t="s">
        <v>100</v>
      </c>
      <c r="BK357" t="s">
        <v>101</v>
      </c>
      <c r="BL357" t="s">
        <v>102</v>
      </c>
      <c r="BM357" t="s">
        <v>6110</v>
      </c>
      <c r="BN357" t="s">
        <v>74</v>
      </c>
      <c r="BO357" t="s">
        <v>208</v>
      </c>
      <c r="BP357" t="s">
        <v>74</v>
      </c>
      <c r="BQ357" t="s">
        <v>74</v>
      </c>
      <c r="BR357" t="s">
        <v>104</v>
      </c>
      <c r="BS357" t="s">
        <v>6111</v>
      </c>
      <c r="BT357" t="str">
        <f>HYPERLINK("https%3A%2F%2Fwww.webofscience.com%2Fwos%2Fwoscc%2Ffull-record%2FWOS:001207226000004","View Full Record in Web of Science")</f>
        <v>View Full Record in Web of Science</v>
      </c>
    </row>
    <row r="358" spans="1:72" x14ac:dyDescent="0.25">
      <c r="A358" t="s">
        <v>72</v>
      </c>
      <c r="B358" t="s">
        <v>6112</v>
      </c>
      <c r="C358" t="s">
        <v>74</v>
      </c>
      <c r="D358" t="s">
        <v>74</v>
      </c>
      <c r="E358" t="s">
        <v>74</v>
      </c>
      <c r="F358" t="s">
        <v>6113</v>
      </c>
      <c r="G358" t="s">
        <v>74</v>
      </c>
      <c r="H358" t="s">
        <v>74</v>
      </c>
      <c r="I358" t="s">
        <v>6114</v>
      </c>
      <c r="J358" t="s">
        <v>6115</v>
      </c>
      <c r="K358" t="s">
        <v>74</v>
      </c>
      <c r="L358" t="s">
        <v>74</v>
      </c>
      <c r="M358" t="s">
        <v>78</v>
      </c>
      <c r="N358" t="s">
        <v>79</v>
      </c>
      <c r="O358" t="s">
        <v>74</v>
      </c>
      <c r="P358" t="s">
        <v>74</v>
      </c>
      <c r="Q358" t="s">
        <v>74</v>
      </c>
      <c r="R358" t="s">
        <v>74</v>
      </c>
      <c r="S358" t="s">
        <v>74</v>
      </c>
      <c r="T358" t="s">
        <v>6116</v>
      </c>
      <c r="U358" t="s">
        <v>6117</v>
      </c>
      <c r="V358" t="s">
        <v>6118</v>
      </c>
      <c r="W358" t="s">
        <v>6119</v>
      </c>
      <c r="X358" t="s">
        <v>6120</v>
      </c>
      <c r="Y358" t="s">
        <v>6121</v>
      </c>
      <c r="Z358" t="s">
        <v>6122</v>
      </c>
      <c r="AA358" t="s">
        <v>6123</v>
      </c>
      <c r="AB358" t="s">
        <v>6124</v>
      </c>
      <c r="AC358" t="s">
        <v>6125</v>
      </c>
      <c r="AD358" t="s">
        <v>6126</v>
      </c>
      <c r="AE358" t="s">
        <v>6127</v>
      </c>
      <c r="AF358" t="s">
        <v>74</v>
      </c>
      <c r="AG358">
        <v>40</v>
      </c>
      <c r="AH358">
        <v>4</v>
      </c>
      <c r="AI358">
        <v>4</v>
      </c>
      <c r="AJ358">
        <v>12</v>
      </c>
      <c r="AK358">
        <v>30</v>
      </c>
      <c r="AL358" t="s">
        <v>509</v>
      </c>
      <c r="AM358" t="s">
        <v>510</v>
      </c>
      <c r="AN358" t="s">
        <v>511</v>
      </c>
      <c r="AO358" t="s">
        <v>6128</v>
      </c>
      <c r="AP358" t="s">
        <v>74</v>
      </c>
      <c r="AQ358" t="s">
        <v>74</v>
      </c>
      <c r="AR358" t="s">
        <v>6129</v>
      </c>
      <c r="AS358" t="s">
        <v>6130</v>
      </c>
      <c r="AT358" t="s">
        <v>275</v>
      </c>
      <c r="AU358">
        <v>2024</v>
      </c>
      <c r="AV358">
        <v>17</v>
      </c>
      <c r="AW358">
        <v>1</v>
      </c>
      <c r="AX358" t="s">
        <v>74</v>
      </c>
      <c r="AY358" t="s">
        <v>74</v>
      </c>
      <c r="AZ358" t="s">
        <v>74</v>
      </c>
      <c r="BA358" t="s">
        <v>74</v>
      </c>
      <c r="BB358" t="s">
        <v>74</v>
      </c>
      <c r="BC358" t="s">
        <v>74</v>
      </c>
      <c r="BD358">
        <v>100738</v>
      </c>
      <c r="BE358" t="s">
        <v>6131</v>
      </c>
      <c r="BF358" t="str">
        <f>HYPERLINK("http://dx.doi.org/10.1016/j.jrras.2023.100738","http://dx.doi.org/10.1016/j.jrras.2023.100738")</f>
        <v>http://dx.doi.org/10.1016/j.jrras.2023.100738</v>
      </c>
      <c r="BG358" t="s">
        <v>74</v>
      </c>
      <c r="BH358" t="s">
        <v>1111</v>
      </c>
      <c r="BI358">
        <v>9</v>
      </c>
      <c r="BJ358" t="s">
        <v>6132</v>
      </c>
      <c r="BK358" t="s">
        <v>149</v>
      </c>
      <c r="BL358" t="s">
        <v>6133</v>
      </c>
      <c r="BM358" t="s">
        <v>6134</v>
      </c>
      <c r="BN358" t="s">
        <v>74</v>
      </c>
      <c r="BO358" t="s">
        <v>208</v>
      </c>
      <c r="BP358" t="s">
        <v>74</v>
      </c>
      <c r="BQ358" t="s">
        <v>74</v>
      </c>
      <c r="BR358" t="s">
        <v>104</v>
      </c>
      <c r="BS358" t="s">
        <v>6135</v>
      </c>
      <c r="BT358" t="str">
        <f>HYPERLINK("https%3A%2F%2Fwww.webofscience.com%2Fwos%2Fwoscc%2Ffull-record%2FWOS:001126029500001","View Full Record in Web of Science")</f>
        <v>View Full Record in Web of Science</v>
      </c>
    </row>
    <row r="359" spans="1:72" x14ac:dyDescent="0.25">
      <c r="A359" t="s">
        <v>72</v>
      </c>
      <c r="B359" t="s">
        <v>6136</v>
      </c>
      <c r="C359" t="s">
        <v>74</v>
      </c>
      <c r="D359" t="s">
        <v>74</v>
      </c>
      <c r="E359" t="s">
        <v>74</v>
      </c>
      <c r="F359" t="s">
        <v>6137</v>
      </c>
      <c r="G359" t="s">
        <v>74</v>
      </c>
      <c r="H359" t="s">
        <v>74</v>
      </c>
      <c r="I359" t="s">
        <v>6138</v>
      </c>
      <c r="J359" t="s">
        <v>3529</v>
      </c>
      <c r="K359" t="s">
        <v>74</v>
      </c>
      <c r="L359" t="s">
        <v>74</v>
      </c>
      <c r="M359" t="s">
        <v>78</v>
      </c>
      <c r="N359" t="s">
        <v>79</v>
      </c>
      <c r="O359" t="s">
        <v>74</v>
      </c>
      <c r="P359" t="s">
        <v>74</v>
      </c>
      <c r="Q359" t="s">
        <v>74</v>
      </c>
      <c r="R359" t="s">
        <v>74</v>
      </c>
      <c r="S359" t="s">
        <v>74</v>
      </c>
      <c r="T359" t="s">
        <v>6139</v>
      </c>
      <c r="U359" t="s">
        <v>6140</v>
      </c>
      <c r="V359" t="s">
        <v>6141</v>
      </c>
      <c r="W359" t="s">
        <v>6142</v>
      </c>
      <c r="X359" t="s">
        <v>6143</v>
      </c>
      <c r="Y359" t="s">
        <v>6144</v>
      </c>
      <c r="Z359" t="s">
        <v>6145</v>
      </c>
      <c r="AA359" t="s">
        <v>6146</v>
      </c>
      <c r="AB359" t="s">
        <v>6147</v>
      </c>
      <c r="AC359" t="s">
        <v>74</v>
      </c>
      <c r="AD359" t="s">
        <v>74</v>
      </c>
      <c r="AE359" t="s">
        <v>74</v>
      </c>
      <c r="AF359" t="s">
        <v>74</v>
      </c>
      <c r="AG359">
        <v>46</v>
      </c>
      <c r="AH359">
        <v>4</v>
      </c>
      <c r="AI359">
        <v>4</v>
      </c>
      <c r="AJ359">
        <v>0</v>
      </c>
      <c r="AK359">
        <v>0</v>
      </c>
      <c r="AL359" t="s">
        <v>3538</v>
      </c>
      <c r="AM359" t="s">
        <v>3539</v>
      </c>
      <c r="AN359" t="s">
        <v>3540</v>
      </c>
      <c r="AO359" t="s">
        <v>74</v>
      </c>
      <c r="AP359" t="s">
        <v>3541</v>
      </c>
      <c r="AQ359" t="s">
        <v>74</v>
      </c>
      <c r="AR359" t="s">
        <v>3542</v>
      </c>
      <c r="AS359" t="s">
        <v>3543</v>
      </c>
      <c r="AT359" t="s">
        <v>74</v>
      </c>
      <c r="AU359">
        <v>2019</v>
      </c>
      <c r="AV359">
        <v>26</v>
      </c>
      <c r="AW359">
        <v>3</v>
      </c>
      <c r="AX359" t="s">
        <v>74</v>
      </c>
      <c r="AY359" t="s">
        <v>74</v>
      </c>
      <c r="AZ359" t="s">
        <v>74</v>
      </c>
      <c r="BA359" t="s">
        <v>74</v>
      </c>
      <c r="BB359">
        <v>361</v>
      </c>
      <c r="BC359">
        <v>375</v>
      </c>
      <c r="BD359" t="s">
        <v>74</v>
      </c>
      <c r="BE359" t="s">
        <v>74</v>
      </c>
      <c r="BF359" t="s">
        <v>74</v>
      </c>
      <c r="BG359" t="s">
        <v>74</v>
      </c>
      <c r="BH359" t="s">
        <v>74</v>
      </c>
      <c r="BI359">
        <v>15</v>
      </c>
      <c r="BJ359" t="s">
        <v>3544</v>
      </c>
      <c r="BK359" t="s">
        <v>149</v>
      </c>
      <c r="BL359" t="s">
        <v>102</v>
      </c>
      <c r="BM359" t="s">
        <v>6148</v>
      </c>
      <c r="BN359" t="s">
        <v>74</v>
      </c>
      <c r="BO359" t="s">
        <v>74</v>
      </c>
      <c r="BP359" t="s">
        <v>74</v>
      </c>
      <c r="BQ359" t="s">
        <v>74</v>
      </c>
      <c r="BR359" t="s">
        <v>104</v>
      </c>
      <c r="BS359" t="s">
        <v>6149</v>
      </c>
      <c r="BT359" t="str">
        <f>HYPERLINK("https%3A%2F%2Fwww.webofscience.com%2Fwos%2Fwoscc%2Ffull-record%2FWOS:000498190900007","View Full Record in Web of Science")</f>
        <v>View Full Record in Web of Science</v>
      </c>
    </row>
    <row r="360" spans="1:72" x14ac:dyDescent="0.25">
      <c r="A360" t="s">
        <v>72</v>
      </c>
      <c r="B360" t="s">
        <v>6150</v>
      </c>
      <c r="C360" t="s">
        <v>74</v>
      </c>
      <c r="D360" t="s">
        <v>74</v>
      </c>
      <c r="E360" t="s">
        <v>74</v>
      </c>
      <c r="F360" t="s">
        <v>6151</v>
      </c>
      <c r="G360" t="s">
        <v>74</v>
      </c>
      <c r="H360" t="s">
        <v>74</v>
      </c>
      <c r="I360" t="s">
        <v>6152</v>
      </c>
      <c r="J360" t="s">
        <v>299</v>
      </c>
      <c r="K360" t="s">
        <v>74</v>
      </c>
      <c r="L360" t="s">
        <v>74</v>
      </c>
      <c r="M360" t="s">
        <v>78</v>
      </c>
      <c r="N360" t="s">
        <v>79</v>
      </c>
      <c r="O360" t="s">
        <v>74</v>
      </c>
      <c r="P360" t="s">
        <v>74</v>
      </c>
      <c r="Q360" t="s">
        <v>74</v>
      </c>
      <c r="R360" t="s">
        <v>74</v>
      </c>
      <c r="S360" t="s">
        <v>74</v>
      </c>
      <c r="T360" t="s">
        <v>6153</v>
      </c>
      <c r="U360" t="s">
        <v>6154</v>
      </c>
      <c r="V360" t="s">
        <v>6155</v>
      </c>
      <c r="W360" t="s">
        <v>6156</v>
      </c>
      <c r="X360" t="s">
        <v>6157</v>
      </c>
      <c r="Y360" t="s">
        <v>6158</v>
      </c>
      <c r="Z360" t="s">
        <v>6159</v>
      </c>
      <c r="AA360" t="s">
        <v>74</v>
      </c>
      <c r="AB360" t="s">
        <v>74</v>
      </c>
      <c r="AC360" t="s">
        <v>6160</v>
      </c>
      <c r="AD360" t="s">
        <v>6161</v>
      </c>
      <c r="AE360" t="s">
        <v>6162</v>
      </c>
      <c r="AF360" t="s">
        <v>74</v>
      </c>
      <c r="AG360">
        <v>54</v>
      </c>
      <c r="AH360">
        <v>9</v>
      </c>
      <c r="AI360">
        <v>9</v>
      </c>
      <c r="AJ360">
        <v>12</v>
      </c>
      <c r="AK360">
        <v>61</v>
      </c>
      <c r="AL360" t="s">
        <v>311</v>
      </c>
      <c r="AM360" t="s">
        <v>312</v>
      </c>
      <c r="AN360" t="s">
        <v>313</v>
      </c>
      <c r="AO360" t="s">
        <v>314</v>
      </c>
      <c r="AP360" t="s">
        <v>315</v>
      </c>
      <c r="AQ360" t="s">
        <v>74</v>
      </c>
      <c r="AR360" t="s">
        <v>316</v>
      </c>
      <c r="AS360" t="s">
        <v>317</v>
      </c>
      <c r="AT360" t="s">
        <v>6163</v>
      </c>
      <c r="AU360">
        <v>2024</v>
      </c>
      <c r="AV360">
        <v>62</v>
      </c>
      <c r="AW360">
        <v>10</v>
      </c>
      <c r="AX360" t="s">
        <v>74</v>
      </c>
      <c r="AY360" t="s">
        <v>74</v>
      </c>
      <c r="AZ360" t="s">
        <v>74</v>
      </c>
      <c r="BA360" t="s">
        <v>74</v>
      </c>
      <c r="BB360">
        <v>3504</v>
      </c>
      <c r="BC360">
        <v>3525</v>
      </c>
      <c r="BD360" t="s">
        <v>74</v>
      </c>
      <c r="BE360" t="s">
        <v>6164</v>
      </c>
      <c r="BF360" t="str">
        <f>HYPERLINK("http://dx.doi.org/10.1080/00207543.2023.2241563","http://dx.doi.org/10.1080/00207543.2023.2241563")</f>
        <v>http://dx.doi.org/10.1080/00207543.2023.2241563</v>
      </c>
      <c r="BG360" t="s">
        <v>74</v>
      </c>
      <c r="BH360" t="s">
        <v>1488</v>
      </c>
      <c r="BI360">
        <v>22</v>
      </c>
      <c r="BJ360" t="s">
        <v>321</v>
      </c>
      <c r="BK360" t="s">
        <v>149</v>
      </c>
      <c r="BL360" t="s">
        <v>150</v>
      </c>
      <c r="BM360" t="s">
        <v>6165</v>
      </c>
      <c r="BN360" t="s">
        <v>74</v>
      </c>
      <c r="BO360" t="s">
        <v>74</v>
      </c>
      <c r="BP360" t="s">
        <v>74</v>
      </c>
      <c r="BQ360" t="s">
        <v>74</v>
      </c>
      <c r="BR360" t="s">
        <v>104</v>
      </c>
      <c r="BS360" t="s">
        <v>6166</v>
      </c>
      <c r="BT360" t="str">
        <f>HYPERLINK("https%3A%2F%2Fwww.webofscience.com%2Fwos%2Fwoscc%2Ffull-record%2FWOS:001042492100001","View Full Record in Web of Science")</f>
        <v>View Full Record in Web of Science</v>
      </c>
    </row>
    <row r="361" spans="1:72" x14ac:dyDescent="0.25">
      <c r="A361" t="s">
        <v>72</v>
      </c>
      <c r="B361" t="s">
        <v>6167</v>
      </c>
      <c r="C361" t="s">
        <v>74</v>
      </c>
      <c r="D361" t="s">
        <v>74</v>
      </c>
      <c r="E361" t="s">
        <v>74</v>
      </c>
      <c r="F361" t="s">
        <v>6168</v>
      </c>
      <c r="G361" t="s">
        <v>74</v>
      </c>
      <c r="H361" t="s">
        <v>74</v>
      </c>
      <c r="I361" t="s">
        <v>6169</v>
      </c>
      <c r="J361" t="s">
        <v>1932</v>
      </c>
      <c r="K361" t="s">
        <v>74</v>
      </c>
      <c r="L361" t="s">
        <v>74</v>
      </c>
      <c r="M361" t="s">
        <v>78</v>
      </c>
      <c r="N361" t="s">
        <v>79</v>
      </c>
      <c r="O361" t="s">
        <v>74</v>
      </c>
      <c r="P361" t="s">
        <v>74</v>
      </c>
      <c r="Q361" t="s">
        <v>74</v>
      </c>
      <c r="R361" t="s">
        <v>74</v>
      </c>
      <c r="S361" t="s">
        <v>74</v>
      </c>
      <c r="T361" t="s">
        <v>6170</v>
      </c>
      <c r="U361" t="s">
        <v>6171</v>
      </c>
      <c r="V361" t="s">
        <v>6172</v>
      </c>
      <c r="W361" t="s">
        <v>6173</v>
      </c>
      <c r="X361" t="s">
        <v>6174</v>
      </c>
      <c r="Y361" t="s">
        <v>6175</v>
      </c>
      <c r="Z361" t="s">
        <v>6176</v>
      </c>
      <c r="AA361" t="s">
        <v>6177</v>
      </c>
      <c r="AB361" t="s">
        <v>6178</v>
      </c>
      <c r="AC361" t="s">
        <v>6179</v>
      </c>
      <c r="AD361" t="s">
        <v>6180</v>
      </c>
      <c r="AE361" t="s">
        <v>6181</v>
      </c>
      <c r="AF361" t="s">
        <v>74</v>
      </c>
      <c r="AG361">
        <v>51</v>
      </c>
      <c r="AH361">
        <v>3</v>
      </c>
      <c r="AI361">
        <v>3</v>
      </c>
      <c r="AJ361">
        <v>5</v>
      </c>
      <c r="AK361">
        <v>8</v>
      </c>
      <c r="AL361" t="s">
        <v>311</v>
      </c>
      <c r="AM361" t="s">
        <v>312</v>
      </c>
      <c r="AN361" t="s">
        <v>313</v>
      </c>
      <c r="AO361" t="s">
        <v>1945</v>
      </c>
      <c r="AP361" t="s">
        <v>1946</v>
      </c>
      <c r="AQ361" t="s">
        <v>74</v>
      </c>
      <c r="AR361" t="s">
        <v>1947</v>
      </c>
      <c r="AS361" t="s">
        <v>1948</v>
      </c>
      <c r="AT361" t="s">
        <v>6182</v>
      </c>
      <c r="AU361">
        <v>2024</v>
      </c>
      <c r="AV361">
        <v>21</v>
      </c>
      <c r="AW361">
        <v>6</v>
      </c>
      <c r="AX361" t="s">
        <v>74</v>
      </c>
      <c r="AY361" t="s">
        <v>74</v>
      </c>
      <c r="AZ361" t="s">
        <v>74</v>
      </c>
      <c r="BA361" t="s">
        <v>74</v>
      </c>
      <c r="BB361">
        <v>895</v>
      </c>
      <c r="BC361">
        <v>925</v>
      </c>
      <c r="BD361" t="s">
        <v>74</v>
      </c>
      <c r="BE361" t="s">
        <v>6183</v>
      </c>
      <c r="BF361" t="str">
        <f>HYPERLINK("http://dx.doi.org/10.1080/16843703.2023.2257974","http://dx.doi.org/10.1080/16843703.2023.2257974")</f>
        <v>http://dx.doi.org/10.1080/16843703.2023.2257974</v>
      </c>
      <c r="BG361" t="s">
        <v>74</v>
      </c>
      <c r="BH361" t="s">
        <v>147</v>
      </c>
      <c r="BI361">
        <v>31</v>
      </c>
      <c r="BJ361" t="s">
        <v>1951</v>
      </c>
      <c r="BK361" t="s">
        <v>149</v>
      </c>
      <c r="BL361" t="s">
        <v>1952</v>
      </c>
      <c r="BM361" t="s">
        <v>6184</v>
      </c>
      <c r="BN361" t="s">
        <v>74</v>
      </c>
      <c r="BO361" t="s">
        <v>74</v>
      </c>
      <c r="BP361" t="s">
        <v>74</v>
      </c>
      <c r="BQ361" t="s">
        <v>74</v>
      </c>
      <c r="BR361" t="s">
        <v>104</v>
      </c>
      <c r="BS361" t="s">
        <v>6185</v>
      </c>
      <c r="BT361" t="str">
        <f>HYPERLINK("https%3A%2F%2Fwww.webofscience.com%2Fwos%2Fwoscc%2Ffull-record%2FWOS:001067038800001","View Full Record in Web of Science")</f>
        <v>View Full Record in Web of Science</v>
      </c>
    </row>
    <row r="362" spans="1:72" x14ac:dyDescent="0.25">
      <c r="A362" t="s">
        <v>72</v>
      </c>
      <c r="B362" t="s">
        <v>6186</v>
      </c>
      <c r="C362" t="s">
        <v>74</v>
      </c>
      <c r="D362" t="s">
        <v>74</v>
      </c>
      <c r="E362" t="s">
        <v>74</v>
      </c>
      <c r="F362" t="s">
        <v>6187</v>
      </c>
      <c r="G362" t="s">
        <v>74</v>
      </c>
      <c r="H362" t="s">
        <v>74</v>
      </c>
      <c r="I362" t="s">
        <v>6188</v>
      </c>
      <c r="J362" t="s">
        <v>697</v>
      </c>
      <c r="K362" t="s">
        <v>74</v>
      </c>
      <c r="L362" t="s">
        <v>74</v>
      </c>
      <c r="M362" t="s">
        <v>78</v>
      </c>
      <c r="N362" t="s">
        <v>79</v>
      </c>
      <c r="O362" t="s">
        <v>74</v>
      </c>
      <c r="P362" t="s">
        <v>74</v>
      </c>
      <c r="Q362" t="s">
        <v>74</v>
      </c>
      <c r="R362" t="s">
        <v>74</v>
      </c>
      <c r="S362" t="s">
        <v>74</v>
      </c>
      <c r="T362" t="s">
        <v>6189</v>
      </c>
      <c r="U362" t="s">
        <v>6190</v>
      </c>
      <c r="V362" t="s">
        <v>6191</v>
      </c>
      <c r="W362" t="s">
        <v>6192</v>
      </c>
      <c r="X362" t="s">
        <v>6193</v>
      </c>
      <c r="Y362" t="s">
        <v>6194</v>
      </c>
      <c r="Z362" t="s">
        <v>6195</v>
      </c>
      <c r="AA362" t="s">
        <v>74</v>
      </c>
      <c r="AB362" t="s">
        <v>74</v>
      </c>
      <c r="AC362" t="s">
        <v>6196</v>
      </c>
      <c r="AD362" t="s">
        <v>6197</v>
      </c>
      <c r="AE362" t="s">
        <v>6198</v>
      </c>
      <c r="AF362" t="s">
        <v>74</v>
      </c>
      <c r="AG362">
        <v>47</v>
      </c>
      <c r="AH362">
        <v>20</v>
      </c>
      <c r="AI362">
        <v>20</v>
      </c>
      <c r="AJ362">
        <v>7</v>
      </c>
      <c r="AK362">
        <v>31</v>
      </c>
      <c r="AL362" t="s">
        <v>707</v>
      </c>
      <c r="AM362" t="s">
        <v>246</v>
      </c>
      <c r="AN362" t="s">
        <v>708</v>
      </c>
      <c r="AO362" t="s">
        <v>709</v>
      </c>
      <c r="AP362" t="s">
        <v>710</v>
      </c>
      <c r="AQ362" t="s">
        <v>74</v>
      </c>
      <c r="AR362" t="s">
        <v>711</v>
      </c>
      <c r="AS362" t="s">
        <v>712</v>
      </c>
      <c r="AT362" t="s">
        <v>533</v>
      </c>
      <c r="AU362">
        <v>2023</v>
      </c>
      <c r="AV362">
        <v>176</v>
      </c>
      <c r="AW362" t="s">
        <v>74</v>
      </c>
      <c r="AX362" t="s">
        <v>74</v>
      </c>
      <c r="AY362" t="s">
        <v>74</v>
      </c>
      <c r="AZ362" t="s">
        <v>74</v>
      </c>
      <c r="BA362" t="s">
        <v>74</v>
      </c>
      <c r="BB362" t="s">
        <v>74</v>
      </c>
      <c r="BC362" t="s">
        <v>74</v>
      </c>
      <c r="BD362">
        <v>108985</v>
      </c>
      <c r="BE362" t="s">
        <v>6199</v>
      </c>
      <c r="BF362" t="str">
        <f>HYPERLINK("http://dx.doi.org/10.1016/j.cie.2023.108985","http://dx.doi.org/10.1016/j.cie.2023.108985")</f>
        <v>http://dx.doi.org/10.1016/j.cie.2023.108985</v>
      </c>
      <c r="BG362" t="s">
        <v>74</v>
      </c>
      <c r="BH362" t="s">
        <v>2984</v>
      </c>
      <c r="BI362">
        <v>13</v>
      </c>
      <c r="BJ362" t="s">
        <v>715</v>
      </c>
      <c r="BK362" t="s">
        <v>149</v>
      </c>
      <c r="BL362" t="s">
        <v>716</v>
      </c>
      <c r="BM362" t="s">
        <v>6200</v>
      </c>
      <c r="BN362" t="s">
        <v>74</v>
      </c>
      <c r="BO362" t="s">
        <v>74</v>
      </c>
      <c r="BP362" t="s">
        <v>74</v>
      </c>
      <c r="BQ362" t="s">
        <v>74</v>
      </c>
      <c r="BR362" t="s">
        <v>104</v>
      </c>
      <c r="BS362" t="s">
        <v>6201</v>
      </c>
      <c r="BT362" t="str">
        <f>HYPERLINK("https%3A%2F%2Fwww.webofscience.com%2Fwos%2Fwoscc%2Ffull-record%2FWOS:000925317900001","View Full Record in Web of Science")</f>
        <v>View Full Record in Web of Science</v>
      </c>
    </row>
    <row r="363" spans="1:72" x14ac:dyDescent="0.25">
      <c r="A363" t="s">
        <v>72</v>
      </c>
      <c r="B363" t="s">
        <v>6202</v>
      </c>
      <c r="C363" t="s">
        <v>74</v>
      </c>
      <c r="D363" t="s">
        <v>74</v>
      </c>
      <c r="E363" t="s">
        <v>74</v>
      </c>
      <c r="F363" t="s">
        <v>6203</v>
      </c>
      <c r="G363" t="s">
        <v>74</v>
      </c>
      <c r="H363" t="s">
        <v>74</v>
      </c>
      <c r="I363" t="s">
        <v>6204</v>
      </c>
      <c r="J363" t="s">
        <v>128</v>
      </c>
      <c r="K363" t="s">
        <v>74</v>
      </c>
      <c r="L363" t="s">
        <v>74</v>
      </c>
      <c r="M363" t="s">
        <v>78</v>
      </c>
      <c r="N363" t="s">
        <v>79</v>
      </c>
      <c r="O363" t="s">
        <v>74</v>
      </c>
      <c r="P363" t="s">
        <v>74</v>
      </c>
      <c r="Q363" t="s">
        <v>74</v>
      </c>
      <c r="R363" t="s">
        <v>74</v>
      </c>
      <c r="S363" t="s">
        <v>74</v>
      </c>
      <c r="T363" t="s">
        <v>6205</v>
      </c>
      <c r="U363" t="s">
        <v>6206</v>
      </c>
      <c r="V363" t="s">
        <v>6207</v>
      </c>
      <c r="W363" t="s">
        <v>6208</v>
      </c>
      <c r="X363" t="s">
        <v>6209</v>
      </c>
      <c r="Y363" t="s">
        <v>4094</v>
      </c>
      <c r="Z363" t="s">
        <v>806</v>
      </c>
      <c r="AA363" t="s">
        <v>807</v>
      </c>
      <c r="AB363" t="s">
        <v>6210</v>
      </c>
      <c r="AC363" t="s">
        <v>6211</v>
      </c>
      <c r="AD363" t="s">
        <v>6212</v>
      </c>
      <c r="AE363" t="s">
        <v>6213</v>
      </c>
      <c r="AF363" t="s">
        <v>74</v>
      </c>
      <c r="AG363">
        <v>34</v>
      </c>
      <c r="AH363">
        <v>9</v>
      </c>
      <c r="AI363">
        <v>9</v>
      </c>
      <c r="AJ363">
        <v>4</v>
      </c>
      <c r="AK363">
        <v>41</v>
      </c>
      <c r="AL363" t="s">
        <v>138</v>
      </c>
      <c r="AM363" t="s">
        <v>139</v>
      </c>
      <c r="AN363" t="s">
        <v>140</v>
      </c>
      <c r="AO363" t="s">
        <v>141</v>
      </c>
      <c r="AP363" t="s">
        <v>142</v>
      </c>
      <c r="AQ363" t="s">
        <v>74</v>
      </c>
      <c r="AR363" t="s">
        <v>143</v>
      </c>
      <c r="AS363" t="s">
        <v>144</v>
      </c>
      <c r="AT363" t="s">
        <v>1076</v>
      </c>
      <c r="AU363">
        <v>2023</v>
      </c>
      <c r="AV363">
        <v>238</v>
      </c>
      <c r="AW363" t="s">
        <v>74</v>
      </c>
      <c r="AX363" t="s">
        <v>74</v>
      </c>
      <c r="AY363" t="s">
        <v>74</v>
      </c>
      <c r="AZ363" t="s">
        <v>74</v>
      </c>
      <c r="BA363" t="s">
        <v>74</v>
      </c>
      <c r="BB363" t="s">
        <v>74</v>
      </c>
      <c r="BC363" t="s">
        <v>74</v>
      </c>
      <c r="BD363">
        <v>109403</v>
      </c>
      <c r="BE363" t="s">
        <v>6214</v>
      </c>
      <c r="BF363" t="str">
        <f>HYPERLINK("http://dx.doi.org/10.1016/j.ress.2023.109403","http://dx.doi.org/10.1016/j.ress.2023.109403")</f>
        <v>http://dx.doi.org/10.1016/j.ress.2023.109403</v>
      </c>
      <c r="BG363" t="s">
        <v>74</v>
      </c>
      <c r="BH363" t="s">
        <v>2390</v>
      </c>
      <c r="BI363">
        <v>14</v>
      </c>
      <c r="BJ363" t="s">
        <v>148</v>
      </c>
      <c r="BK363" t="s">
        <v>149</v>
      </c>
      <c r="BL363" t="s">
        <v>150</v>
      </c>
      <c r="BM363" t="s">
        <v>6215</v>
      </c>
      <c r="BN363" t="s">
        <v>74</v>
      </c>
      <c r="BO363" t="s">
        <v>74</v>
      </c>
      <c r="BP363" t="s">
        <v>74</v>
      </c>
      <c r="BQ363" t="s">
        <v>74</v>
      </c>
      <c r="BR363" t="s">
        <v>104</v>
      </c>
      <c r="BS363" t="s">
        <v>6216</v>
      </c>
      <c r="BT363" t="str">
        <f>HYPERLINK("https%3A%2F%2Fwww.webofscience.com%2Fwos%2Fwoscc%2Ffull-record%2FWOS:001012957300001","View Full Record in Web of Science")</f>
        <v>View Full Record in Web of Science</v>
      </c>
    </row>
    <row r="364" spans="1:72" x14ac:dyDescent="0.25">
      <c r="A364" t="s">
        <v>72</v>
      </c>
      <c r="B364" t="s">
        <v>6217</v>
      </c>
      <c r="C364" t="s">
        <v>74</v>
      </c>
      <c r="D364" t="s">
        <v>74</v>
      </c>
      <c r="E364" t="s">
        <v>74</v>
      </c>
      <c r="F364" t="s">
        <v>6218</v>
      </c>
      <c r="G364" t="s">
        <v>74</v>
      </c>
      <c r="H364" t="s">
        <v>74</v>
      </c>
      <c r="I364" t="s">
        <v>6219</v>
      </c>
      <c r="J364" t="s">
        <v>1402</v>
      </c>
      <c r="K364" t="s">
        <v>74</v>
      </c>
      <c r="L364" t="s">
        <v>74</v>
      </c>
      <c r="M364" t="s">
        <v>78</v>
      </c>
      <c r="N364" t="s">
        <v>79</v>
      </c>
      <c r="O364" t="s">
        <v>74</v>
      </c>
      <c r="P364" t="s">
        <v>74</v>
      </c>
      <c r="Q364" t="s">
        <v>74</v>
      </c>
      <c r="R364" t="s">
        <v>74</v>
      </c>
      <c r="S364" t="s">
        <v>74</v>
      </c>
      <c r="T364" t="s">
        <v>6220</v>
      </c>
      <c r="U364" t="s">
        <v>6221</v>
      </c>
      <c r="V364" t="s">
        <v>6222</v>
      </c>
      <c r="W364" t="s">
        <v>6223</v>
      </c>
      <c r="X364" t="s">
        <v>2564</v>
      </c>
      <c r="Y364" t="s">
        <v>6224</v>
      </c>
      <c r="Z364" t="s">
        <v>6225</v>
      </c>
      <c r="AA364" t="s">
        <v>74</v>
      </c>
      <c r="AB364" t="s">
        <v>74</v>
      </c>
      <c r="AC364" t="s">
        <v>6226</v>
      </c>
      <c r="AD364" t="s">
        <v>6227</v>
      </c>
      <c r="AE364" t="s">
        <v>6228</v>
      </c>
      <c r="AF364" t="s">
        <v>74</v>
      </c>
      <c r="AG364">
        <v>34</v>
      </c>
      <c r="AH364">
        <v>13</v>
      </c>
      <c r="AI364">
        <v>15</v>
      </c>
      <c r="AJ364">
        <v>2</v>
      </c>
      <c r="AK364">
        <v>49</v>
      </c>
      <c r="AL364" t="s">
        <v>1415</v>
      </c>
      <c r="AM364" t="s">
        <v>1416</v>
      </c>
      <c r="AN364" t="s">
        <v>1417</v>
      </c>
      <c r="AO364" t="s">
        <v>1418</v>
      </c>
      <c r="AP364" t="s">
        <v>1419</v>
      </c>
      <c r="AQ364" t="s">
        <v>74</v>
      </c>
      <c r="AR364" t="s">
        <v>1420</v>
      </c>
      <c r="AS364" t="s">
        <v>1421</v>
      </c>
      <c r="AT364" t="s">
        <v>3765</v>
      </c>
      <c r="AU364">
        <v>2021</v>
      </c>
      <c r="AV364">
        <v>53</v>
      </c>
      <c r="AW364">
        <v>11</v>
      </c>
      <c r="AX364" t="s">
        <v>74</v>
      </c>
      <c r="AY364" t="s">
        <v>74</v>
      </c>
      <c r="AZ364" t="s">
        <v>74</v>
      </c>
      <c r="BA364" t="s">
        <v>74</v>
      </c>
      <c r="BB364">
        <v>1231</v>
      </c>
      <c r="BC364">
        <v>1243</v>
      </c>
      <c r="BD364" t="s">
        <v>74</v>
      </c>
      <c r="BE364" t="s">
        <v>6229</v>
      </c>
      <c r="BF364" t="str">
        <f>HYPERLINK("http://dx.doi.org/10.1080/24725854.2020.1825879","http://dx.doi.org/10.1080/24725854.2020.1825879")</f>
        <v>http://dx.doi.org/10.1080/24725854.2020.1825879</v>
      </c>
      <c r="BG364" t="s">
        <v>74</v>
      </c>
      <c r="BH364" t="s">
        <v>5353</v>
      </c>
      <c r="BI364">
        <v>13</v>
      </c>
      <c r="BJ364" t="s">
        <v>148</v>
      </c>
      <c r="BK364" t="s">
        <v>149</v>
      </c>
      <c r="BL364" t="s">
        <v>150</v>
      </c>
      <c r="BM364" t="s">
        <v>6230</v>
      </c>
      <c r="BN364" t="s">
        <v>74</v>
      </c>
      <c r="BO364" t="s">
        <v>74</v>
      </c>
      <c r="BP364" t="s">
        <v>74</v>
      </c>
      <c r="BQ364" t="s">
        <v>74</v>
      </c>
      <c r="BR364" t="s">
        <v>104</v>
      </c>
      <c r="BS364" t="s">
        <v>6231</v>
      </c>
      <c r="BT364" t="str">
        <f>HYPERLINK("https%3A%2F%2Fwww.webofscience.com%2Fwos%2Fwoscc%2Ffull-record%2FWOS:000590804400001","View Full Record in Web of Science")</f>
        <v>View Full Record in Web of Science</v>
      </c>
    </row>
    <row r="365" spans="1:72" x14ac:dyDescent="0.25">
      <c r="A365" t="s">
        <v>72</v>
      </c>
      <c r="B365" t="s">
        <v>6232</v>
      </c>
      <c r="C365" t="s">
        <v>74</v>
      </c>
      <c r="D365" t="s">
        <v>74</v>
      </c>
      <c r="E365" t="s">
        <v>74</v>
      </c>
      <c r="F365" t="s">
        <v>6233</v>
      </c>
      <c r="G365" t="s">
        <v>74</v>
      </c>
      <c r="H365" t="s">
        <v>74</v>
      </c>
      <c r="I365" t="s">
        <v>6234</v>
      </c>
      <c r="J365" t="s">
        <v>128</v>
      </c>
      <c r="K365" t="s">
        <v>74</v>
      </c>
      <c r="L365" t="s">
        <v>74</v>
      </c>
      <c r="M365" t="s">
        <v>78</v>
      </c>
      <c r="N365" t="s">
        <v>79</v>
      </c>
      <c r="O365" t="s">
        <v>74</v>
      </c>
      <c r="P365" t="s">
        <v>74</v>
      </c>
      <c r="Q365" t="s">
        <v>74</v>
      </c>
      <c r="R365" t="s">
        <v>74</v>
      </c>
      <c r="S365" t="s">
        <v>74</v>
      </c>
      <c r="T365" t="s">
        <v>6235</v>
      </c>
      <c r="U365" t="s">
        <v>6236</v>
      </c>
      <c r="V365" t="s">
        <v>6237</v>
      </c>
      <c r="W365" t="s">
        <v>6238</v>
      </c>
      <c r="X365" t="s">
        <v>6239</v>
      </c>
      <c r="Y365" t="s">
        <v>6240</v>
      </c>
      <c r="Z365" t="s">
        <v>6241</v>
      </c>
      <c r="AA365" t="s">
        <v>74</v>
      </c>
      <c r="AB365" t="s">
        <v>74</v>
      </c>
      <c r="AC365" t="s">
        <v>6242</v>
      </c>
      <c r="AD365" t="s">
        <v>6243</v>
      </c>
      <c r="AE365" t="s">
        <v>6244</v>
      </c>
      <c r="AF365" t="s">
        <v>74</v>
      </c>
      <c r="AG365">
        <v>42</v>
      </c>
      <c r="AH365">
        <v>36</v>
      </c>
      <c r="AI365">
        <v>38</v>
      </c>
      <c r="AJ365">
        <v>4</v>
      </c>
      <c r="AK365">
        <v>54</v>
      </c>
      <c r="AL365" t="s">
        <v>138</v>
      </c>
      <c r="AM365" t="s">
        <v>246</v>
      </c>
      <c r="AN365" t="s">
        <v>247</v>
      </c>
      <c r="AO365" t="s">
        <v>141</v>
      </c>
      <c r="AP365" t="s">
        <v>142</v>
      </c>
      <c r="AQ365" t="s">
        <v>74</v>
      </c>
      <c r="AR365" t="s">
        <v>143</v>
      </c>
      <c r="AS365" t="s">
        <v>144</v>
      </c>
      <c r="AT365" t="s">
        <v>2225</v>
      </c>
      <c r="AU365">
        <v>2021</v>
      </c>
      <c r="AV365">
        <v>212</v>
      </c>
      <c r="AW365" t="s">
        <v>74</v>
      </c>
      <c r="AX365" t="s">
        <v>74</v>
      </c>
      <c r="AY365" t="s">
        <v>74</v>
      </c>
      <c r="AZ365" t="s">
        <v>74</v>
      </c>
      <c r="BA365" t="s">
        <v>74</v>
      </c>
      <c r="BB365" t="s">
        <v>74</v>
      </c>
      <c r="BC365" t="s">
        <v>74</v>
      </c>
      <c r="BD365">
        <v>107628</v>
      </c>
      <c r="BE365" t="s">
        <v>6245</v>
      </c>
      <c r="BF365" t="str">
        <f>HYPERLINK("http://dx.doi.org/10.1016/j.ress.2021.107628","http://dx.doi.org/10.1016/j.ress.2021.107628")</f>
        <v>http://dx.doi.org/10.1016/j.ress.2021.107628</v>
      </c>
      <c r="BG365" t="s">
        <v>74</v>
      </c>
      <c r="BH365" t="s">
        <v>756</v>
      </c>
      <c r="BI365">
        <v>12</v>
      </c>
      <c r="BJ365" t="s">
        <v>148</v>
      </c>
      <c r="BK365" t="s">
        <v>149</v>
      </c>
      <c r="BL365" t="s">
        <v>150</v>
      </c>
      <c r="BM365" t="s">
        <v>6246</v>
      </c>
      <c r="BN365" t="s">
        <v>74</v>
      </c>
      <c r="BO365" t="s">
        <v>74</v>
      </c>
      <c r="BP365" t="s">
        <v>74</v>
      </c>
      <c r="BQ365" t="s">
        <v>74</v>
      </c>
      <c r="BR365" t="s">
        <v>104</v>
      </c>
      <c r="BS365" t="s">
        <v>6247</v>
      </c>
      <c r="BT365" t="str">
        <f>HYPERLINK("https%3A%2F%2Fwww.webofscience.com%2Fwos%2Fwoscc%2Ffull-record%2FWOS:000663910000029","View Full Record in Web of Science")</f>
        <v>View Full Record in Web of Science</v>
      </c>
    </row>
    <row r="366" spans="1:72" x14ac:dyDescent="0.25">
      <c r="A366" t="s">
        <v>72</v>
      </c>
      <c r="B366" t="s">
        <v>6248</v>
      </c>
      <c r="C366" t="s">
        <v>74</v>
      </c>
      <c r="D366" t="s">
        <v>74</v>
      </c>
      <c r="E366" t="s">
        <v>74</v>
      </c>
      <c r="F366" t="s">
        <v>6249</v>
      </c>
      <c r="G366" t="s">
        <v>74</v>
      </c>
      <c r="H366" t="s">
        <v>74</v>
      </c>
      <c r="I366" t="s">
        <v>6250</v>
      </c>
      <c r="J366" t="s">
        <v>722</v>
      </c>
      <c r="K366" t="s">
        <v>74</v>
      </c>
      <c r="L366" t="s">
        <v>74</v>
      </c>
      <c r="M366" t="s">
        <v>78</v>
      </c>
      <c r="N366" t="s">
        <v>79</v>
      </c>
      <c r="O366" t="s">
        <v>74</v>
      </c>
      <c r="P366" t="s">
        <v>74</v>
      </c>
      <c r="Q366" t="s">
        <v>74</v>
      </c>
      <c r="R366" t="s">
        <v>74</v>
      </c>
      <c r="S366" t="s">
        <v>74</v>
      </c>
      <c r="T366" t="s">
        <v>6251</v>
      </c>
      <c r="U366" t="s">
        <v>6252</v>
      </c>
      <c r="V366" t="s">
        <v>6253</v>
      </c>
      <c r="W366" t="s">
        <v>6254</v>
      </c>
      <c r="X366" t="s">
        <v>6255</v>
      </c>
      <c r="Y366" t="s">
        <v>6256</v>
      </c>
      <c r="Z366" t="s">
        <v>6257</v>
      </c>
      <c r="AA366" t="s">
        <v>3149</v>
      </c>
      <c r="AB366" t="s">
        <v>74</v>
      </c>
      <c r="AC366" t="s">
        <v>6258</v>
      </c>
      <c r="AD366" t="s">
        <v>6259</v>
      </c>
      <c r="AE366" t="s">
        <v>6260</v>
      </c>
      <c r="AF366" t="s">
        <v>74</v>
      </c>
      <c r="AG366">
        <v>40</v>
      </c>
      <c r="AH366">
        <v>0</v>
      </c>
      <c r="AI366">
        <v>0</v>
      </c>
      <c r="AJ366">
        <v>2</v>
      </c>
      <c r="AK366">
        <v>15</v>
      </c>
      <c r="AL366" t="s">
        <v>732</v>
      </c>
      <c r="AM366" t="s">
        <v>733</v>
      </c>
      <c r="AN366" t="s">
        <v>734</v>
      </c>
      <c r="AO366" t="s">
        <v>735</v>
      </c>
      <c r="AP366" t="s">
        <v>736</v>
      </c>
      <c r="AQ366" t="s">
        <v>74</v>
      </c>
      <c r="AR366" t="s">
        <v>737</v>
      </c>
      <c r="AS366" t="s">
        <v>738</v>
      </c>
      <c r="AT366" t="s">
        <v>74</v>
      </c>
      <c r="AU366">
        <v>2023</v>
      </c>
      <c r="AV366">
        <v>17</v>
      </c>
      <c r="AW366">
        <v>2</v>
      </c>
      <c r="AX366" t="s">
        <v>74</v>
      </c>
      <c r="AY366" t="s">
        <v>74</v>
      </c>
      <c r="AZ366" t="s">
        <v>74</v>
      </c>
      <c r="BA366" t="s">
        <v>74</v>
      </c>
      <c r="BB366">
        <v>169</v>
      </c>
      <c r="BC366">
        <v>191</v>
      </c>
      <c r="BD366" t="s">
        <v>74</v>
      </c>
      <c r="BE366" t="s">
        <v>6261</v>
      </c>
      <c r="BF366" t="str">
        <f>HYPERLINK("http://dx.doi.org/10.1504/EJIE.2023.129450","http://dx.doi.org/10.1504/EJIE.2023.129450")</f>
        <v>http://dx.doi.org/10.1504/EJIE.2023.129450</v>
      </c>
      <c r="BG366" t="s">
        <v>74</v>
      </c>
      <c r="BH366" t="s">
        <v>74</v>
      </c>
      <c r="BI366">
        <v>24</v>
      </c>
      <c r="BJ366" t="s">
        <v>148</v>
      </c>
      <c r="BK366" t="s">
        <v>149</v>
      </c>
      <c r="BL366" t="s">
        <v>150</v>
      </c>
      <c r="BM366" t="s">
        <v>6262</v>
      </c>
      <c r="BN366" t="s">
        <v>74</v>
      </c>
      <c r="BO366" t="s">
        <v>74</v>
      </c>
      <c r="BP366" t="s">
        <v>74</v>
      </c>
      <c r="BQ366" t="s">
        <v>74</v>
      </c>
      <c r="BR366" t="s">
        <v>104</v>
      </c>
      <c r="BS366" t="s">
        <v>6263</v>
      </c>
      <c r="BT366" t="str">
        <f>HYPERLINK("https%3A%2F%2Fwww.webofscience.com%2Fwos%2Fwoscc%2Ffull-record%2FWOS:000946582800001","View Full Record in Web of Science")</f>
        <v>View Full Record in Web of Science</v>
      </c>
    </row>
    <row r="367" spans="1:72" x14ac:dyDescent="0.25">
      <c r="A367" t="s">
        <v>72</v>
      </c>
      <c r="B367" t="s">
        <v>6264</v>
      </c>
      <c r="C367" t="s">
        <v>74</v>
      </c>
      <c r="D367" t="s">
        <v>74</v>
      </c>
      <c r="E367" t="s">
        <v>74</v>
      </c>
      <c r="F367" t="s">
        <v>6265</v>
      </c>
      <c r="G367" t="s">
        <v>74</v>
      </c>
      <c r="H367" t="s">
        <v>74</v>
      </c>
      <c r="I367" t="s">
        <v>6266</v>
      </c>
      <c r="J367" t="s">
        <v>128</v>
      </c>
      <c r="K367" t="s">
        <v>74</v>
      </c>
      <c r="L367" t="s">
        <v>74</v>
      </c>
      <c r="M367" t="s">
        <v>78</v>
      </c>
      <c r="N367" t="s">
        <v>79</v>
      </c>
      <c r="O367" t="s">
        <v>74</v>
      </c>
      <c r="P367" t="s">
        <v>74</v>
      </c>
      <c r="Q367" t="s">
        <v>74</v>
      </c>
      <c r="R367" t="s">
        <v>74</v>
      </c>
      <c r="S367" t="s">
        <v>74</v>
      </c>
      <c r="T367" t="s">
        <v>6267</v>
      </c>
      <c r="U367" t="s">
        <v>6268</v>
      </c>
      <c r="V367" t="s">
        <v>6269</v>
      </c>
      <c r="W367" t="s">
        <v>6270</v>
      </c>
      <c r="X367" t="s">
        <v>6271</v>
      </c>
      <c r="Y367" t="s">
        <v>6240</v>
      </c>
      <c r="Z367" t="s">
        <v>6241</v>
      </c>
      <c r="AA367" t="s">
        <v>74</v>
      </c>
      <c r="AB367" t="s">
        <v>74</v>
      </c>
      <c r="AC367" t="s">
        <v>6272</v>
      </c>
      <c r="AD367" t="s">
        <v>6273</v>
      </c>
      <c r="AE367" t="s">
        <v>6274</v>
      </c>
      <c r="AF367" t="s">
        <v>74</v>
      </c>
      <c r="AG367">
        <v>51</v>
      </c>
      <c r="AH367">
        <v>1</v>
      </c>
      <c r="AI367">
        <v>1</v>
      </c>
      <c r="AJ367">
        <v>12</v>
      </c>
      <c r="AK367">
        <v>12</v>
      </c>
      <c r="AL367" t="s">
        <v>138</v>
      </c>
      <c r="AM367" t="s">
        <v>139</v>
      </c>
      <c r="AN367" t="s">
        <v>140</v>
      </c>
      <c r="AO367" t="s">
        <v>141</v>
      </c>
      <c r="AP367" t="s">
        <v>142</v>
      </c>
      <c r="AQ367" t="s">
        <v>74</v>
      </c>
      <c r="AR367" t="s">
        <v>143</v>
      </c>
      <c r="AS367" t="s">
        <v>144</v>
      </c>
      <c r="AT367" t="s">
        <v>1867</v>
      </c>
      <c r="AU367">
        <v>2025</v>
      </c>
      <c r="AV367">
        <v>256</v>
      </c>
      <c r="AW367" t="s">
        <v>74</v>
      </c>
      <c r="AX367" t="s">
        <v>74</v>
      </c>
      <c r="AY367" t="s">
        <v>74</v>
      </c>
      <c r="AZ367" t="s">
        <v>74</v>
      </c>
      <c r="BA367" t="s">
        <v>74</v>
      </c>
      <c r="BB367" t="s">
        <v>74</v>
      </c>
      <c r="BC367" t="s">
        <v>74</v>
      </c>
      <c r="BD367">
        <v>110711</v>
      </c>
      <c r="BE367" t="s">
        <v>6275</v>
      </c>
      <c r="BF367" t="str">
        <f>HYPERLINK("http://dx.doi.org/10.1016/j.ress.2024.110711","http://dx.doi.org/10.1016/j.ress.2024.110711")</f>
        <v>http://dx.doi.org/10.1016/j.ress.2024.110711</v>
      </c>
      <c r="BG367" t="s">
        <v>74</v>
      </c>
      <c r="BH367" t="s">
        <v>1869</v>
      </c>
      <c r="BI367">
        <v>16</v>
      </c>
      <c r="BJ367" t="s">
        <v>148</v>
      </c>
      <c r="BK367" t="s">
        <v>149</v>
      </c>
      <c r="BL367" t="s">
        <v>150</v>
      </c>
      <c r="BM367" t="s">
        <v>6276</v>
      </c>
      <c r="BN367" t="s">
        <v>74</v>
      </c>
      <c r="BO367" t="s">
        <v>74</v>
      </c>
      <c r="BP367" t="s">
        <v>74</v>
      </c>
      <c r="BQ367" t="s">
        <v>74</v>
      </c>
      <c r="BR367" t="s">
        <v>104</v>
      </c>
      <c r="BS367" t="s">
        <v>6277</v>
      </c>
      <c r="BT367" t="str">
        <f>HYPERLINK("https%3A%2F%2Fwww.webofscience.com%2Fwos%2Fwoscc%2Ffull-record%2FWOS:001385751900001","View Full Record in Web of Science")</f>
        <v>View Full Record in Web of Science</v>
      </c>
    </row>
    <row r="368" spans="1:72" x14ac:dyDescent="0.25">
      <c r="A368" t="s">
        <v>72</v>
      </c>
      <c r="B368" t="s">
        <v>6278</v>
      </c>
      <c r="C368" t="s">
        <v>74</v>
      </c>
      <c r="D368" t="s">
        <v>74</v>
      </c>
      <c r="E368" t="s">
        <v>74</v>
      </c>
      <c r="F368" t="s">
        <v>6279</v>
      </c>
      <c r="G368" t="s">
        <v>74</v>
      </c>
      <c r="H368" t="s">
        <v>74</v>
      </c>
      <c r="I368" t="s">
        <v>6280</v>
      </c>
      <c r="J368" t="s">
        <v>697</v>
      </c>
      <c r="K368" t="s">
        <v>74</v>
      </c>
      <c r="L368" t="s">
        <v>74</v>
      </c>
      <c r="M368" t="s">
        <v>78</v>
      </c>
      <c r="N368" t="s">
        <v>79</v>
      </c>
      <c r="O368" t="s">
        <v>74</v>
      </c>
      <c r="P368" t="s">
        <v>74</v>
      </c>
      <c r="Q368" t="s">
        <v>74</v>
      </c>
      <c r="R368" t="s">
        <v>74</v>
      </c>
      <c r="S368" t="s">
        <v>74</v>
      </c>
      <c r="T368" t="s">
        <v>6281</v>
      </c>
      <c r="U368" t="s">
        <v>6282</v>
      </c>
      <c r="V368" t="s">
        <v>6283</v>
      </c>
      <c r="W368" t="s">
        <v>6284</v>
      </c>
      <c r="X368" t="s">
        <v>6285</v>
      </c>
      <c r="Y368" t="s">
        <v>2810</v>
      </c>
      <c r="Z368" t="s">
        <v>6286</v>
      </c>
      <c r="AA368" t="s">
        <v>6287</v>
      </c>
      <c r="AB368" t="s">
        <v>74</v>
      </c>
      <c r="AC368" t="s">
        <v>3253</v>
      </c>
      <c r="AD368" t="s">
        <v>482</v>
      </c>
      <c r="AE368" t="s">
        <v>6004</v>
      </c>
      <c r="AF368" t="s">
        <v>74</v>
      </c>
      <c r="AG368">
        <v>34</v>
      </c>
      <c r="AH368">
        <v>14</v>
      </c>
      <c r="AI368">
        <v>14</v>
      </c>
      <c r="AJ368">
        <v>5</v>
      </c>
      <c r="AK368">
        <v>32</v>
      </c>
      <c r="AL368" t="s">
        <v>707</v>
      </c>
      <c r="AM368" t="s">
        <v>246</v>
      </c>
      <c r="AN368" t="s">
        <v>708</v>
      </c>
      <c r="AO368" t="s">
        <v>709</v>
      </c>
      <c r="AP368" t="s">
        <v>710</v>
      </c>
      <c r="AQ368" t="s">
        <v>74</v>
      </c>
      <c r="AR368" t="s">
        <v>711</v>
      </c>
      <c r="AS368" t="s">
        <v>712</v>
      </c>
      <c r="AT368" t="s">
        <v>275</v>
      </c>
      <c r="AU368">
        <v>2023</v>
      </c>
      <c r="AV368">
        <v>177</v>
      </c>
      <c r="AW368" t="s">
        <v>74</v>
      </c>
      <c r="AX368" t="s">
        <v>74</v>
      </c>
      <c r="AY368" t="s">
        <v>74</v>
      </c>
      <c r="AZ368" t="s">
        <v>74</v>
      </c>
      <c r="BA368" t="s">
        <v>74</v>
      </c>
      <c r="BB368" t="s">
        <v>74</v>
      </c>
      <c r="BC368" t="s">
        <v>74</v>
      </c>
      <c r="BD368">
        <v>108929</v>
      </c>
      <c r="BE368" t="s">
        <v>6288</v>
      </c>
      <c r="BF368" t="str">
        <f>HYPERLINK("http://dx.doi.org/10.1016/j.cie.2022.108929","http://dx.doi.org/10.1016/j.cie.2022.108929")</f>
        <v>http://dx.doi.org/10.1016/j.cie.2022.108929</v>
      </c>
      <c r="BG368" t="s">
        <v>74</v>
      </c>
      <c r="BH368" t="s">
        <v>2984</v>
      </c>
      <c r="BI368">
        <v>9</v>
      </c>
      <c r="BJ368" t="s">
        <v>715</v>
      </c>
      <c r="BK368" t="s">
        <v>149</v>
      </c>
      <c r="BL368" t="s">
        <v>716</v>
      </c>
      <c r="BM368" t="s">
        <v>6289</v>
      </c>
      <c r="BN368" t="s">
        <v>74</v>
      </c>
      <c r="BO368" t="s">
        <v>74</v>
      </c>
      <c r="BP368" t="s">
        <v>74</v>
      </c>
      <c r="BQ368" t="s">
        <v>74</v>
      </c>
      <c r="BR368" t="s">
        <v>104</v>
      </c>
      <c r="BS368" t="s">
        <v>6290</v>
      </c>
      <c r="BT368" t="str">
        <f>HYPERLINK("https%3A%2F%2Fwww.webofscience.com%2Fwos%2Fwoscc%2Ffull-record%2FWOS:000968027800001","View Full Record in Web of Science")</f>
        <v>View Full Record in Web of Science</v>
      </c>
    </row>
    <row r="369" spans="1:72" x14ac:dyDescent="0.25">
      <c r="A369" t="s">
        <v>72</v>
      </c>
      <c r="B369" t="s">
        <v>6291</v>
      </c>
      <c r="C369" t="s">
        <v>74</v>
      </c>
      <c r="D369" t="s">
        <v>74</v>
      </c>
      <c r="E369" t="s">
        <v>74</v>
      </c>
      <c r="F369" t="s">
        <v>6292</v>
      </c>
      <c r="G369" t="s">
        <v>74</v>
      </c>
      <c r="H369" t="s">
        <v>74</v>
      </c>
      <c r="I369" t="s">
        <v>6293</v>
      </c>
      <c r="J369" t="s">
        <v>1932</v>
      </c>
      <c r="K369" t="s">
        <v>74</v>
      </c>
      <c r="L369" t="s">
        <v>74</v>
      </c>
      <c r="M369" t="s">
        <v>78</v>
      </c>
      <c r="N369" t="s">
        <v>79</v>
      </c>
      <c r="O369" t="s">
        <v>74</v>
      </c>
      <c r="P369" t="s">
        <v>74</v>
      </c>
      <c r="Q369" t="s">
        <v>74</v>
      </c>
      <c r="R369" t="s">
        <v>74</v>
      </c>
      <c r="S369" t="s">
        <v>74</v>
      </c>
      <c r="T369" t="s">
        <v>6294</v>
      </c>
      <c r="U369" t="s">
        <v>6295</v>
      </c>
      <c r="V369" t="s">
        <v>6296</v>
      </c>
      <c r="W369" t="s">
        <v>6297</v>
      </c>
      <c r="X369" t="s">
        <v>6298</v>
      </c>
      <c r="Y369" t="s">
        <v>6299</v>
      </c>
      <c r="Z369" t="s">
        <v>2331</v>
      </c>
      <c r="AA369" t="s">
        <v>6300</v>
      </c>
      <c r="AB369" t="s">
        <v>74</v>
      </c>
      <c r="AC369" t="s">
        <v>6301</v>
      </c>
      <c r="AD369" t="s">
        <v>482</v>
      </c>
      <c r="AE369" t="s">
        <v>6302</v>
      </c>
      <c r="AF369" t="s">
        <v>74</v>
      </c>
      <c r="AG369">
        <v>35</v>
      </c>
      <c r="AH369">
        <v>3</v>
      </c>
      <c r="AI369">
        <v>3</v>
      </c>
      <c r="AJ369">
        <v>4</v>
      </c>
      <c r="AK369">
        <v>20</v>
      </c>
      <c r="AL369" t="s">
        <v>311</v>
      </c>
      <c r="AM369" t="s">
        <v>312</v>
      </c>
      <c r="AN369" t="s">
        <v>313</v>
      </c>
      <c r="AO369" t="s">
        <v>1945</v>
      </c>
      <c r="AP369" t="s">
        <v>1946</v>
      </c>
      <c r="AQ369" t="s">
        <v>74</v>
      </c>
      <c r="AR369" t="s">
        <v>1947</v>
      </c>
      <c r="AS369" t="s">
        <v>1948</v>
      </c>
      <c r="AT369" t="s">
        <v>3367</v>
      </c>
      <c r="AU369">
        <v>2023</v>
      </c>
      <c r="AV369">
        <v>20</v>
      </c>
      <c r="AW369">
        <v>4</v>
      </c>
      <c r="AX369" t="s">
        <v>74</v>
      </c>
      <c r="AY369" t="s">
        <v>74</v>
      </c>
      <c r="AZ369" t="s">
        <v>74</v>
      </c>
      <c r="BA369" t="s">
        <v>74</v>
      </c>
      <c r="BB369">
        <v>511</v>
      </c>
      <c r="BC369">
        <v>527</v>
      </c>
      <c r="BD369" t="s">
        <v>74</v>
      </c>
      <c r="BE369" t="s">
        <v>6303</v>
      </c>
      <c r="BF369" t="str">
        <f>HYPERLINK("http://dx.doi.org/10.1080/16843703.2022.2126263","http://dx.doi.org/10.1080/16843703.2022.2126263")</f>
        <v>http://dx.doi.org/10.1080/16843703.2022.2126263</v>
      </c>
      <c r="BG369" t="s">
        <v>74</v>
      </c>
      <c r="BH369" t="s">
        <v>3031</v>
      </c>
      <c r="BI369">
        <v>17</v>
      </c>
      <c r="BJ369" t="s">
        <v>1951</v>
      </c>
      <c r="BK369" t="s">
        <v>149</v>
      </c>
      <c r="BL369" t="s">
        <v>1952</v>
      </c>
      <c r="BM369" t="s">
        <v>6304</v>
      </c>
      <c r="BN369" t="s">
        <v>74</v>
      </c>
      <c r="BO369" t="s">
        <v>2337</v>
      </c>
      <c r="BP369" t="s">
        <v>74</v>
      </c>
      <c r="BQ369" t="s">
        <v>74</v>
      </c>
      <c r="BR369" t="s">
        <v>104</v>
      </c>
      <c r="BS369" t="s">
        <v>6305</v>
      </c>
      <c r="BT369" t="str">
        <f>HYPERLINK("https%3A%2F%2Fwww.webofscience.com%2Fwos%2Fwoscc%2Ffull-record%2FWOS:000883268600001","View Full Record in Web of Science")</f>
        <v>View Full Record in Web of Science</v>
      </c>
    </row>
    <row r="370" spans="1:72" x14ac:dyDescent="0.25">
      <c r="A370" t="s">
        <v>72</v>
      </c>
      <c r="B370" t="s">
        <v>6306</v>
      </c>
      <c r="C370" t="s">
        <v>74</v>
      </c>
      <c r="D370" t="s">
        <v>74</v>
      </c>
      <c r="E370" t="s">
        <v>74</v>
      </c>
      <c r="F370" t="s">
        <v>6307</v>
      </c>
      <c r="G370" t="s">
        <v>74</v>
      </c>
      <c r="H370" t="s">
        <v>74</v>
      </c>
      <c r="I370" t="s">
        <v>6308</v>
      </c>
      <c r="J370" t="s">
        <v>299</v>
      </c>
      <c r="K370" t="s">
        <v>74</v>
      </c>
      <c r="L370" t="s">
        <v>74</v>
      </c>
      <c r="M370" t="s">
        <v>78</v>
      </c>
      <c r="N370" t="s">
        <v>79</v>
      </c>
      <c r="O370" t="s">
        <v>74</v>
      </c>
      <c r="P370" t="s">
        <v>74</v>
      </c>
      <c r="Q370" t="s">
        <v>74</v>
      </c>
      <c r="R370" t="s">
        <v>74</v>
      </c>
      <c r="S370" t="s">
        <v>74</v>
      </c>
      <c r="T370" t="s">
        <v>6309</v>
      </c>
      <c r="U370" t="s">
        <v>6310</v>
      </c>
      <c r="V370" t="s">
        <v>6311</v>
      </c>
      <c r="W370" t="s">
        <v>6312</v>
      </c>
      <c r="X370" t="s">
        <v>1785</v>
      </c>
      <c r="Y370" t="s">
        <v>6313</v>
      </c>
      <c r="Z370" t="s">
        <v>6241</v>
      </c>
      <c r="AA370" t="s">
        <v>74</v>
      </c>
      <c r="AB370" t="s">
        <v>74</v>
      </c>
      <c r="AC370" t="s">
        <v>6314</v>
      </c>
      <c r="AD370" t="s">
        <v>6315</v>
      </c>
      <c r="AE370" t="s">
        <v>6316</v>
      </c>
      <c r="AF370" t="s">
        <v>74</v>
      </c>
      <c r="AG370">
        <v>41</v>
      </c>
      <c r="AH370">
        <v>3</v>
      </c>
      <c r="AI370">
        <v>3</v>
      </c>
      <c r="AJ370">
        <v>12</v>
      </c>
      <c r="AK370">
        <v>27</v>
      </c>
      <c r="AL370" t="s">
        <v>311</v>
      </c>
      <c r="AM370" t="s">
        <v>312</v>
      </c>
      <c r="AN370" t="s">
        <v>313</v>
      </c>
      <c r="AO370" t="s">
        <v>314</v>
      </c>
      <c r="AP370" t="s">
        <v>315</v>
      </c>
      <c r="AQ370" t="s">
        <v>74</v>
      </c>
      <c r="AR370" t="s">
        <v>316</v>
      </c>
      <c r="AS370" t="s">
        <v>317</v>
      </c>
      <c r="AT370" t="s">
        <v>6317</v>
      </c>
      <c r="AU370">
        <v>2024</v>
      </c>
      <c r="AV370">
        <v>62</v>
      </c>
      <c r="AW370">
        <v>19</v>
      </c>
      <c r="AX370" t="s">
        <v>74</v>
      </c>
      <c r="AY370" t="s">
        <v>74</v>
      </c>
      <c r="AZ370" t="s">
        <v>74</v>
      </c>
      <c r="BA370" t="s">
        <v>74</v>
      </c>
      <c r="BB370">
        <v>7096</v>
      </c>
      <c r="BC370">
        <v>7113</v>
      </c>
      <c r="BD370" t="s">
        <v>74</v>
      </c>
      <c r="BE370" t="s">
        <v>6318</v>
      </c>
      <c r="BF370" t="str">
        <f>HYPERLINK("http://dx.doi.org/10.1080/00207543.2024.2318489","http://dx.doi.org/10.1080/00207543.2024.2318489")</f>
        <v>http://dx.doi.org/10.1080/00207543.2024.2318489</v>
      </c>
      <c r="BG370" t="s">
        <v>74</v>
      </c>
      <c r="BH370" t="s">
        <v>2862</v>
      </c>
      <c r="BI370">
        <v>18</v>
      </c>
      <c r="BJ370" t="s">
        <v>321</v>
      </c>
      <c r="BK370" t="s">
        <v>149</v>
      </c>
      <c r="BL370" t="s">
        <v>150</v>
      </c>
      <c r="BM370" t="s">
        <v>6319</v>
      </c>
      <c r="BN370" t="s">
        <v>74</v>
      </c>
      <c r="BO370" t="s">
        <v>74</v>
      </c>
      <c r="BP370" t="s">
        <v>74</v>
      </c>
      <c r="BQ370" t="s">
        <v>74</v>
      </c>
      <c r="BR370" t="s">
        <v>104</v>
      </c>
      <c r="BS370" t="s">
        <v>6320</v>
      </c>
      <c r="BT370" t="str">
        <f>HYPERLINK("https%3A%2F%2Fwww.webofscience.com%2Fwos%2Fwoscc%2Ffull-record%2FWOS:001175724200001","View Full Record in Web of Science")</f>
        <v>View Full Record in Web of Science</v>
      </c>
    </row>
    <row r="371" spans="1:72" x14ac:dyDescent="0.25">
      <c r="A371" t="s">
        <v>72</v>
      </c>
      <c r="B371" t="s">
        <v>6321</v>
      </c>
      <c r="C371" t="s">
        <v>74</v>
      </c>
      <c r="D371" t="s">
        <v>74</v>
      </c>
      <c r="E371" t="s">
        <v>74</v>
      </c>
      <c r="F371" t="s">
        <v>6322</v>
      </c>
      <c r="G371" t="s">
        <v>74</v>
      </c>
      <c r="H371" t="s">
        <v>74</v>
      </c>
      <c r="I371" t="s">
        <v>6323</v>
      </c>
      <c r="J371" t="s">
        <v>128</v>
      </c>
      <c r="K371" t="s">
        <v>74</v>
      </c>
      <c r="L371" t="s">
        <v>74</v>
      </c>
      <c r="M371" t="s">
        <v>78</v>
      </c>
      <c r="N371" t="s">
        <v>79</v>
      </c>
      <c r="O371" t="s">
        <v>74</v>
      </c>
      <c r="P371" t="s">
        <v>74</v>
      </c>
      <c r="Q371" t="s">
        <v>74</v>
      </c>
      <c r="R371" t="s">
        <v>74</v>
      </c>
      <c r="S371" t="s">
        <v>74</v>
      </c>
      <c r="T371" t="s">
        <v>6324</v>
      </c>
      <c r="U371" t="s">
        <v>6325</v>
      </c>
      <c r="V371" t="s">
        <v>6326</v>
      </c>
      <c r="W371" t="s">
        <v>6327</v>
      </c>
      <c r="X371" t="s">
        <v>6328</v>
      </c>
      <c r="Y371" t="s">
        <v>3423</v>
      </c>
      <c r="Z371" t="s">
        <v>3424</v>
      </c>
      <c r="AA371" t="s">
        <v>3857</v>
      </c>
      <c r="AB371" t="s">
        <v>3858</v>
      </c>
      <c r="AC371" t="s">
        <v>6329</v>
      </c>
      <c r="AD371" t="s">
        <v>6330</v>
      </c>
      <c r="AE371" t="s">
        <v>6331</v>
      </c>
      <c r="AF371" t="s">
        <v>74</v>
      </c>
      <c r="AG371">
        <v>42</v>
      </c>
      <c r="AH371">
        <v>63</v>
      </c>
      <c r="AI371">
        <v>64</v>
      </c>
      <c r="AJ371">
        <v>5</v>
      </c>
      <c r="AK371">
        <v>52</v>
      </c>
      <c r="AL371" t="s">
        <v>138</v>
      </c>
      <c r="AM371" t="s">
        <v>246</v>
      </c>
      <c r="AN371" t="s">
        <v>247</v>
      </c>
      <c r="AO371" t="s">
        <v>141</v>
      </c>
      <c r="AP371" t="s">
        <v>142</v>
      </c>
      <c r="AQ371" t="s">
        <v>74</v>
      </c>
      <c r="AR371" t="s">
        <v>143</v>
      </c>
      <c r="AS371" t="s">
        <v>144</v>
      </c>
      <c r="AT371" t="s">
        <v>275</v>
      </c>
      <c r="AU371">
        <v>2020</v>
      </c>
      <c r="AV371">
        <v>195</v>
      </c>
      <c r="AW371" t="s">
        <v>74</v>
      </c>
      <c r="AX371" t="s">
        <v>74</v>
      </c>
      <c r="AY371" t="s">
        <v>74</v>
      </c>
      <c r="AZ371" t="s">
        <v>74</v>
      </c>
      <c r="BA371" t="s">
        <v>74</v>
      </c>
      <c r="BB371" t="s">
        <v>74</v>
      </c>
      <c r="BC371" t="s">
        <v>74</v>
      </c>
      <c r="BD371">
        <v>106705</v>
      </c>
      <c r="BE371" t="s">
        <v>6332</v>
      </c>
      <c r="BF371" t="str">
        <f>HYPERLINK("http://dx.doi.org/10.1016/j.ress.2019.106705","http://dx.doi.org/10.1016/j.ress.2019.106705")</f>
        <v>http://dx.doi.org/10.1016/j.ress.2019.106705</v>
      </c>
      <c r="BG371" t="s">
        <v>74</v>
      </c>
      <c r="BH371" t="s">
        <v>74</v>
      </c>
      <c r="BI371">
        <v>12</v>
      </c>
      <c r="BJ371" t="s">
        <v>148</v>
      </c>
      <c r="BK371" t="s">
        <v>149</v>
      </c>
      <c r="BL371" t="s">
        <v>150</v>
      </c>
      <c r="BM371" t="s">
        <v>6333</v>
      </c>
      <c r="BN371" t="s">
        <v>74</v>
      </c>
      <c r="BO371" t="s">
        <v>74</v>
      </c>
      <c r="BP371" t="s">
        <v>74</v>
      </c>
      <c r="BQ371" t="s">
        <v>74</v>
      </c>
      <c r="BR371" t="s">
        <v>104</v>
      </c>
      <c r="BS371" t="s">
        <v>6334</v>
      </c>
      <c r="BT371" t="str">
        <f>HYPERLINK("https%3A%2F%2Fwww.webofscience.com%2Fwos%2Fwoscc%2Ffull-record%2FWOS:000515416500019","View Full Record in Web of Science")</f>
        <v>View Full Record in Web of Science</v>
      </c>
    </row>
    <row r="372" spans="1:72" x14ac:dyDescent="0.25">
      <c r="A372" t="s">
        <v>72</v>
      </c>
      <c r="B372" t="s">
        <v>5095</v>
      </c>
      <c r="C372" t="s">
        <v>74</v>
      </c>
      <c r="D372" t="s">
        <v>74</v>
      </c>
      <c r="E372" t="s">
        <v>74</v>
      </c>
      <c r="F372" t="s">
        <v>5096</v>
      </c>
      <c r="G372" t="s">
        <v>74</v>
      </c>
      <c r="H372" t="s">
        <v>74</v>
      </c>
      <c r="I372" t="s">
        <v>6335</v>
      </c>
      <c r="J372" t="s">
        <v>697</v>
      </c>
      <c r="K372" t="s">
        <v>74</v>
      </c>
      <c r="L372" t="s">
        <v>74</v>
      </c>
      <c r="M372" t="s">
        <v>78</v>
      </c>
      <c r="N372" t="s">
        <v>79</v>
      </c>
      <c r="O372" t="s">
        <v>74</v>
      </c>
      <c r="P372" t="s">
        <v>74</v>
      </c>
      <c r="Q372" t="s">
        <v>74</v>
      </c>
      <c r="R372" t="s">
        <v>74</v>
      </c>
      <c r="S372" t="s">
        <v>74</v>
      </c>
      <c r="T372" t="s">
        <v>6336</v>
      </c>
      <c r="U372" t="s">
        <v>6337</v>
      </c>
      <c r="V372" t="s">
        <v>6338</v>
      </c>
      <c r="W372" t="s">
        <v>6339</v>
      </c>
      <c r="X372" t="s">
        <v>6340</v>
      </c>
      <c r="Y372" t="s">
        <v>6341</v>
      </c>
      <c r="Z372" t="s">
        <v>6342</v>
      </c>
      <c r="AA372" t="s">
        <v>807</v>
      </c>
      <c r="AB372" t="s">
        <v>74</v>
      </c>
      <c r="AC372" t="s">
        <v>74</v>
      </c>
      <c r="AD372" t="s">
        <v>74</v>
      </c>
      <c r="AE372" t="s">
        <v>74</v>
      </c>
      <c r="AF372" t="s">
        <v>74</v>
      </c>
      <c r="AG372">
        <v>28</v>
      </c>
      <c r="AH372">
        <v>15</v>
      </c>
      <c r="AI372">
        <v>15</v>
      </c>
      <c r="AJ372">
        <v>3</v>
      </c>
      <c r="AK372">
        <v>21</v>
      </c>
      <c r="AL372" t="s">
        <v>707</v>
      </c>
      <c r="AM372" t="s">
        <v>246</v>
      </c>
      <c r="AN372" t="s">
        <v>708</v>
      </c>
      <c r="AO372" t="s">
        <v>709</v>
      </c>
      <c r="AP372" t="s">
        <v>710</v>
      </c>
      <c r="AQ372" t="s">
        <v>74</v>
      </c>
      <c r="AR372" t="s">
        <v>711</v>
      </c>
      <c r="AS372" t="s">
        <v>712</v>
      </c>
      <c r="AT372" t="s">
        <v>1202</v>
      </c>
      <c r="AU372">
        <v>2021</v>
      </c>
      <c r="AV372">
        <v>155</v>
      </c>
      <c r="AW372" t="s">
        <v>74</v>
      </c>
      <c r="AX372" t="s">
        <v>74</v>
      </c>
      <c r="AY372" t="s">
        <v>74</v>
      </c>
      <c r="AZ372" t="s">
        <v>74</v>
      </c>
      <c r="BA372" t="s">
        <v>74</v>
      </c>
      <c r="BB372" t="s">
        <v>74</v>
      </c>
      <c r="BC372" t="s">
        <v>74</v>
      </c>
      <c r="BD372">
        <v>107178</v>
      </c>
      <c r="BE372" t="s">
        <v>6343</v>
      </c>
      <c r="BF372" t="str">
        <f>HYPERLINK("http://dx.doi.org/10.1016/j.cie.2021.107178","http://dx.doi.org/10.1016/j.cie.2021.107178")</f>
        <v>http://dx.doi.org/10.1016/j.cie.2021.107178</v>
      </c>
      <c r="BG372" t="s">
        <v>74</v>
      </c>
      <c r="BH372" t="s">
        <v>639</v>
      </c>
      <c r="BI372">
        <v>10</v>
      </c>
      <c r="BJ372" t="s">
        <v>715</v>
      </c>
      <c r="BK372" t="s">
        <v>149</v>
      </c>
      <c r="BL372" t="s">
        <v>716</v>
      </c>
      <c r="BM372" t="s">
        <v>6344</v>
      </c>
      <c r="BN372" t="s">
        <v>74</v>
      </c>
      <c r="BO372" t="s">
        <v>74</v>
      </c>
      <c r="BP372" t="s">
        <v>74</v>
      </c>
      <c r="BQ372" t="s">
        <v>74</v>
      </c>
      <c r="BR372" t="s">
        <v>104</v>
      </c>
      <c r="BS372" t="s">
        <v>6345</v>
      </c>
      <c r="BT372" t="str">
        <f>HYPERLINK("https%3A%2F%2Fwww.webofscience.com%2Fwos%2Fwoscc%2Ffull-record%2FWOS:000645096600019","View Full Record in Web of Science")</f>
        <v>View Full Record in Web of Science</v>
      </c>
    </row>
    <row r="373" spans="1:72" x14ac:dyDescent="0.25">
      <c r="A373" t="s">
        <v>72</v>
      </c>
      <c r="B373" t="s">
        <v>6346</v>
      </c>
      <c r="C373" t="s">
        <v>74</v>
      </c>
      <c r="D373" t="s">
        <v>74</v>
      </c>
      <c r="E373" t="s">
        <v>74</v>
      </c>
      <c r="F373" t="s">
        <v>6347</v>
      </c>
      <c r="G373" t="s">
        <v>74</v>
      </c>
      <c r="H373" t="s">
        <v>74</v>
      </c>
      <c r="I373" t="s">
        <v>6348</v>
      </c>
      <c r="J373" t="s">
        <v>128</v>
      </c>
      <c r="K373" t="s">
        <v>74</v>
      </c>
      <c r="L373" t="s">
        <v>74</v>
      </c>
      <c r="M373" t="s">
        <v>78</v>
      </c>
      <c r="N373" t="s">
        <v>79</v>
      </c>
      <c r="O373" t="s">
        <v>74</v>
      </c>
      <c r="P373" t="s">
        <v>74</v>
      </c>
      <c r="Q373" t="s">
        <v>74</v>
      </c>
      <c r="R373" t="s">
        <v>74</v>
      </c>
      <c r="S373" t="s">
        <v>74</v>
      </c>
      <c r="T373" t="s">
        <v>6349</v>
      </c>
      <c r="U373" t="s">
        <v>6350</v>
      </c>
      <c r="V373" t="s">
        <v>6351</v>
      </c>
      <c r="W373" t="s">
        <v>6352</v>
      </c>
      <c r="X373" t="s">
        <v>1802</v>
      </c>
      <c r="Y373" t="s">
        <v>6353</v>
      </c>
      <c r="Z373" t="s">
        <v>1804</v>
      </c>
      <c r="AA373" t="s">
        <v>6354</v>
      </c>
      <c r="AB373" t="s">
        <v>74</v>
      </c>
      <c r="AC373" t="s">
        <v>6355</v>
      </c>
      <c r="AD373" t="s">
        <v>5158</v>
      </c>
      <c r="AE373" t="s">
        <v>6356</v>
      </c>
      <c r="AF373" t="s">
        <v>74</v>
      </c>
      <c r="AG373">
        <v>57</v>
      </c>
      <c r="AH373">
        <v>6</v>
      </c>
      <c r="AI373">
        <v>6</v>
      </c>
      <c r="AJ373">
        <v>14</v>
      </c>
      <c r="AK373">
        <v>36</v>
      </c>
      <c r="AL373" t="s">
        <v>138</v>
      </c>
      <c r="AM373" t="s">
        <v>139</v>
      </c>
      <c r="AN373" t="s">
        <v>140</v>
      </c>
      <c r="AO373" t="s">
        <v>141</v>
      </c>
      <c r="AP373" t="s">
        <v>142</v>
      </c>
      <c r="AQ373" t="s">
        <v>74</v>
      </c>
      <c r="AR373" t="s">
        <v>143</v>
      </c>
      <c r="AS373" t="s">
        <v>144</v>
      </c>
      <c r="AT373" t="s">
        <v>491</v>
      </c>
      <c r="AU373">
        <v>2023</v>
      </c>
      <c r="AV373">
        <v>239</v>
      </c>
      <c r="AW373" t="s">
        <v>74</v>
      </c>
      <c r="AX373" t="s">
        <v>74</v>
      </c>
      <c r="AY373" t="s">
        <v>74</v>
      </c>
      <c r="AZ373" t="s">
        <v>74</v>
      </c>
      <c r="BA373" t="s">
        <v>74</v>
      </c>
      <c r="BB373" t="s">
        <v>74</v>
      </c>
      <c r="BC373" t="s">
        <v>74</v>
      </c>
      <c r="BD373">
        <v>109535</v>
      </c>
      <c r="BE373" t="s">
        <v>6357</v>
      </c>
      <c r="BF373" t="str">
        <f>HYPERLINK("http://dx.doi.org/10.1016/j.ress.2023.109535","http://dx.doi.org/10.1016/j.ress.2023.109535")</f>
        <v>http://dx.doi.org/10.1016/j.ress.2023.109535</v>
      </c>
      <c r="BG373" t="s">
        <v>74</v>
      </c>
      <c r="BH373" t="s">
        <v>1488</v>
      </c>
      <c r="BI373">
        <v>14</v>
      </c>
      <c r="BJ373" t="s">
        <v>148</v>
      </c>
      <c r="BK373" t="s">
        <v>149</v>
      </c>
      <c r="BL373" t="s">
        <v>150</v>
      </c>
      <c r="BM373" t="s">
        <v>6358</v>
      </c>
      <c r="BN373" t="s">
        <v>74</v>
      </c>
      <c r="BO373" t="s">
        <v>74</v>
      </c>
      <c r="BP373" t="s">
        <v>74</v>
      </c>
      <c r="BQ373" t="s">
        <v>74</v>
      </c>
      <c r="BR373" t="s">
        <v>104</v>
      </c>
      <c r="BS373" t="s">
        <v>6359</v>
      </c>
      <c r="BT373" t="str">
        <f>HYPERLINK("https%3A%2F%2Fwww.webofscience.com%2Fwos%2Fwoscc%2Ffull-record%2FWOS:001069388300001","View Full Record in Web of Science")</f>
        <v>View Full Record in Web of Science</v>
      </c>
    </row>
    <row r="374" spans="1:72" x14ac:dyDescent="0.25">
      <c r="A374" t="s">
        <v>72</v>
      </c>
      <c r="B374" t="s">
        <v>6360</v>
      </c>
      <c r="C374" t="s">
        <v>74</v>
      </c>
      <c r="D374" t="s">
        <v>74</v>
      </c>
      <c r="E374" t="s">
        <v>74</v>
      </c>
      <c r="F374" t="s">
        <v>6361</v>
      </c>
      <c r="G374" t="s">
        <v>74</v>
      </c>
      <c r="H374" t="s">
        <v>74</v>
      </c>
      <c r="I374" t="s">
        <v>6362</v>
      </c>
      <c r="J374" t="s">
        <v>299</v>
      </c>
      <c r="K374" t="s">
        <v>74</v>
      </c>
      <c r="L374" t="s">
        <v>74</v>
      </c>
      <c r="M374" t="s">
        <v>78</v>
      </c>
      <c r="N374" t="s">
        <v>79</v>
      </c>
      <c r="O374" t="s">
        <v>74</v>
      </c>
      <c r="P374" t="s">
        <v>74</v>
      </c>
      <c r="Q374" t="s">
        <v>74</v>
      </c>
      <c r="R374" t="s">
        <v>74</v>
      </c>
      <c r="S374" t="s">
        <v>74</v>
      </c>
      <c r="T374" t="s">
        <v>6363</v>
      </c>
      <c r="U374" t="s">
        <v>6364</v>
      </c>
      <c r="V374" t="s">
        <v>6365</v>
      </c>
      <c r="W374" t="s">
        <v>6366</v>
      </c>
      <c r="X374" t="s">
        <v>6367</v>
      </c>
      <c r="Y374" t="s">
        <v>6368</v>
      </c>
      <c r="Z374" t="s">
        <v>5002</v>
      </c>
      <c r="AA374" t="s">
        <v>6369</v>
      </c>
      <c r="AB374" t="s">
        <v>6370</v>
      </c>
      <c r="AC374" t="s">
        <v>6371</v>
      </c>
      <c r="AD374" t="s">
        <v>482</v>
      </c>
      <c r="AE374" t="s">
        <v>6372</v>
      </c>
      <c r="AF374" t="s">
        <v>74</v>
      </c>
      <c r="AG374">
        <v>39</v>
      </c>
      <c r="AH374">
        <v>23</v>
      </c>
      <c r="AI374">
        <v>23</v>
      </c>
      <c r="AJ374">
        <v>1</v>
      </c>
      <c r="AK374">
        <v>38</v>
      </c>
      <c r="AL374" t="s">
        <v>311</v>
      </c>
      <c r="AM374" t="s">
        <v>312</v>
      </c>
      <c r="AN374" t="s">
        <v>313</v>
      </c>
      <c r="AO374" t="s">
        <v>314</v>
      </c>
      <c r="AP374" t="s">
        <v>315</v>
      </c>
      <c r="AQ374" t="s">
        <v>74</v>
      </c>
      <c r="AR374" t="s">
        <v>316</v>
      </c>
      <c r="AS374" t="s">
        <v>317</v>
      </c>
      <c r="AT374" t="s">
        <v>1422</v>
      </c>
      <c r="AU374">
        <v>2019</v>
      </c>
      <c r="AV374">
        <v>57</v>
      </c>
      <c r="AW374">
        <v>17</v>
      </c>
      <c r="AX374" t="s">
        <v>74</v>
      </c>
      <c r="AY374" t="s">
        <v>74</v>
      </c>
      <c r="AZ374" t="s">
        <v>74</v>
      </c>
      <c r="BA374" t="s">
        <v>74</v>
      </c>
      <c r="BB374">
        <v>5414</v>
      </c>
      <c r="BC374">
        <v>5431</v>
      </c>
      <c r="BD374" t="s">
        <v>74</v>
      </c>
      <c r="BE374" t="s">
        <v>6373</v>
      </c>
      <c r="BF374" t="str">
        <f>HYPERLINK("http://dx.doi.org/10.1080/00207543.2018.1526419","http://dx.doi.org/10.1080/00207543.2018.1526419")</f>
        <v>http://dx.doi.org/10.1080/00207543.2018.1526419</v>
      </c>
      <c r="BG374" t="s">
        <v>74</v>
      </c>
      <c r="BH374" t="s">
        <v>74</v>
      </c>
      <c r="BI374">
        <v>18</v>
      </c>
      <c r="BJ374" t="s">
        <v>321</v>
      </c>
      <c r="BK374" t="s">
        <v>149</v>
      </c>
      <c r="BL374" t="s">
        <v>150</v>
      </c>
      <c r="BM374" t="s">
        <v>6374</v>
      </c>
      <c r="BN374" t="s">
        <v>74</v>
      </c>
      <c r="BO374" t="s">
        <v>74</v>
      </c>
      <c r="BP374" t="s">
        <v>74</v>
      </c>
      <c r="BQ374" t="s">
        <v>74</v>
      </c>
      <c r="BR374" t="s">
        <v>104</v>
      </c>
      <c r="BS374" t="s">
        <v>6375</v>
      </c>
      <c r="BT374" t="str">
        <f>HYPERLINK("https%3A%2F%2Fwww.webofscience.com%2Fwos%2Fwoscc%2Ffull-record%2FWOS:000481847500003","View Full Record in Web of Science")</f>
        <v>View Full Record in Web of Science</v>
      </c>
    </row>
    <row r="375" spans="1:72" x14ac:dyDescent="0.25">
      <c r="A375" t="s">
        <v>72</v>
      </c>
      <c r="B375" t="s">
        <v>6376</v>
      </c>
      <c r="C375" t="s">
        <v>74</v>
      </c>
      <c r="D375" t="s">
        <v>74</v>
      </c>
      <c r="E375" t="s">
        <v>74</v>
      </c>
      <c r="F375" t="s">
        <v>6377</v>
      </c>
      <c r="G375" t="s">
        <v>74</v>
      </c>
      <c r="H375" t="s">
        <v>74</v>
      </c>
      <c r="I375" t="s">
        <v>6378</v>
      </c>
      <c r="J375" t="s">
        <v>697</v>
      </c>
      <c r="K375" t="s">
        <v>74</v>
      </c>
      <c r="L375" t="s">
        <v>74</v>
      </c>
      <c r="M375" t="s">
        <v>78</v>
      </c>
      <c r="N375" t="s">
        <v>1777</v>
      </c>
      <c r="O375" t="s">
        <v>1778</v>
      </c>
      <c r="P375" t="s">
        <v>1779</v>
      </c>
      <c r="Q375" t="s">
        <v>1780</v>
      </c>
      <c r="R375" t="s">
        <v>74</v>
      </c>
      <c r="S375" t="s">
        <v>74</v>
      </c>
      <c r="T375" t="s">
        <v>6379</v>
      </c>
      <c r="U375" t="s">
        <v>6380</v>
      </c>
      <c r="V375" t="s">
        <v>6381</v>
      </c>
      <c r="W375" t="s">
        <v>6382</v>
      </c>
      <c r="X375" t="s">
        <v>6383</v>
      </c>
      <c r="Y375" t="s">
        <v>6384</v>
      </c>
      <c r="Z375" t="s">
        <v>6385</v>
      </c>
      <c r="AA375" t="s">
        <v>6386</v>
      </c>
      <c r="AB375" t="s">
        <v>6387</v>
      </c>
      <c r="AC375" t="s">
        <v>74</v>
      </c>
      <c r="AD375" t="s">
        <v>74</v>
      </c>
      <c r="AE375" t="s">
        <v>74</v>
      </c>
      <c r="AF375" t="s">
        <v>74</v>
      </c>
      <c r="AG375">
        <v>54</v>
      </c>
      <c r="AH375">
        <v>12</v>
      </c>
      <c r="AI375">
        <v>12</v>
      </c>
      <c r="AJ375">
        <v>2</v>
      </c>
      <c r="AK375">
        <v>50</v>
      </c>
      <c r="AL375" t="s">
        <v>707</v>
      </c>
      <c r="AM375" t="s">
        <v>246</v>
      </c>
      <c r="AN375" t="s">
        <v>708</v>
      </c>
      <c r="AO375" t="s">
        <v>709</v>
      </c>
      <c r="AP375" t="s">
        <v>710</v>
      </c>
      <c r="AQ375" t="s">
        <v>74</v>
      </c>
      <c r="AR375" t="s">
        <v>711</v>
      </c>
      <c r="AS375" t="s">
        <v>712</v>
      </c>
      <c r="AT375" t="s">
        <v>248</v>
      </c>
      <c r="AU375">
        <v>2021</v>
      </c>
      <c r="AV375">
        <v>157</v>
      </c>
      <c r="AW375" t="s">
        <v>74</v>
      </c>
      <c r="AX375" t="s">
        <v>74</v>
      </c>
      <c r="AY375" t="s">
        <v>74</v>
      </c>
      <c r="AZ375" t="s">
        <v>74</v>
      </c>
      <c r="BA375" t="s">
        <v>74</v>
      </c>
      <c r="BB375" t="s">
        <v>74</v>
      </c>
      <c r="BC375" t="s">
        <v>74</v>
      </c>
      <c r="BD375">
        <v>107369</v>
      </c>
      <c r="BE375" t="s">
        <v>6388</v>
      </c>
      <c r="BF375" t="str">
        <f>HYPERLINK("http://dx.doi.org/10.1016/j.cie.2021.107369","http://dx.doi.org/10.1016/j.cie.2021.107369")</f>
        <v>http://dx.doi.org/10.1016/j.cie.2021.107369</v>
      </c>
      <c r="BG375" t="s">
        <v>74</v>
      </c>
      <c r="BH375" t="s">
        <v>1614</v>
      </c>
      <c r="BI375">
        <v>17</v>
      </c>
      <c r="BJ375" t="s">
        <v>715</v>
      </c>
      <c r="BK375" t="s">
        <v>1792</v>
      </c>
      <c r="BL375" t="s">
        <v>716</v>
      </c>
      <c r="BM375" t="s">
        <v>1793</v>
      </c>
      <c r="BN375" t="s">
        <v>74</v>
      </c>
      <c r="BO375" t="s">
        <v>74</v>
      </c>
      <c r="BP375" t="s">
        <v>74</v>
      </c>
      <c r="BQ375" t="s">
        <v>74</v>
      </c>
      <c r="BR375" t="s">
        <v>104</v>
      </c>
      <c r="BS375" t="s">
        <v>6389</v>
      </c>
      <c r="BT375" t="str">
        <f>HYPERLINK("https%3A%2F%2Fwww.webofscience.com%2Fwos%2Fwoscc%2Ffull-record%2FWOS:000659146800060","View Full Record in Web of Science")</f>
        <v>View Full Record in Web of Science</v>
      </c>
    </row>
    <row r="376" spans="1:72" x14ac:dyDescent="0.25">
      <c r="A376" t="s">
        <v>72</v>
      </c>
      <c r="B376" t="s">
        <v>6390</v>
      </c>
      <c r="C376" t="s">
        <v>74</v>
      </c>
      <c r="D376" t="s">
        <v>74</v>
      </c>
      <c r="E376" t="s">
        <v>74</v>
      </c>
      <c r="F376" t="s">
        <v>6391</v>
      </c>
      <c r="G376" t="s">
        <v>74</v>
      </c>
      <c r="H376" t="s">
        <v>74</v>
      </c>
      <c r="I376" t="s">
        <v>6392</v>
      </c>
      <c r="J376" t="s">
        <v>77</v>
      </c>
      <c r="K376" t="s">
        <v>74</v>
      </c>
      <c r="L376" t="s">
        <v>74</v>
      </c>
      <c r="M376" t="s">
        <v>78</v>
      </c>
      <c r="N376" t="s">
        <v>79</v>
      </c>
      <c r="O376" t="s">
        <v>74</v>
      </c>
      <c r="P376" t="s">
        <v>74</v>
      </c>
      <c r="Q376" t="s">
        <v>74</v>
      </c>
      <c r="R376" t="s">
        <v>74</v>
      </c>
      <c r="S376" t="s">
        <v>74</v>
      </c>
      <c r="T376" t="s">
        <v>6393</v>
      </c>
      <c r="U376" t="s">
        <v>6394</v>
      </c>
      <c r="V376" t="s">
        <v>6395</v>
      </c>
      <c r="W376" t="s">
        <v>6396</v>
      </c>
      <c r="X376" t="s">
        <v>6397</v>
      </c>
      <c r="Y376" t="s">
        <v>6398</v>
      </c>
      <c r="Z376" t="s">
        <v>6399</v>
      </c>
      <c r="AA376" t="s">
        <v>6400</v>
      </c>
      <c r="AB376" t="s">
        <v>6401</v>
      </c>
      <c r="AC376" t="s">
        <v>74</v>
      </c>
      <c r="AD376" t="s">
        <v>74</v>
      </c>
      <c r="AE376" t="s">
        <v>74</v>
      </c>
      <c r="AF376" t="s">
        <v>74</v>
      </c>
      <c r="AG376">
        <v>21</v>
      </c>
      <c r="AH376">
        <v>0</v>
      </c>
      <c r="AI376">
        <v>0</v>
      </c>
      <c r="AJ376">
        <v>1</v>
      </c>
      <c r="AK376">
        <v>10</v>
      </c>
      <c r="AL376" t="s">
        <v>90</v>
      </c>
      <c r="AM376" t="s">
        <v>118</v>
      </c>
      <c r="AN376" t="s">
        <v>119</v>
      </c>
      <c r="AO376" t="s">
        <v>93</v>
      </c>
      <c r="AP376" t="s">
        <v>94</v>
      </c>
      <c r="AQ376" t="s">
        <v>74</v>
      </c>
      <c r="AR376" t="s">
        <v>95</v>
      </c>
      <c r="AS376" t="s">
        <v>96</v>
      </c>
      <c r="AT376" t="s">
        <v>911</v>
      </c>
      <c r="AU376">
        <v>2020</v>
      </c>
      <c r="AV376">
        <v>26</v>
      </c>
      <c r="AW376">
        <v>1</v>
      </c>
      <c r="AX376" t="s">
        <v>74</v>
      </c>
      <c r="AY376" t="s">
        <v>74</v>
      </c>
      <c r="AZ376" t="s">
        <v>74</v>
      </c>
      <c r="BA376" t="s">
        <v>74</v>
      </c>
      <c r="BB376">
        <v>120</v>
      </c>
      <c r="BC376">
        <v>128</v>
      </c>
      <c r="BD376" t="s">
        <v>74</v>
      </c>
      <c r="BE376" t="s">
        <v>6402</v>
      </c>
      <c r="BF376" t="str">
        <f>HYPERLINK("http://dx.doi.org/10.1108/JQME-01-2018-0004","http://dx.doi.org/10.1108/JQME-01-2018-0004")</f>
        <v>http://dx.doi.org/10.1108/JQME-01-2018-0004</v>
      </c>
      <c r="BG376" t="s">
        <v>74</v>
      </c>
      <c r="BH376" t="s">
        <v>74</v>
      </c>
      <c r="BI376">
        <v>9</v>
      </c>
      <c r="BJ376" t="s">
        <v>100</v>
      </c>
      <c r="BK376" t="s">
        <v>101</v>
      </c>
      <c r="BL376" t="s">
        <v>102</v>
      </c>
      <c r="BM376" t="s">
        <v>913</v>
      </c>
      <c r="BN376" t="s">
        <v>74</v>
      </c>
      <c r="BO376" t="s">
        <v>74</v>
      </c>
      <c r="BP376" t="s">
        <v>74</v>
      </c>
      <c r="BQ376" t="s">
        <v>74</v>
      </c>
      <c r="BR376" t="s">
        <v>104</v>
      </c>
      <c r="BS376" t="s">
        <v>6403</v>
      </c>
      <c r="BT376" t="str">
        <f>HYPERLINK("https%3A%2F%2Fwww.webofscience.com%2Fwos%2Fwoscc%2Ffull-record%2FWOS:000511243400008","View Full Record in Web of Science")</f>
        <v>View Full Record in Web of Science</v>
      </c>
    </row>
    <row r="377" spans="1:72" x14ac:dyDescent="0.25">
      <c r="A377" t="s">
        <v>72</v>
      </c>
      <c r="B377" t="s">
        <v>6404</v>
      </c>
      <c r="C377" t="s">
        <v>74</v>
      </c>
      <c r="D377" t="s">
        <v>74</v>
      </c>
      <c r="E377" t="s">
        <v>74</v>
      </c>
      <c r="F377" t="s">
        <v>6405</v>
      </c>
      <c r="G377" t="s">
        <v>74</v>
      </c>
      <c r="H377" t="s">
        <v>74</v>
      </c>
      <c r="I377" t="s">
        <v>6406</v>
      </c>
      <c r="J377" t="s">
        <v>128</v>
      </c>
      <c r="K377" t="s">
        <v>74</v>
      </c>
      <c r="L377" t="s">
        <v>74</v>
      </c>
      <c r="M377" t="s">
        <v>78</v>
      </c>
      <c r="N377" t="s">
        <v>79</v>
      </c>
      <c r="O377" t="s">
        <v>74</v>
      </c>
      <c r="P377" t="s">
        <v>74</v>
      </c>
      <c r="Q377" t="s">
        <v>74</v>
      </c>
      <c r="R377" t="s">
        <v>74</v>
      </c>
      <c r="S377" t="s">
        <v>74</v>
      </c>
      <c r="T377" t="s">
        <v>6407</v>
      </c>
      <c r="U377" t="s">
        <v>6408</v>
      </c>
      <c r="V377" t="s">
        <v>6409</v>
      </c>
      <c r="W377" t="s">
        <v>6410</v>
      </c>
      <c r="X377" t="s">
        <v>6411</v>
      </c>
      <c r="Y377" t="s">
        <v>6412</v>
      </c>
      <c r="Z377" t="s">
        <v>6413</v>
      </c>
      <c r="AA377" t="s">
        <v>6414</v>
      </c>
      <c r="AB377" t="s">
        <v>6415</v>
      </c>
      <c r="AC377" t="s">
        <v>6416</v>
      </c>
      <c r="AD377" t="s">
        <v>6417</v>
      </c>
      <c r="AE377" t="s">
        <v>6418</v>
      </c>
      <c r="AF377" t="s">
        <v>74</v>
      </c>
      <c r="AG377">
        <v>51</v>
      </c>
      <c r="AH377">
        <v>4</v>
      </c>
      <c r="AI377">
        <v>4</v>
      </c>
      <c r="AJ377">
        <v>5</v>
      </c>
      <c r="AK377">
        <v>19</v>
      </c>
      <c r="AL377" t="s">
        <v>138</v>
      </c>
      <c r="AM377" t="s">
        <v>139</v>
      </c>
      <c r="AN377" t="s">
        <v>140</v>
      </c>
      <c r="AO377" t="s">
        <v>141</v>
      </c>
      <c r="AP377" t="s">
        <v>142</v>
      </c>
      <c r="AQ377" t="s">
        <v>74</v>
      </c>
      <c r="AR377" t="s">
        <v>143</v>
      </c>
      <c r="AS377" t="s">
        <v>144</v>
      </c>
      <c r="AT377" t="s">
        <v>533</v>
      </c>
      <c r="AU377">
        <v>2024</v>
      </c>
      <c r="AV377">
        <v>242</v>
      </c>
      <c r="AW377" t="s">
        <v>74</v>
      </c>
      <c r="AX377" t="s">
        <v>74</v>
      </c>
      <c r="AY377" t="s">
        <v>74</v>
      </c>
      <c r="AZ377" t="s">
        <v>74</v>
      </c>
      <c r="BA377" t="s">
        <v>74</v>
      </c>
      <c r="BB377" t="s">
        <v>74</v>
      </c>
      <c r="BC377" t="s">
        <v>74</v>
      </c>
      <c r="BD377">
        <v>109743</v>
      </c>
      <c r="BE377" t="s">
        <v>6419</v>
      </c>
      <c r="BF377" t="str">
        <f>HYPERLINK("http://dx.doi.org/10.1016/j.ress.2023.109743","http://dx.doi.org/10.1016/j.ress.2023.109743")</f>
        <v>http://dx.doi.org/10.1016/j.ress.2023.109743</v>
      </c>
      <c r="BG377" t="s">
        <v>74</v>
      </c>
      <c r="BH377" t="s">
        <v>846</v>
      </c>
      <c r="BI377">
        <v>14</v>
      </c>
      <c r="BJ377" t="s">
        <v>148</v>
      </c>
      <c r="BK377" t="s">
        <v>149</v>
      </c>
      <c r="BL377" t="s">
        <v>150</v>
      </c>
      <c r="BM377" t="s">
        <v>6420</v>
      </c>
      <c r="BN377" t="s">
        <v>74</v>
      </c>
      <c r="BO377" t="s">
        <v>74</v>
      </c>
      <c r="BP377" t="s">
        <v>74</v>
      </c>
      <c r="BQ377" t="s">
        <v>74</v>
      </c>
      <c r="BR377" t="s">
        <v>104</v>
      </c>
      <c r="BS377" t="s">
        <v>6421</v>
      </c>
      <c r="BT377" t="str">
        <f>HYPERLINK("https%3A%2F%2Fwww.webofscience.com%2Fwos%2Fwoscc%2Ffull-record%2FWOS:001100567100001","View Full Record in Web of Science")</f>
        <v>View Full Record in Web of Science</v>
      </c>
    </row>
    <row r="378" spans="1:72" x14ac:dyDescent="0.25">
      <c r="A378" t="s">
        <v>72</v>
      </c>
      <c r="B378" t="s">
        <v>6422</v>
      </c>
      <c r="C378" t="s">
        <v>74</v>
      </c>
      <c r="D378" t="s">
        <v>74</v>
      </c>
      <c r="E378" t="s">
        <v>74</v>
      </c>
      <c r="F378" t="s">
        <v>6423</v>
      </c>
      <c r="G378" t="s">
        <v>74</v>
      </c>
      <c r="H378" t="s">
        <v>74</v>
      </c>
      <c r="I378" t="s">
        <v>6424</v>
      </c>
      <c r="J378" t="s">
        <v>542</v>
      </c>
      <c r="K378" t="s">
        <v>74</v>
      </c>
      <c r="L378" t="s">
        <v>74</v>
      </c>
      <c r="M378" t="s">
        <v>78</v>
      </c>
      <c r="N378" t="s">
        <v>79</v>
      </c>
      <c r="O378" t="s">
        <v>74</v>
      </c>
      <c r="P378" t="s">
        <v>74</v>
      </c>
      <c r="Q378" t="s">
        <v>74</v>
      </c>
      <c r="R378" t="s">
        <v>74</v>
      </c>
      <c r="S378" t="s">
        <v>74</v>
      </c>
      <c r="T378" t="s">
        <v>6425</v>
      </c>
      <c r="U378" t="s">
        <v>6426</v>
      </c>
      <c r="V378" t="s">
        <v>6427</v>
      </c>
      <c r="W378" t="s">
        <v>6428</v>
      </c>
      <c r="X378" t="s">
        <v>6429</v>
      </c>
      <c r="Y378" t="s">
        <v>6430</v>
      </c>
      <c r="Z378" t="s">
        <v>6431</v>
      </c>
      <c r="AA378" t="s">
        <v>6432</v>
      </c>
      <c r="AB378" t="s">
        <v>6433</v>
      </c>
      <c r="AC378" t="s">
        <v>6434</v>
      </c>
      <c r="AD378" t="s">
        <v>482</v>
      </c>
      <c r="AE378" t="s">
        <v>6435</v>
      </c>
      <c r="AF378" t="s">
        <v>74</v>
      </c>
      <c r="AG378">
        <v>40</v>
      </c>
      <c r="AH378">
        <v>2</v>
      </c>
      <c r="AI378">
        <v>2</v>
      </c>
      <c r="AJ378">
        <v>4</v>
      </c>
      <c r="AK378">
        <v>19</v>
      </c>
      <c r="AL378" t="s">
        <v>552</v>
      </c>
      <c r="AM378" t="s">
        <v>553</v>
      </c>
      <c r="AN378" t="s">
        <v>554</v>
      </c>
      <c r="AO378" t="s">
        <v>555</v>
      </c>
      <c r="AP378" t="s">
        <v>556</v>
      </c>
      <c r="AQ378" t="s">
        <v>74</v>
      </c>
      <c r="AR378" t="s">
        <v>557</v>
      </c>
      <c r="AS378" t="s">
        <v>558</v>
      </c>
      <c r="AT378" t="s">
        <v>2225</v>
      </c>
      <c r="AU378">
        <v>2023</v>
      </c>
      <c r="AV378">
        <v>237</v>
      </c>
      <c r="AW378">
        <v>4</v>
      </c>
      <c r="AX378" t="s">
        <v>74</v>
      </c>
      <c r="AY378" t="s">
        <v>74</v>
      </c>
      <c r="AZ378" t="s">
        <v>74</v>
      </c>
      <c r="BA378" t="s">
        <v>74</v>
      </c>
      <c r="BB378">
        <v>703</v>
      </c>
      <c r="BC378">
        <v>713</v>
      </c>
      <c r="BD378" t="s">
        <v>74</v>
      </c>
      <c r="BE378" t="s">
        <v>6436</v>
      </c>
      <c r="BF378" t="str">
        <f>HYPERLINK("http://dx.doi.org/10.1177/1748006X221109351","http://dx.doi.org/10.1177/1748006X221109351")</f>
        <v>http://dx.doi.org/10.1177/1748006X221109351</v>
      </c>
      <c r="BG378" t="s">
        <v>74</v>
      </c>
      <c r="BH378" t="s">
        <v>3597</v>
      </c>
      <c r="BI378">
        <v>11</v>
      </c>
      <c r="BJ378" t="s">
        <v>494</v>
      </c>
      <c r="BK378" t="s">
        <v>149</v>
      </c>
      <c r="BL378" t="s">
        <v>150</v>
      </c>
      <c r="BM378" t="s">
        <v>6437</v>
      </c>
      <c r="BN378" t="s">
        <v>74</v>
      </c>
      <c r="BO378" t="s">
        <v>74</v>
      </c>
      <c r="BP378" t="s">
        <v>74</v>
      </c>
      <c r="BQ378" t="s">
        <v>74</v>
      </c>
      <c r="BR378" t="s">
        <v>104</v>
      </c>
      <c r="BS378" t="s">
        <v>6438</v>
      </c>
      <c r="BT378" t="str">
        <f>HYPERLINK("https%3A%2F%2Fwww.webofscience.com%2Fwos%2Fwoscc%2Ffull-record%2FWOS:000825038100001","View Full Record in Web of Science")</f>
        <v>View Full Record in Web of Science</v>
      </c>
    </row>
    <row r="379" spans="1:72" x14ac:dyDescent="0.25">
      <c r="A379" t="s">
        <v>72</v>
      </c>
      <c r="B379" t="s">
        <v>6439</v>
      </c>
      <c r="C379" t="s">
        <v>74</v>
      </c>
      <c r="D379" t="s">
        <v>74</v>
      </c>
      <c r="E379" t="s">
        <v>74</v>
      </c>
      <c r="F379" t="s">
        <v>6440</v>
      </c>
      <c r="G379" t="s">
        <v>74</v>
      </c>
      <c r="H379" t="s">
        <v>74</v>
      </c>
      <c r="I379" t="s">
        <v>6441</v>
      </c>
      <c r="J379" t="s">
        <v>1834</v>
      </c>
      <c r="K379" t="s">
        <v>74</v>
      </c>
      <c r="L379" t="s">
        <v>74</v>
      </c>
      <c r="M379" t="s">
        <v>78</v>
      </c>
      <c r="N379" t="s">
        <v>79</v>
      </c>
      <c r="O379" t="s">
        <v>74</v>
      </c>
      <c r="P379" t="s">
        <v>74</v>
      </c>
      <c r="Q379" t="s">
        <v>74</v>
      </c>
      <c r="R379" t="s">
        <v>74</v>
      </c>
      <c r="S379" t="s">
        <v>74</v>
      </c>
      <c r="T379" t="s">
        <v>74</v>
      </c>
      <c r="U379" t="s">
        <v>6442</v>
      </c>
      <c r="V379" t="s">
        <v>6443</v>
      </c>
      <c r="W379" t="s">
        <v>6444</v>
      </c>
      <c r="X379" t="s">
        <v>6445</v>
      </c>
      <c r="Y379" t="s">
        <v>6446</v>
      </c>
      <c r="Z379" t="s">
        <v>6447</v>
      </c>
      <c r="AA379" t="s">
        <v>74</v>
      </c>
      <c r="AB379" t="s">
        <v>74</v>
      </c>
      <c r="AC379" t="s">
        <v>74</v>
      </c>
      <c r="AD379" t="s">
        <v>74</v>
      </c>
      <c r="AE379" t="s">
        <v>74</v>
      </c>
      <c r="AF379" t="s">
        <v>74</v>
      </c>
      <c r="AG379">
        <v>36</v>
      </c>
      <c r="AH379">
        <v>0</v>
      </c>
      <c r="AI379">
        <v>0</v>
      </c>
      <c r="AJ379">
        <v>0</v>
      </c>
      <c r="AK379">
        <v>6</v>
      </c>
      <c r="AL379" t="s">
        <v>1845</v>
      </c>
      <c r="AM379" t="s">
        <v>1846</v>
      </c>
      <c r="AN379" t="s">
        <v>1847</v>
      </c>
      <c r="AO379" t="s">
        <v>1848</v>
      </c>
      <c r="AP379" t="s">
        <v>74</v>
      </c>
      <c r="AQ379" t="s">
        <v>74</v>
      </c>
      <c r="AR379" t="s">
        <v>1849</v>
      </c>
      <c r="AS379" t="s">
        <v>1850</v>
      </c>
      <c r="AT379" t="s">
        <v>1202</v>
      </c>
      <c r="AU379">
        <v>2021</v>
      </c>
      <c r="AV379">
        <v>32</v>
      </c>
      <c r="AW379">
        <v>1</v>
      </c>
      <c r="AX379" t="s">
        <v>74</v>
      </c>
      <c r="AY379" t="s">
        <v>74</v>
      </c>
      <c r="AZ379" t="s">
        <v>74</v>
      </c>
      <c r="BA379" t="s">
        <v>74</v>
      </c>
      <c r="BB379">
        <v>24</v>
      </c>
      <c r="BC379">
        <v>36</v>
      </c>
      <c r="BD379" t="s">
        <v>74</v>
      </c>
      <c r="BE379" t="s">
        <v>6448</v>
      </c>
      <c r="BF379" t="str">
        <f>HYPERLINK("http://dx.doi.org/10.7166/32-1-2127","http://dx.doi.org/10.7166/32-1-2127")</f>
        <v>http://dx.doi.org/10.7166/32-1-2127</v>
      </c>
      <c r="BG379" t="s">
        <v>74</v>
      </c>
      <c r="BH379" t="s">
        <v>74</v>
      </c>
      <c r="BI379">
        <v>13</v>
      </c>
      <c r="BJ379" t="s">
        <v>100</v>
      </c>
      <c r="BK379" t="s">
        <v>149</v>
      </c>
      <c r="BL379" t="s">
        <v>102</v>
      </c>
      <c r="BM379" t="s">
        <v>6449</v>
      </c>
      <c r="BN379" t="s">
        <v>74</v>
      </c>
      <c r="BO379" t="s">
        <v>6450</v>
      </c>
      <c r="BP379" t="s">
        <v>74</v>
      </c>
      <c r="BQ379" t="s">
        <v>74</v>
      </c>
      <c r="BR379" t="s">
        <v>104</v>
      </c>
      <c r="BS379" t="s">
        <v>6451</v>
      </c>
      <c r="BT379" t="str">
        <f>HYPERLINK("https%3A%2F%2Fwww.webofscience.com%2Fwos%2Fwoscc%2Ffull-record%2FWOS:000657099400004","View Full Record in Web of Science")</f>
        <v>View Full Record in Web of Science</v>
      </c>
    </row>
    <row r="380" spans="1:72" x14ac:dyDescent="0.25">
      <c r="A380" t="s">
        <v>72</v>
      </c>
      <c r="B380" t="s">
        <v>6452</v>
      </c>
      <c r="C380" t="s">
        <v>74</v>
      </c>
      <c r="D380" t="s">
        <v>74</v>
      </c>
      <c r="E380" t="s">
        <v>74</v>
      </c>
      <c r="F380" t="s">
        <v>6453</v>
      </c>
      <c r="G380" t="s">
        <v>74</v>
      </c>
      <c r="H380" t="s">
        <v>74</v>
      </c>
      <c r="I380" t="s">
        <v>6454</v>
      </c>
      <c r="J380" t="s">
        <v>542</v>
      </c>
      <c r="K380" t="s">
        <v>74</v>
      </c>
      <c r="L380" t="s">
        <v>74</v>
      </c>
      <c r="M380" t="s">
        <v>78</v>
      </c>
      <c r="N380" t="s">
        <v>79</v>
      </c>
      <c r="O380" t="s">
        <v>74</v>
      </c>
      <c r="P380" t="s">
        <v>74</v>
      </c>
      <c r="Q380" t="s">
        <v>74</v>
      </c>
      <c r="R380" t="s">
        <v>74</v>
      </c>
      <c r="S380" t="s">
        <v>74</v>
      </c>
      <c r="T380" t="s">
        <v>6455</v>
      </c>
      <c r="U380" t="s">
        <v>6456</v>
      </c>
      <c r="V380" t="s">
        <v>6457</v>
      </c>
      <c r="W380" t="s">
        <v>6458</v>
      </c>
      <c r="X380" t="s">
        <v>6459</v>
      </c>
      <c r="Y380" t="s">
        <v>6460</v>
      </c>
      <c r="Z380" t="s">
        <v>5002</v>
      </c>
      <c r="AA380" t="s">
        <v>6461</v>
      </c>
      <c r="AB380" t="s">
        <v>5659</v>
      </c>
      <c r="AC380" t="s">
        <v>2533</v>
      </c>
      <c r="AD380" t="s">
        <v>482</v>
      </c>
      <c r="AE380" t="s">
        <v>6462</v>
      </c>
      <c r="AF380" t="s">
        <v>74</v>
      </c>
      <c r="AG380">
        <v>47</v>
      </c>
      <c r="AH380">
        <v>2</v>
      </c>
      <c r="AI380">
        <v>2</v>
      </c>
      <c r="AJ380">
        <v>2</v>
      </c>
      <c r="AK380">
        <v>16</v>
      </c>
      <c r="AL380" t="s">
        <v>552</v>
      </c>
      <c r="AM380" t="s">
        <v>553</v>
      </c>
      <c r="AN380" t="s">
        <v>554</v>
      </c>
      <c r="AO380" t="s">
        <v>555</v>
      </c>
      <c r="AP380" t="s">
        <v>556</v>
      </c>
      <c r="AQ380" t="s">
        <v>74</v>
      </c>
      <c r="AR380" t="s">
        <v>557</v>
      </c>
      <c r="AS380" t="s">
        <v>558</v>
      </c>
      <c r="AT380" t="s">
        <v>1867</v>
      </c>
      <c r="AU380">
        <v>2024</v>
      </c>
      <c r="AV380">
        <v>238</v>
      </c>
      <c r="AW380">
        <v>2</v>
      </c>
      <c r="AX380" t="s">
        <v>74</v>
      </c>
      <c r="AY380" t="s">
        <v>74</v>
      </c>
      <c r="AZ380" t="s">
        <v>74</v>
      </c>
      <c r="BA380" t="s">
        <v>74</v>
      </c>
      <c r="BB380">
        <v>247</v>
      </c>
      <c r="BC380">
        <v>259</v>
      </c>
      <c r="BD380" t="s">
        <v>74</v>
      </c>
      <c r="BE380" t="s">
        <v>6463</v>
      </c>
      <c r="BF380" t="str">
        <f>HYPERLINK("http://dx.doi.org/10.1177/1748006X221148239","http://dx.doi.org/10.1177/1748006X221148239")</f>
        <v>http://dx.doi.org/10.1177/1748006X221148239</v>
      </c>
      <c r="BG380" t="s">
        <v>74</v>
      </c>
      <c r="BH380" t="s">
        <v>2984</v>
      </c>
      <c r="BI380">
        <v>13</v>
      </c>
      <c r="BJ380" t="s">
        <v>494</v>
      </c>
      <c r="BK380" t="s">
        <v>149</v>
      </c>
      <c r="BL380" t="s">
        <v>150</v>
      </c>
      <c r="BM380" t="s">
        <v>6464</v>
      </c>
      <c r="BN380" t="s">
        <v>74</v>
      </c>
      <c r="BO380" t="s">
        <v>74</v>
      </c>
      <c r="BP380" t="s">
        <v>74</v>
      </c>
      <c r="BQ380" t="s">
        <v>74</v>
      </c>
      <c r="BR380" t="s">
        <v>104</v>
      </c>
      <c r="BS380" t="s">
        <v>6465</v>
      </c>
      <c r="BT380" t="str">
        <f>HYPERLINK("https%3A%2F%2Fwww.webofscience.com%2Fwos%2Fwoscc%2Ffull-record%2FWOS:000913452100001","View Full Record in Web of Science")</f>
        <v>View Full Record in Web of Science</v>
      </c>
    </row>
    <row r="381" spans="1:72" x14ac:dyDescent="0.25">
      <c r="A381" t="s">
        <v>72</v>
      </c>
      <c r="B381" t="s">
        <v>6466</v>
      </c>
      <c r="C381" t="s">
        <v>74</v>
      </c>
      <c r="D381" t="s">
        <v>74</v>
      </c>
      <c r="E381" t="s">
        <v>74</v>
      </c>
      <c r="F381" t="s">
        <v>6467</v>
      </c>
      <c r="G381" t="s">
        <v>74</v>
      </c>
      <c r="H381" t="s">
        <v>74</v>
      </c>
      <c r="I381" t="s">
        <v>6468</v>
      </c>
      <c r="J381" t="s">
        <v>472</v>
      </c>
      <c r="K381" t="s">
        <v>74</v>
      </c>
      <c r="L381" t="s">
        <v>74</v>
      </c>
      <c r="M381" t="s">
        <v>78</v>
      </c>
      <c r="N381" t="s">
        <v>79</v>
      </c>
      <c r="O381" t="s">
        <v>74</v>
      </c>
      <c r="P381" t="s">
        <v>74</v>
      </c>
      <c r="Q381" t="s">
        <v>74</v>
      </c>
      <c r="R381" t="s">
        <v>74</v>
      </c>
      <c r="S381" t="s">
        <v>74</v>
      </c>
      <c r="T381" t="s">
        <v>6469</v>
      </c>
      <c r="U381" t="s">
        <v>6470</v>
      </c>
      <c r="V381" t="s">
        <v>6471</v>
      </c>
      <c r="W381" t="s">
        <v>6472</v>
      </c>
      <c r="X381" t="s">
        <v>6473</v>
      </c>
      <c r="Y381" t="s">
        <v>6474</v>
      </c>
      <c r="Z381" t="s">
        <v>3536</v>
      </c>
      <c r="AA381" t="s">
        <v>6475</v>
      </c>
      <c r="AB381" t="s">
        <v>6476</v>
      </c>
      <c r="AC381" t="s">
        <v>74</v>
      </c>
      <c r="AD381" t="s">
        <v>74</v>
      </c>
      <c r="AE381" t="s">
        <v>74</v>
      </c>
      <c r="AF381" t="s">
        <v>74</v>
      </c>
      <c r="AG381">
        <v>37</v>
      </c>
      <c r="AH381">
        <v>7</v>
      </c>
      <c r="AI381">
        <v>7</v>
      </c>
      <c r="AJ381">
        <v>6</v>
      </c>
      <c r="AK381">
        <v>22</v>
      </c>
      <c r="AL381" t="s">
        <v>484</v>
      </c>
      <c r="AM381" t="s">
        <v>485</v>
      </c>
      <c r="AN381" t="s">
        <v>486</v>
      </c>
      <c r="AO381" t="s">
        <v>487</v>
      </c>
      <c r="AP381" t="s">
        <v>488</v>
      </c>
      <c r="AQ381" t="s">
        <v>74</v>
      </c>
      <c r="AR381" t="s">
        <v>489</v>
      </c>
      <c r="AS381" t="s">
        <v>490</v>
      </c>
      <c r="AT381" t="s">
        <v>145</v>
      </c>
      <c r="AU381">
        <v>2022</v>
      </c>
      <c r="AV381">
        <v>38</v>
      </c>
      <c r="AW381">
        <v>8</v>
      </c>
      <c r="AX381" t="s">
        <v>74</v>
      </c>
      <c r="AY381" t="s">
        <v>74</v>
      </c>
      <c r="AZ381" t="s">
        <v>74</v>
      </c>
      <c r="BA381" t="s">
        <v>74</v>
      </c>
      <c r="BB381">
        <v>4122</v>
      </c>
      <c r="BC381">
        <v>4140</v>
      </c>
      <c r="BD381" t="s">
        <v>74</v>
      </c>
      <c r="BE381" t="s">
        <v>6477</v>
      </c>
      <c r="BF381" t="str">
        <f>HYPERLINK("http://dx.doi.org/10.1002/qre.3191","http://dx.doi.org/10.1002/qre.3191")</f>
        <v>http://dx.doi.org/10.1002/qre.3191</v>
      </c>
      <c r="BG381" t="s">
        <v>74</v>
      </c>
      <c r="BH381" t="s">
        <v>658</v>
      </c>
      <c r="BI381">
        <v>19</v>
      </c>
      <c r="BJ381" t="s">
        <v>494</v>
      </c>
      <c r="BK381" t="s">
        <v>149</v>
      </c>
      <c r="BL381" t="s">
        <v>150</v>
      </c>
      <c r="BM381" t="s">
        <v>6478</v>
      </c>
      <c r="BN381" t="s">
        <v>74</v>
      </c>
      <c r="BO381" t="s">
        <v>74</v>
      </c>
      <c r="BP381" t="s">
        <v>74</v>
      </c>
      <c r="BQ381" t="s">
        <v>74</v>
      </c>
      <c r="BR381" t="s">
        <v>104</v>
      </c>
      <c r="BS381" t="s">
        <v>6479</v>
      </c>
      <c r="BT381" t="str">
        <f>HYPERLINK("https%3A%2F%2Fwww.webofscience.com%2Fwos%2Fwoscc%2Ffull-record%2FWOS:000844219200001","View Full Record in Web of Science")</f>
        <v>View Full Record in Web of Science</v>
      </c>
    </row>
    <row r="382" spans="1:72" x14ac:dyDescent="0.25">
      <c r="A382" t="s">
        <v>72</v>
      </c>
      <c r="B382" t="s">
        <v>6480</v>
      </c>
      <c r="C382" t="s">
        <v>74</v>
      </c>
      <c r="D382" t="s">
        <v>74</v>
      </c>
      <c r="E382" t="s">
        <v>74</v>
      </c>
      <c r="F382" t="s">
        <v>6481</v>
      </c>
      <c r="G382" t="s">
        <v>74</v>
      </c>
      <c r="H382" t="s">
        <v>74</v>
      </c>
      <c r="I382" t="s">
        <v>6482</v>
      </c>
      <c r="J382" t="s">
        <v>128</v>
      </c>
      <c r="K382" t="s">
        <v>74</v>
      </c>
      <c r="L382" t="s">
        <v>74</v>
      </c>
      <c r="M382" t="s">
        <v>78</v>
      </c>
      <c r="N382" t="s">
        <v>79</v>
      </c>
      <c r="O382" t="s">
        <v>74</v>
      </c>
      <c r="P382" t="s">
        <v>74</v>
      </c>
      <c r="Q382" t="s">
        <v>74</v>
      </c>
      <c r="R382" t="s">
        <v>74</v>
      </c>
      <c r="S382" t="s">
        <v>74</v>
      </c>
      <c r="T382" t="s">
        <v>6483</v>
      </c>
      <c r="U382" t="s">
        <v>74</v>
      </c>
      <c r="V382" t="s">
        <v>6484</v>
      </c>
      <c r="W382" t="s">
        <v>6485</v>
      </c>
      <c r="X382" t="s">
        <v>6486</v>
      </c>
      <c r="Y382" t="s">
        <v>6487</v>
      </c>
      <c r="Z382" t="s">
        <v>2566</v>
      </c>
      <c r="AA382" t="s">
        <v>6488</v>
      </c>
      <c r="AB382" t="s">
        <v>6489</v>
      </c>
      <c r="AC382" t="s">
        <v>6490</v>
      </c>
      <c r="AD382" t="s">
        <v>6491</v>
      </c>
      <c r="AE382" t="s">
        <v>6492</v>
      </c>
      <c r="AF382" t="s">
        <v>74</v>
      </c>
      <c r="AG382">
        <v>36</v>
      </c>
      <c r="AH382">
        <v>12</v>
      </c>
      <c r="AI382">
        <v>13</v>
      </c>
      <c r="AJ382">
        <v>7</v>
      </c>
      <c r="AK382">
        <v>45</v>
      </c>
      <c r="AL382" t="s">
        <v>138</v>
      </c>
      <c r="AM382" t="s">
        <v>139</v>
      </c>
      <c r="AN382" t="s">
        <v>140</v>
      </c>
      <c r="AO382" t="s">
        <v>141</v>
      </c>
      <c r="AP382" t="s">
        <v>142</v>
      </c>
      <c r="AQ382" t="s">
        <v>74</v>
      </c>
      <c r="AR382" t="s">
        <v>143</v>
      </c>
      <c r="AS382" t="s">
        <v>144</v>
      </c>
      <c r="AT382" t="s">
        <v>1076</v>
      </c>
      <c r="AU382">
        <v>2022</v>
      </c>
      <c r="AV382">
        <v>226</v>
      </c>
      <c r="AW382" t="s">
        <v>74</v>
      </c>
      <c r="AX382" t="s">
        <v>74</v>
      </c>
      <c r="AY382" t="s">
        <v>74</v>
      </c>
      <c r="AZ382" t="s">
        <v>74</v>
      </c>
      <c r="BA382" t="s">
        <v>74</v>
      </c>
      <c r="BB382" t="s">
        <v>74</v>
      </c>
      <c r="BC382" t="s">
        <v>74</v>
      </c>
      <c r="BD382">
        <v>108652</v>
      </c>
      <c r="BE382" t="s">
        <v>6493</v>
      </c>
      <c r="BF382" t="str">
        <f>HYPERLINK("http://dx.doi.org/10.1016/j.ress.2022.108652","http://dx.doi.org/10.1016/j.ress.2022.108652")</f>
        <v>http://dx.doi.org/10.1016/j.ress.2022.108652</v>
      </c>
      <c r="BG382" t="s">
        <v>74</v>
      </c>
      <c r="BH382" t="s">
        <v>168</v>
      </c>
      <c r="BI382">
        <v>15</v>
      </c>
      <c r="BJ382" t="s">
        <v>148</v>
      </c>
      <c r="BK382" t="s">
        <v>149</v>
      </c>
      <c r="BL382" t="s">
        <v>150</v>
      </c>
      <c r="BM382" t="s">
        <v>6494</v>
      </c>
      <c r="BN382" t="s">
        <v>74</v>
      </c>
      <c r="BO382" t="s">
        <v>74</v>
      </c>
      <c r="BP382" t="s">
        <v>74</v>
      </c>
      <c r="BQ382" t="s">
        <v>74</v>
      </c>
      <c r="BR382" t="s">
        <v>104</v>
      </c>
      <c r="BS382" t="s">
        <v>6495</v>
      </c>
      <c r="BT382" t="str">
        <f>HYPERLINK("https%3A%2F%2Fwww.webofscience.com%2Fwos%2Fwoscc%2Ffull-record%2FWOS:000821917000008","View Full Record in Web of Science")</f>
        <v>View Full Record in Web of Science</v>
      </c>
    </row>
    <row r="383" spans="1:72" x14ac:dyDescent="0.25">
      <c r="A383" t="s">
        <v>72</v>
      </c>
      <c r="B383" t="s">
        <v>6496</v>
      </c>
      <c r="C383" t="s">
        <v>74</v>
      </c>
      <c r="D383" t="s">
        <v>74</v>
      </c>
      <c r="E383" t="s">
        <v>74</v>
      </c>
      <c r="F383" t="s">
        <v>6497</v>
      </c>
      <c r="G383" t="s">
        <v>74</v>
      </c>
      <c r="H383" t="s">
        <v>74</v>
      </c>
      <c r="I383" t="s">
        <v>6498</v>
      </c>
      <c r="J383" t="s">
        <v>6499</v>
      </c>
      <c r="K383" t="s">
        <v>74</v>
      </c>
      <c r="L383" t="s">
        <v>74</v>
      </c>
      <c r="M383" t="s">
        <v>78</v>
      </c>
      <c r="N383" t="s">
        <v>79</v>
      </c>
      <c r="O383" t="s">
        <v>74</v>
      </c>
      <c r="P383" t="s">
        <v>74</v>
      </c>
      <c r="Q383" t="s">
        <v>74</v>
      </c>
      <c r="R383" t="s">
        <v>74</v>
      </c>
      <c r="S383" t="s">
        <v>74</v>
      </c>
      <c r="T383" t="s">
        <v>6500</v>
      </c>
      <c r="U383" t="s">
        <v>6501</v>
      </c>
      <c r="V383" t="s">
        <v>6502</v>
      </c>
      <c r="W383" t="s">
        <v>6503</v>
      </c>
      <c r="X383" t="s">
        <v>6504</v>
      </c>
      <c r="Y383" t="s">
        <v>6505</v>
      </c>
      <c r="Z383" t="s">
        <v>6506</v>
      </c>
      <c r="AA383" t="s">
        <v>6507</v>
      </c>
      <c r="AB383" t="s">
        <v>6508</v>
      </c>
      <c r="AC383" t="s">
        <v>6509</v>
      </c>
      <c r="AD383" t="s">
        <v>6510</v>
      </c>
      <c r="AE383" t="s">
        <v>6511</v>
      </c>
      <c r="AF383" t="s">
        <v>74</v>
      </c>
      <c r="AG383">
        <v>35</v>
      </c>
      <c r="AH383">
        <v>1</v>
      </c>
      <c r="AI383">
        <v>1</v>
      </c>
      <c r="AJ383">
        <v>6</v>
      </c>
      <c r="AK383">
        <v>20</v>
      </c>
      <c r="AL383" t="s">
        <v>6512</v>
      </c>
      <c r="AM383" t="s">
        <v>6513</v>
      </c>
      <c r="AN383" t="s">
        <v>6514</v>
      </c>
      <c r="AO383" t="s">
        <v>74</v>
      </c>
      <c r="AP383" t="s">
        <v>6515</v>
      </c>
      <c r="AQ383" t="s">
        <v>74</v>
      </c>
      <c r="AR383" t="s">
        <v>6499</v>
      </c>
      <c r="AS383" t="s">
        <v>6516</v>
      </c>
      <c r="AT383" t="s">
        <v>248</v>
      </c>
      <c r="AU383">
        <v>2023</v>
      </c>
      <c r="AV383">
        <v>9</v>
      </c>
      <c r="AW383">
        <v>7</v>
      </c>
      <c r="AX383" t="s">
        <v>74</v>
      </c>
      <c r="AY383" t="s">
        <v>74</v>
      </c>
      <c r="AZ383" t="s">
        <v>74</v>
      </c>
      <c r="BA383" t="s">
        <v>74</v>
      </c>
      <c r="BB383" t="s">
        <v>74</v>
      </c>
      <c r="BC383" t="s">
        <v>74</v>
      </c>
      <c r="BD383" t="s">
        <v>6517</v>
      </c>
      <c r="BE383" t="s">
        <v>6518</v>
      </c>
      <c r="BF383" t="str">
        <f>HYPERLINK("http://dx.doi.org/10.1016/j.heliyon.2023.e17485","http://dx.doi.org/10.1016/j.heliyon.2023.e17485")</f>
        <v>http://dx.doi.org/10.1016/j.heliyon.2023.e17485</v>
      </c>
      <c r="BG383" t="s">
        <v>74</v>
      </c>
      <c r="BH383" t="s">
        <v>1042</v>
      </c>
      <c r="BI383">
        <v>18</v>
      </c>
      <c r="BJ383" t="s">
        <v>517</v>
      </c>
      <c r="BK383" t="s">
        <v>149</v>
      </c>
      <c r="BL383" t="s">
        <v>518</v>
      </c>
      <c r="BM383" t="s">
        <v>6519</v>
      </c>
      <c r="BN383">
        <v>37415943</v>
      </c>
      <c r="BO383" t="s">
        <v>6520</v>
      </c>
      <c r="BP383" t="s">
        <v>74</v>
      </c>
      <c r="BQ383" t="s">
        <v>74</v>
      </c>
      <c r="BR383" t="s">
        <v>104</v>
      </c>
      <c r="BS383" t="s">
        <v>6521</v>
      </c>
      <c r="BT383" t="str">
        <f>HYPERLINK("https%3A%2F%2Fwww.webofscience.com%2Fwos%2Fwoscc%2Ffull-record%2FWOS:001056439100001","View Full Record in Web of Science")</f>
        <v>View Full Record in Web of Science</v>
      </c>
    </row>
    <row r="384" spans="1:72" x14ac:dyDescent="0.25">
      <c r="A384" t="s">
        <v>72</v>
      </c>
      <c r="B384" t="s">
        <v>6522</v>
      </c>
      <c r="C384" t="s">
        <v>74</v>
      </c>
      <c r="D384" t="s">
        <v>74</v>
      </c>
      <c r="E384" t="s">
        <v>74</v>
      </c>
      <c r="F384" t="s">
        <v>6523</v>
      </c>
      <c r="G384" t="s">
        <v>74</v>
      </c>
      <c r="H384" t="s">
        <v>74</v>
      </c>
      <c r="I384" t="s">
        <v>6524</v>
      </c>
      <c r="J384" t="s">
        <v>697</v>
      </c>
      <c r="K384" t="s">
        <v>74</v>
      </c>
      <c r="L384" t="s">
        <v>74</v>
      </c>
      <c r="M384" t="s">
        <v>78</v>
      </c>
      <c r="N384" t="s">
        <v>79</v>
      </c>
      <c r="O384" t="s">
        <v>74</v>
      </c>
      <c r="P384" t="s">
        <v>74</v>
      </c>
      <c r="Q384" t="s">
        <v>74</v>
      </c>
      <c r="R384" t="s">
        <v>74</v>
      </c>
      <c r="S384" t="s">
        <v>74</v>
      </c>
      <c r="T384" t="s">
        <v>6525</v>
      </c>
      <c r="U384" t="s">
        <v>6526</v>
      </c>
      <c r="V384" t="s">
        <v>6527</v>
      </c>
      <c r="W384" t="s">
        <v>6528</v>
      </c>
      <c r="X384" t="s">
        <v>6529</v>
      </c>
      <c r="Y384" t="s">
        <v>6530</v>
      </c>
      <c r="Z384" t="s">
        <v>4339</v>
      </c>
      <c r="AA384" t="s">
        <v>6531</v>
      </c>
      <c r="AB384" t="s">
        <v>6532</v>
      </c>
      <c r="AC384" t="s">
        <v>3253</v>
      </c>
      <c r="AD384" t="s">
        <v>482</v>
      </c>
      <c r="AE384" t="s">
        <v>6533</v>
      </c>
      <c r="AF384" t="s">
        <v>74</v>
      </c>
      <c r="AG384">
        <v>22</v>
      </c>
      <c r="AH384">
        <v>5</v>
      </c>
      <c r="AI384">
        <v>5</v>
      </c>
      <c r="AJ384">
        <v>5</v>
      </c>
      <c r="AK384">
        <v>28</v>
      </c>
      <c r="AL384" t="s">
        <v>707</v>
      </c>
      <c r="AM384" t="s">
        <v>246</v>
      </c>
      <c r="AN384" t="s">
        <v>708</v>
      </c>
      <c r="AO384" t="s">
        <v>709</v>
      </c>
      <c r="AP384" t="s">
        <v>710</v>
      </c>
      <c r="AQ384" t="s">
        <v>74</v>
      </c>
      <c r="AR384" t="s">
        <v>711</v>
      </c>
      <c r="AS384" t="s">
        <v>712</v>
      </c>
      <c r="AT384" t="s">
        <v>1202</v>
      </c>
      <c r="AU384">
        <v>2023</v>
      </c>
      <c r="AV384">
        <v>179</v>
      </c>
      <c r="AW384" t="s">
        <v>74</v>
      </c>
      <c r="AX384" t="s">
        <v>74</v>
      </c>
      <c r="AY384" t="s">
        <v>74</v>
      </c>
      <c r="AZ384" t="s">
        <v>74</v>
      </c>
      <c r="BA384" t="s">
        <v>74</v>
      </c>
      <c r="BB384" t="s">
        <v>74</v>
      </c>
      <c r="BC384" t="s">
        <v>74</v>
      </c>
      <c r="BD384">
        <v>109223</v>
      </c>
      <c r="BE384" t="s">
        <v>6534</v>
      </c>
      <c r="BF384" t="str">
        <f>HYPERLINK("http://dx.doi.org/10.1016/j.cie.2023.109223","http://dx.doi.org/10.1016/j.cie.2023.109223")</f>
        <v>http://dx.doi.org/10.1016/j.cie.2023.109223</v>
      </c>
      <c r="BG384" t="s">
        <v>74</v>
      </c>
      <c r="BH384" t="s">
        <v>1204</v>
      </c>
      <c r="BI384">
        <v>9</v>
      </c>
      <c r="BJ384" t="s">
        <v>715</v>
      </c>
      <c r="BK384" t="s">
        <v>149</v>
      </c>
      <c r="BL384" t="s">
        <v>716</v>
      </c>
      <c r="BM384" t="s">
        <v>6535</v>
      </c>
      <c r="BN384" t="s">
        <v>74</v>
      </c>
      <c r="BO384" t="s">
        <v>74</v>
      </c>
      <c r="BP384" t="s">
        <v>74</v>
      </c>
      <c r="BQ384" t="s">
        <v>74</v>
      </c>
      <c r="BR384" t="s">
        <v>104</v>
      </c>
      <c r="BS384" t="s">
        <v>6536</v>
      </c>
      <c r="BT384" t="str">
        <f>HYPERLINK("https%3A%2F%2Fwww.webofscience.com%2Fwos%2Fwoscc%2Ffull-record%2FWOS:000974756200001","View Full Record in Web of Science")</f>
        <v>View Full Record in Web of Science</v>
      </c>
    </row>
    <row r="385" spans="1:72" x14ac:dyDescent="0.25">
      <c r="A385" t="s">
        <v>72</v>
      </c>
      <c r="B385" t="s">
        <v>5095</v>
      </c>
      <c r="C385" t="s">
        <v>74</v>
      </c>
      <c r="D385" t="s">
        <v>74</v>
      </c>
      <c r="E385" t="s">
        <v>74</v>
      </c>
      <c r="F385" t="s">
        <v>5096</v>
      </c>
      <c r="G385" t="s">
        <v>74</v>
      </c>
      <c r="H385" t="s">
        <v>74</v>
      </c>
      <c r="I385" t="s">
        <v>6537</v>
      </c>
      <c r="J385" t="s">
        <v>128</v>
      </c>
      <c r="K385" t="s">
        <v>74</v>
      </c>
      <c r="L385" t="s">
        <v>74</v>
      </c>
      <c r="M385" t="s">
        <v>78</v>
      </c>
      <c r="N385" t="s">
        <v>79</v>
      </c>
      <c r="O385" t="s">
        <v>74</v>
      </c>
      <c r="P385" t="s">
        <v>74</v>
      </c>
      <c r="Q385" t="s">
        <v>74</v>
      </c>
      <c r="R385" t="s">
        <v>74</v>
      </c>
      <c r="S385" t="s">
        <v>74</v>
      </c>
      <c r="T385" t="s">
        <v>6538</v>
      </c>
      <c r="U385" t="s">
        <v>6337</v>
      </c>
      <c r="V385" t="s">
        <v>6539</v>
      </c>
      <c r="W385" t="s">
        <v>6540</v>
      </c>
      <c r="X385" t="s">
        <v>6340</v>
      </c>
      <c r="Y385" t="s">
        <v>6541</v>
      </c>
      <c r="Z385" t="s">
        <v>6342</v>
      </c>
      <c r="AA385" t="s">
        <v>807</v>
      </c>
      <c r="AB385" t="s">
        <v>74</v>
      </c>
      <c r="AC385" t="s">
        <v>74</v>
      </c>
      <c r="AD385" t="s">
        <v>74</v>
      </c>
      <c r="AE385" t="s">
        <v>74</v>
      </c>
      <c r="AF385" t="s">
        <v>74</v>
      </c>
      <c r="AG385">
        <v>32</v>
      </c>
      <c r="AH385">
        <v>20</v>
      </c>
      <c r="AI385">
        <v>20</v>
      </c>
      <c r="AJ385">
        <v>3</v>
      </c>
      <c r="AK385">
        <v>16</v>
      </c>
      <c r="AL385" t="s">
        <v>138</v>
      </c>
      <c r="AM385" t="s">
        <v>246</v>
      </c>
      <c r="AN385" t="s">
        <v>247</v>
      </c>
      <c r="AO385" t="s">
        <v>141</v>
      </c>
      <c r="AP385" t="s">
        <v>142</v>
      </c>
      <c r="AQ385" t="s">
        <v>74</v>
      </c>
      <c r="AR385" t="s">
        <v>143</v>
      </c>
      <c r="AS385" t="s">
        <v>144</v>
      </c>
      <c r="AT385" t="s">
        <v>559</v>
      </c>
      <c r="AU385">
        <v>2021</v>
      </c>
      <c r="AV385">
        <v>211</v>
      </c>
      <c r="AW385" t="s">
        <v>74</v>
      </c>
      <c r="AX385" t="s">
        <v>74</v>
      </c>
      <c r="AY385" t="s">
        <v>74</v>
      </c>
      <c r="AZ385" t="s">
        <v>74</v>
      </c>
      <c r="BA385" t="s">
        <v>74</v>
      </c>
      <c r="BB385" t="s">
        <v>74</v>
      </c>
      <c r="BC385" t="s">
        <v>74</v>
      </c>
      <c r="BD385">
        <v>107582</v>
      </c>
      <c r="BE385" t="s">
        <v>6542</v>
      </c>
      <c r="BF385" t="str">
        <f>HYPERLINK("http://dx.doi.org/10.1016/j.ress.2021.107582","http://dx.doi.org/10.1016/j.ress.2021.107582")</f>
        <v>http://dx.doi.org/10.1016/j.ress.2021.107582</v>
      </c>
      <c r="BG385" t="s">
        <v>74</v>
      </c>
      <c r="BH385" t="s">
        <v>756</v>
      </c>
      <c r="BI385">
        <v>11</v>
      </c>
      <c r="BJ385" t="s">
        <v>148</v>
      </c>
      <c r="BK385" t="s">
        <v>149</v>
      </c>
      <c r="BL385" t="s">
        <v>150</v>
      </c>
      <c r="BM385" t="s">
        <v>4247</v>
      </c>
      <c r="BN385" t="s">
        <v>74</v>
      </c>
      <c r="BO385" t="s">
        <v>74</v>
      </c>
      <c r="BP385" t="s">
        <v>74</v>
      </c>
      <c r="BQ385" t="s">
        <v>74</v>
      </c>
      <c r="BR385" t="s">
        <v>104</v>
      </c>
      <c r="BS385" t="s">
        <v>6543</v>
      </c>
      <c r="BT385" t="str">
        <f>HYPERLINK("https%3A%2F%2Fwww.webofscience.com%2Fwos%2Fwoscc%2Ffull-record%2FWOS:000663909700014","View Full Record in Web of Science")</f>
        <v>View Full Record in Web of Science</v>
      </c>
    </row>
    <row r="386" spans="1:72" x14ac:dyDescent="0.25">
      <c r="A386" t="s">
        <v>72</v>
      </c>
      <c r="B386" t="s">
        <v>6544</v>
      </c>
      <c r="C386" t="s">
        <v>74</v>
      </c>
      <c r="D386" t="s">
        <v>74</v>
      </c>
      <c r="E386" t="s">
        <v>74</v>
      </c>
      <c r="F386" t="s">
        <v>6545</v>
      </c>
      <c r="G386" t="s">
        <v>74</v>
      </c>
      <c r="H386" t="s">
        <v>74</v>
      </c>
      <c r="I386" t="s">
        <v>6546</v>
      </c>
      <c r="J386" t="s">
        <v>697</v>
      </c>
      <c r="K386" t="s">
        <v>74</v>
      </c>
      <c r="L386" t="s">
        <v>74</v>
      </c>
      <c r="M386" t="s">
        <v>78</v>
      </c>
      <c r="N386" t="s">
        <v>79</v>
      </c>
      <c r="O386" t="s">
        <v>74</v>
      </c>
      <c r="P386" t="s">
        <v>74</v>
      </c>
      <c r="Q386" t="s">
        <v>74</v>
      </c>
      <c r="R386" t="s">
        <v>74</v>
      </c>
      <c r="S386" t="s">
        <v>74</v>
      </c>
      <c r="T386" t="s">
        <v>6547</v>
      </c>
      <c r="U386" t="s">
        <v>6548</v>
      </c>
      <c r="V386" t="s">
        <v>6549</v>
      </c>
      <c r="W386" t="s">
        <v>6550</v>
      </c>
      <c r="X386" t="s">
        <v>6551</v>
      </c>
      <c r="Y386" t="s">
        <v>6552</v>
      </c>
      <c r="Z386" t="s">
        <v>6553</v>
      </c>
      <c r="AA386" t="s">
        <v>6554</v>
      </c>
      <c r="AB386" t="s">
        <v>6555</v>
      </c>
      <c r="AC386" t="s">
        <v>6556</v>
      </c>
      <c r="AD386" t="s">
        <v>6557</v>
      </c>
      <c r="AE386" t="s">
        <v>6558</v>
      </c>
      <c r="AF386" t="s">
        <v>74</v>
      </c>
      <c r="AG386">
        <v>30</v>
      </c>
      <c r="AH386">
        <v>8</v>
      </c>
      <c r="AI386">
        <v>8</v>
      </c>
      <c r="AJ386">
        <v>5</v>
      </c>
      <c r="AK386">
        <v>27</v>
      </c>
      <c r="AL386" t="s">
        <v>707</v>
      </c>
      <c r="AM386" t="s">
        <v>246</v>
      </c>
      <c r="AN386" t="s">
        <v>708</v>
      </c>
      <c r="AO386" t="s">
        <v>709</v>
      </c>
      <c r="AP386" t="s">
        <v>710</v>
      </c>
      <c r="AQ386" t="s">
        <v>74</v>
      </c>
      <c r="AR386" t="s">
        <v>711</v>
      </c>
      <c r="AS386" t="s">
        <v>712</v>
      </c>
      <c r="AT386" t="s">
        <v>1076</v>
      </c>
      <c r="AU386">
        <v>2022</v>
      </c>
      <c r="AV386">
        <v>172</v>
      </c>
      <c r="AW386" t="s">
        <v>74</v>
      </c>
      <c r="AX386" t="s">
        <v>1907</v>
      </c>
      <c r="AY386" t="s">
        <v>74</v>
      </c>
      <c r="AZ386" t="s">
        <v>74</v>
      </c>
      <c r="BA386" t="s">
        <v>74</v>
      </c>
      <c r="BB386" t="s">
        <v>74</v>
      </c>
      <c r="BC386" t="s">
        <v>74</v>
      </c>
      <c r="BD386" t="s">
        <v>74</v>
      </c>
      <c r="BE386" t="s">
        <v>6559</v>
      </c>
      <c r="BF386" t="str">
        <f>HYPERLINK("http://dx.doi.org/10.1016/j.cie.2022.108534","http://dx.doi.org/10.1016/j.cie.2022.108534")</f>
        <v>http://dx.doi.org/10.1016/j.cie.2022.108534</v>
      </c>
      <c r="BG386" t="s">
        <v>74</v>
      </c>
      <c r="BH386" t="s">
        <v>658</v>
      </c>
      <c r="BI386">
        <v>10</v>
      </c>
      <c r="BJ386" t="s">
        <v>715</v>
      </c>
      <c r="BK386" t="s">
        <v>149</v>
      </c>
      <c r="BL386" t="s">
        <v>716</v>
      </c>
      <c r="BM386" t="s">
        <v>6560</v>
      </c>
      <c r="BN386" t="s">
        <v>74</v>
      </c>
      <c r="BO386" t="s">
        <v>74</v>
      </c>
      <c r="BP386" t="s">
        <v>74</v>
      </c>
      <c r="BQ386" t="s">
        <v>74</v>
      </c>
      <c r="BR386" t="s">
        <v>104</v>
      </c>
      <c r="BS386" t="s">
        <v>6561</v>
      </c>
      <c r="BT386" t="str">
        <f>HYPERLINK("https%3A%2F%2Fwww.webofscience.com%2Fwos%2Fwoscc%2Ffull-record%2FWOS:000891311800015","View Full Record in Web of Science")</f>
        <v>View Full Record in Web of Science</v>
      </c>
    </row>
    <row r="387" spans="1:72" x14ac:dyDescent="0.25">
      <c r="A387" t="s">
        <v>72</v>
      </c>
      <c r="B387" t="s">
        <v>6562</v>
      </c>
      <c r="C387" t="s">
        <v>74</v>
      </c>
      <c r="D387" t="s">
        <v>74</v>
      </c>
      <c r="E387" t="s">
        <v>74</v>
      </c>
      <c r="F387" t="s">
        <v>6563</v>
      </c>
      <c r="G387" t="s">
        <v>74</v>
      </c>
      <c r="H387" t="s">
        <v>74</v>
      </c>
      <c r="I387" t="s">
        <v>6564</v>
      </c>
      <c r="J387" t="s">
        <v>697</v>
      </c>
      <c r="K387" t="s">
        <v>74</v>
      </c>
      <c r="L387" t="s">
        <v>74</v>
      </c>
      <c r="M387" t="s">
        <v>78</v>
      </c>
      <c r="N387" t="s">
        <v>79</v>
      </c>
      <c r="O387" t="s">
        <v>74</v>
      </c>
      <c r="P387" t="s">
        <v>74</v>
      </c>
      <c r="Q387" t="s">
        <v>74</v>
      </c>
      <c r="R387" t="s">
        <v>74</v>
      </c>
      <c r="S387" t="s">
        <v>74</v>
      </c>
      <c r="T387" t="s">
        <v>6565</v>
      </c>
      <c r="U387" t="s">
        <v>6566</v>
      </c>
      <c r="V387" t="s">
        <v>6567</v>
      </c>
      <c r="W387" t="s">
        <v>6568</v>
      </c>
      <c r="X387" t="s">
        <v>4297</v>
      </c>
      <c r="Y387" t="s">
        <v>3794</v>
      </c>
      <c r="Z387" t="s">
        <v>4298</v>
      </c>
      <c r="AA387" t="s">
        <v>74</v>
      </c>
      <c r="AB387" t="s">
        <v>74</v>
      </c>
      <c r="AC387" t="s">
        <v>6569</v>
      </c>
      <c r="AD387" t="s">
        <v>482</v>
      </c>
      <c r="AE387" t="s">
        <v>6570</v>
      </c>
      <c r="AF387" t="s">
        <v>74</v>
      </c>
      <c r="AG387">
        <v>42</v>
      </c>
      <c r="AH387">
        <v>15</v>
      </c>
      <c r="AI387">
        <v>19</v>
      </c>
      <c r="AJ387">
        <v>4</v>
      </c>
      <c r="AK387">
        <v>45</v>
      </c>
      <c r="AL387" t="s">
        <v>707</v>
      </c>
      <c r="AM387" t="s">
        <v>246</v>
      </c>
      <c r="AN387" t="s">
        <v>708</v>
      </c>
      <c r="AO387" t="s">
        <v>709</v>
      </c>
      <c r="AP387" t="s">
        <v>710</v>
      </c>
      <c r="AQ387" t="s">
        <v>74</v>
      </c>
      <c r="AR387" t="s">
        <v>711</v>
      </c>
      <c r="AS387" t="s">
        <v>712</v>
      </c>
      <c r="AT387" t="s">
        <v>1867</v>
      </c>
      <c r="AU387">
        <v>2021</v>
      </c>
      <c r="AV387">
        <v>154</v>
      </c>
      <c r="AW387" t="s">
        <v>74</v>
      </c>
      <c r="AX387" t="s">
        <v>74</v>
      </c>
      <c r="AY387" t="s">
        <v>74</v>
      </c>
      <c r="AZ387" t="s">
        <v>74</v>
      </c>
      <c r="BA387" t="s">
        <v>74</v>
      </c>
      <c r="BB387" t="s">
        <v>74</v>
      </c>
      <c r="BC387" t="s">
        <v>74</v>
      </c>
      <c r="BD387">
        <v>107135</v>
      </c>
      <c r="BE387" t="s">
        <v>6571</v>
      </c>
      <c r="BF387" t="str">
        <f>HYPERLINK("http://dx.doi.org/10.1016/j.cie.2021.107135","http://dx.doi.org/10.1016/j.cie.2021.107135")</f>
        <v>http://dx.doi.org/10.1016/j.cie.2021.107135</v>
      </c>
      <c r="BG387" t="s">
        <v>74</v>
      </c>
      <c r="BH387" t="s">
        <v>639</v>
      </c>
      <c r="BI387">
        <v>15</v>
      </c>
      <c r="BJ387" t="s">
        <v>715</v>
      </c>
      <c r="BK387" t="s">
        <v>149</v>
      </c>
      <c r="BL387" t="s">
        <v>716</v>
      </c>
      <c r="BM387" t="s">
        <v>6572</v>
      </c>
      <c r="BN387" t="s">
        <v>74</v>
      </c>
      <c r="BO387" t="s">
        <v>74</v>
      </c>
      <c r="BP387" t="s">
        <v>74</v>
      </c>
      <c r="BQ387" t="s">
        <v>74</v>
      </c>
      <c r="BR387" t="s">
        <v>104</v>
      </c>
      <c r="BS387" t="s">
        <v>6573</v>
      </c>
      <c r="BT387" t="str">
        <f>HYPERLINK("https%3A%2F%2Fwww.webofscience.com%2Fwos%2Fwoscc%2Ffull-record%2FWOS:000632964300035","View Full Record in Web of Science")</f>
        <v>View Full Record in Web of Science</v>
      </c>
    </row>
    <row r="388" spans="1:72" x14ac:dyDescent="0.25">
      <c r="A388" t="s">
        <v>72</v>
      </c>
      <c r="B388" t="s">
        <v>6574</v>
      </c>
      <c r="C388" t="s">
        <v>74</v>
      </c>
      <c r="D388" t="s">
        <v>74</v>
      </c>
      <c r="E388" t="s">
        <v>74</v>
      </c>
      <c r="F388" t="s">
        <v>6575</v>
      </c>
      <c r="G388" t="s">
        <v>74</v>
      </c>
      <c r="H388" t="s">
        <v>74</v>
      </c>
      <c r="I388" t="s">
        <v>6576</v>
      </c>
      <c r="J388" t="s">
        <v>1402</v>
      </c>
      <c r="K388" t="s">
        <v>74</v>
      </c>
      <c r="L388" t="s">
        <v>74</v>
      </c>
      <c r="M388" t="s">
        <v>78</v>
      </c>
      <c r="N388" t="s">
        <v>79</v>
      </c>
      <c r="O388" t="s">
        <v>74</v>
      </c>
      <c r="P388" t="s">
        <v>74</v>
      </c>
      <c r="Q388" t="s">
        <v>74</v>
      </c>
      <c r="R388" t="s">
        <v>74</v>
      </c>
      <c r="S388" t="s">
        <v>74</v>
      </c>
      <c r="T388" t="s">
        <v>6577</v>
      </c>
      <c r="U388" t="s">
        <v>6578</v>
      </c>
      <c r="V388" t="s">
        <v>6579</v>
      </c>
      <c r="W388" t="s">
        <v>6580</v>
      </c>
      <c r="X388" t="s">
        <v>6581</v>
      </c>
      <c r="Y388" t="s">
        <v>5704</v>
      </c>
      <c r="Z388" t="s">
        <v>6582</v>
      </c>
      <c r="AA388" t="s">
        <v>6583</v>
      </c>
      <c r="AB388" t="s">
        <v>2615</v>
      </c>
      <c r="AC388" t="s">
        <v>6584</v>
      </c>
      <c r="AD388" t="s">
        <v>6585</v>
      </c>
      <c r="AE388" t="s">
        <v>6586</v>
      </c>
      <c r="AF388" t="s">
        <v>74</v>
      </c>
      <c r="AG388">
        <v>35</v>
      </c>
      <c r="AH388">
        <v>11</v>
      </c>
      <c r="AI388">
        <v>11</v>
      </c>
      <c r="AJ388">
        <v>6</v>
      </c>
      <c r="AK388">
        <v>41</v>
      </c>
      <c r="AL388" t="s">
        <v>1415</v>
      </c>
      <c r="AM388" t="s">
        <v>1416</v>
      </c>
      <c r="AN388" t="s">
        <v>1417</v>
      </c>
      <c r="AO388" t="s">
        <v>1418</v>
      </c>
      <c r="AP388" t="s">
        <v>1419</v>
      </c>
      <c r="AQ388" t="s">
        <v>74</v>
      </c>
      <c r="AR388" t="s">
        <v>1420</v>
      </c>
      <c r="AS388" t="s">
        <v>1421</v>
      </c>
      <c r="AT388" t="s">
        <v>3013</v>
      </c>
      <c r="AU388">
        <v>2022</v>
      </c>
      <c r="AV388">
        <v>54</v>
      </c>
      <c r="AW388">
        <v>3</v>
      </c>
      <c r="AX388" t="s">
        <v>74</v>
      </c>
      <c r="AY388" t="s">
        <v>74</v>
      </c>
      <c r="AZ388" t="s">
        <v>74</v>
      </c>
      <c r="BA388" t="s">
        <v>74</v>
      </c>
      <c r="BB388">
        <v>251</v>
      </c>
      <c r="BC388">
        <v>270</v>
      </c>
      <c r="BD388" t="s">
        <v>74</v>
      </c>
      <c r="BE388" t="s">
        <v>6587</v>
      </c>
      <c r="BF388" t="str">
        <f>HYPERLINK("http://dx.doi.org/10.1080/24725854.2020.1869871","http://dx.doi.org/10.1080/24725854.2020.1869871")</f>
        <v>http://dx.doi.org/10.1080/24725854.2020.1869871</v>
      </c>
      <c r="BG388" t="s">
        <v>74</v>
      </c>
      <c r="BH388" t="s">
        <v>773</v>
      </c>
      <c r="BI388">
        <v>20</v>
      </c>
      <c r="BJ388" t="s">
        <v>148</v>
      </c>
      <c r="BK388" t="s">
        <v>149</v>
      </c>
      <c r="BL388" t="s">
        <v>150</v>
      </c>
      <c r="BM388" t="s">
        <v>6588</v>
      </c>
      <c r="BN388" t="s">
        <v>74</v>
      </c>
      <c r="BO388" t="s">
        <v>758</v>
      </c>
      <c r="BP388" t="s">
        <v>74</v>
      </c>
      <c r="BQ388" t="s">
        <v>74</v>
      </c>
      <c r="BR388" t="s">
        <v>104</v>
      </c>
      <c r="BS388" t="s">
        <v>6589</v>
      </c>
      <c r="BT388" t="str">
        <f>HYPERLINK("https%3A%2F%2Fwww.webofscience.com%2Fwos%2Fwoscc%2Ffull-record%2FWOS:000621535000001","View Full Record in Web of Science")</f>
        <v>View Full Record in Web of Science</v>
      </c>
    </row>
    <row r="389" spans="1:72" x14ac:dyDescent="0.25">
      <c r="A389" t="s">
        <v>72</v>
      </c>
      <c r="B389" t="s">
        <v>6590</v>
      </c>
      <c r="C389" t="s">
        <v>74</v>
      </c>
      <c r="D389" t="s">
        <v>74</v>
      </c>
      <c r="E389" t="s">
        <v>74</v>
      </c>
      <c r="F389" t="s">
        <v>6591</v>
      </c>
      <c r="G389" t="s">
        <v>74</v>
      </c>
      <c r="H389" t="s">
        <v>74</v>
      </c>
      <c r="I389" t="s">
        <v>6592</v>
      </c>
      <c r="J389" t="s">
        <v>2160</v>
      </c>
      <c r="K389" t="s">
        <v>74</v>
      </c>
      <c r="L389" t="s">
        <v>74</v>
      </c>
      <c r="M389" t="s">
        <v>78</v>
      </c>
      <c r="N389" t="s">
        <v>79</v>
      </c>
      <c r="O389" t="s">
        <v>74</v>
      </c>
      <c r="P389" t="s">
        <v>74</v>
      </c>
      <c r="Q389" t="s">
        <v>74</v>
      </c>
      <c r="R389" t="s">
        <v>74</v>
      </c>
      <c r="S389" t="s">
        <v>74</v>
      </c>
      <c r="T389" t="s">
        <v>6593</v>
      </c>
      <c r="U389" t="s">
        <v>6594</v>
      </c>
      <c r="V389" t="s">
        <v>6595</v>
      </c>
      <c r="W389" t="s">
        <v>6596</v>
      </c>
      <c r="X389" t="s">
        <v>6597</v>
      </c>
      <c r="Y389" t="s">
        <v>6598</v>
      </c>
      <c r="Z389" t="s">
        <v>6599</v>
      </c>
      <c r="AA389" t="s">
        <v>6600</v>
      </c>
      <c r="AB389" t="s">
        <v>6601</v>
      </c>
      <c r="AC389" t="s">
        <v>5048</v>
      </c>
      <c r="AD389" t="s">
        <v>482</v>
      </c>
      <c r="AE389" t="s">
        <v>5049</v>
      </c>
      <c r="AF389" t="s">
        <v>74</v>
      </c>
      <c r="AG389">
        <v>28</v>
      </c>
      <c r="AH389">
        <v>0</v>
      </c>
      <c r="AI389">
        <v>0</v>
      </c>
      <c r="AJ389">
        <v>9</v>
      </c>
      <c r="AK389">
        <v>22</v>
      </c>
      <c r="AL389" t="s">
        <v>220</v>
      </c>
      <c r="AM389" t="s">
        <v>221</v>
      </c>
      <c r="AN389" t="s">
        <v>222</v>
      </c>
      <c r="AO389" t="s">
        <v>2172</v>
      </c>
      <c r="AP389" t="s">
        <v>2173</v>
      </c>
      <c r="AQ389" t="s">
        <v>74</v>
      </c>
      <c r="AR389" t="s">
        <v>2174</v>
      </c>
      <c r="AS389" t="s">
        <v>2175</v>
      </c>
      <c r="AT389" t="s">
        <v>1867</v>
      </c>
      <c r="AU389">
        <v>2024</v>
      </c>
      <c r="AV389">
        <v>20</v>
      </c>
      <c r="AW389">
        <v>4</v>
      </c>
      <c r="AX389" t="s">
        <v>74</v>
      </c>
      <c r="AY389" t="s">
        <v>74</v>
      </c>
      <c r="AZ389" t="s">
        <v>74</v>
      </c>
      <c r="BA389" t="s">
        <v>74</v>
      </c>
      <c r="BB389">
        <v>6009</v>
      </c>
      <c r="BC389">
        <v>6018</v>
      </c>
      <c r="BD389" t="s">
        <v>74</v>
      </c>
      <c r="BE389" t="s">
        <v>6602</v>
      </c>
      <c r="BF389" t="str">
        <f>HYPERLINK("http://dx.doi.org/10.1109/TII.2023.3342425","http://dx.doi.org/10.1109/TII.2023.3342425")</f>
        <v>http://dx.doi.org/10.1109/TII.2023.3342425</v>
      </c>
      <c r="BG389" t="s">
        <v>74</v>
      </c>
      <c r="BH389" t="s">
        <v>449</v>
      </c>
      <c r="BI389">
        <v>10</v>
      </c>
      <c r="BJ389" t="s">
        <v>2177</v>
      </c>
      <c r="BK389" t="s">
        <v>149</v>
      </c>
      <c r="BL389" t="s">
        <v>1157</v>
      </c>
      <c r="BM389" t="s">
        <v>6603</v>
      </c>
      <c r="BN389" t="s">
        <v>74</v>
      </c>
      <c r="BO389" t="s">
        <v>74</v>
      </c>
      <c r="BP389" t="s">
        <v>74</v>
      </c>
      <c r="BQ389" t="s">
        <v>74</v>
      </c>
      <c r="BR389" t="s">
        <v>104</v>
      </c>
      <c r="BS389" t="s">
        <v>6604</v>
      </c>
      <c r="BT389" t="str">
        <f>HYPERLINK("https%3A%2F%2Fwww.webofscience.com%2Fwos%2Fwoscc%2Ffull-record%2FWOS:001134387900001","View Full Record in Web of Science")</f>
        <v>View Full Record in Web of Science</v>
      </c>
    </row>
    <row r="390" spans="1:72" x14ac:dyDescent="0.25">
      <c r="A390" t="s">
        <v>72</v>
      </c>
      <c r="B390" t="s">
        <v>6605</v>
      </c>
      <c r="C390" t="s">
        <v>74</v>
      </c>
      <c r="D390" t="s">
        <v>74</v>
      </c>
      <c r="E390" t="s">
        <v>74</v>
      </c>
      <c r="F390" t="s">
        <v>6606</v>
      </c>
      <c r="G390" t="s">
        <v>74</v>
      </c>
      <c r="H390" t="s">
        <v>74</v>
      </c>
      <c r="I390" t="s">
        <v>6607</v>
      </c>
      <c r="J390" t="s">
        <v>3102</v>
      </c>
      <c r="K390" t="s">
        <v>74</v>
      </c>
      <c r="L390" t="s">
        <v>74</v>
      </c>
      <c r="M390" t="s">
        <v>78</v>
      </c>
      <c r="N390" t="s">
        <v>79</v>
      </c>
      <c r="O390" t="s">
        <v>74</v>
      </c>
      <c r="P390" t="s">
        <v>74</v>
      </c>
      <c r="Q390" t="s">
        <v>74</v>
      </c>
      <c r="R390" t="s">
        <v>74</v>
      </c>
      <c r="S390" t="s">
        <v>74</v>
      </c>
      <c r="T390" t="s">
        <v>6608</v>
      </c>
      <c r="U390" t="s">
        <v>6609</v>
      </c>
      <c r="V390" t="s">
        <v>6610</v>
      </c>
      <c r="W390" t="s">
        <v>6611</v>
      </c>
      <c r="X390" t="s">
        <v>6612</v>
      </c>
      <c r="Y390" t="s">
        <v>6613</v>
      </c>
      <c r="Z390" t="s">
        <v>6614</v>
      </c>
      <c r="AA390" t="s">
        <v>6615</v>
      </c>
      <c r="AB390" t="s">
        <v>6616</v>
      </c>
      <c r="AC390" t="s">
        <v>74</v>
      </c>
      <c r="AD390" t="s">
        <v>74</v>
      </c>
      <c r="AE390" t="s">
        <v>74</v>
      </c>
      <c r="AF390" t="s">
        <v>74</v>
      </c>
      <c r="AG390">
        <v>44</v>
      </c>
      <c r="AH390">
        <v>7</v>
      </c>
      <c r="AI390">
        <v>7</v>
      </c>
      <c r="AJ390">
        <v>0</v>
      </c>
      <c r="AK390">
        <v>12</v>
      </c>
      <c r="AL390" t="s">
        <v>2421</v>
      </c>
      <c r="AM390" t="s">
        <v>3115</v>
      </c>
      <c r="AN390" t="s">
        <v>3116</v>
      </c>
      <c r="AO390" t="s">
        <v>3117</v>
      </c>
      <c r="AP390" t="s">
        <v>3118</v>
      </c>
      <c r="AQ390" t="s">
        <v>74</v>
      </c>
      <c r="AR390" t="s">
        <v>3119</v>
      </c>
      <c r="AS390" t="s">
        <v>3120</v>
      </c>
      <c r="AT390" t="s">
        <v>2225</v>
      </c>
      <c r="AU390">
        <v>2019</v>
      </c>
      <c r="AV390">
        <v>23</v>
      </c>
      <c r="AW390">
        <v>15</v>
      </c>
      <c r="AX390" t="s">
        <v>74</v>
      </c>
      <c r="AY390" t="s">
        <v>74</v>
      </c>
      <c r="AZ390" t="s">
        <v>74</v>
      </c>
      <c r="BA390" t="s">
        <v>74</v>
      </c>
      <c r="BB390">
        <v>6379</v>
      </c>
      <c r="BC390">
        <v>6390</v>
      </c>
      <c r="BD390" t="s">
        <v>74</v>
      </c>
      <c r="BE390" t="s">
        <v>6617</v>
      </c>
      <c r="BF390" t="str">
        <f>HYPERLINK("http://dx.doi.org/10.1007/s00500-018-3291-x","http://dx.doi.org/10.1007/s00500-018-3291-x")</f>
        <v>http://dx.doi.org/10.1007/s00500-018-3291-x</v>
      </c>
      <c r="BG390" t="s">
        <v>74</v>
      </c>
      <c r="BH390" t="s">
        <v>74</v>
      </c>
      <c r="BI390">
        <v>12</v>
      </c>
      <c r="BJ390" t="s">
        <v>1227</v>
      </c>
      <c r="BK390" t="s">
        <v>149</v>
      </c>
      <c r="BL390" t="s">
        <v>1228</v>
      </c>
      <c r="BM390" t="s">
        <v>6618</v>
      </c>
      <c r="BN390" t="s">
        <v>74</v>
      </c>
      <c r="BO390" t="s">
        <v>74</v>
      </c>
      <c r="BP390" t="s">
        <v>74</v>
      </c>
      <c r="BQ390" t="s">
        <v>74</v>
      </c>
      <c r="BR390" t="s">
        <v>104</v>
      </c>
      <c r="BS390" t="s">
        <v>6619</v>
      </c>
      <c r="BT390" t="str">
        <f>HYPERLINK("https%3A%2F%2Fwww.webofscience.com%2Fwos%2Fwoscc%2Ffull-record%2FWOS:000473642200030","View Full Record in Web of Science")</f>
        <v>View Full Record in Web of Science</v>
      </c>
    </row>
    <row r="391" spans="1:72" x14ac:dyDescent="0.25">
      <c r="A391" t="s">
        <v>72</v>
      </c>
      <c r="B391" t="s">
        <v>6620</v>
      </c>
      <c r="C391" t="s">
        <v>74</v>
      </c>
      <c r="D391" t="s">
        <v>74</v>
      </c>
      <c r="E391" t="s">
        <v>74</v>
      </c>
      <c r="F391" t="s">
        <v>6621</v>
      </c>
      <c r="G391" t="s">
        <v>74</v>
      </c>
      <c r="H391" t="s">
        <v>74</v>
      </c>
      <c r="I391" t="s">
        <v>6622</v>
      </c>
      <c r="J391" t="s">
        <v>128</v>
      </c>
      <c r="K391" t="s">
        <v>74</v>
      </c>
      <c r="L391" t="s">
        <v>74</v>
      </c>
      <c r="M391" t="s">
        <v>78</v>
      </c>
      <c r="N391" t="s">
        <v>79</v>
      </c>
      <c r="O391" t="s">
        <v>74</v>
      </c>
      <c r="P391" t="s">
        <v>74</v>
      </c>
      <c r="Q391" t="s">
        <v>74</v>
      </c>
      <c r="R391" t="s">
        <v>74</v>
      </c>
      <c r="S391" t="s">
        <v>74</v>
      </c>
      <c r="T391" t="s">
        <v>6623</v>
      </c>
      <c r="U391" t="s">
        <v>6624</v>
      </c>
      <c r="V391" t="s">
        <v>6625</v>
      </c>
      <c r="W391" t="s">
        <v>6626</v>
      </c>
      <c r="X391" t="s">
        <v>6627</v>
      </c>
      <c r="Y391" t="s">
        <v>6628</v>
      </c>
      <c r="Z391" t="s">
        <v>6629</v>
      </c>
      <c r="AA391" t="s">
        <v>6630</v>
      </c>
      <c r="AB391" t="s">
        <v>74</v>
      </c>
      <c r="AC391" t="s">
        <v>74</v>
      </c>
      <c r="AD391" t="s">
        <v>74</v>
      </c>
      <c r="AE391" t="s">
        <v>74</v>
      </c>
      <c r="AF391" t="s">
        <v>74</v>
      </c>
      <c r="AG391">
        <v>42</v>
      </c>
      <c r="AH391">
        <v>6</v>
      </c>
      <c r="AI391">
        <v>6</v>
      </c>
      <c r="AJ391">
        <v>3</v>
      </c>
      <c r="AK391">
        <v>9</v>
      </c>
      <c r="AL391" t="s">
        <v>138</v>
      </c>
      <c r="AM391" t="s">
        <v>139</v>
      </c>
      <c r="AN391" t="s">
        <v>140</v>
      </c>
      <c r="AO391" t="s">
        <v>141</v>
      </c>
      <c r="AP391" t="s">
        <v>142</v>
      </c>
      <c r="AQ391" t="s">
        <v>74</v>
      </c>
      <c r="AR391" t="s">
        <v>143</v>
      </c>
      <c r="AS391" t="s">
        <v>144</v>
      </c>
      <c r="AT391" t="s">
        <v>1076</v>
      </c>
      <c r="AU391">
        <v>2023</v>
      </c>
      <c r="AV391">
        <v>238</v>
      </c>
      <c r="AW391" t="s">
        <v>74</v>
      </c>
      <c r="AX391" t="s">
        <v>74</v>
      </c>
      <c r="AY391" t="s">
        <v>74</v>
      </c>
      <c r="AZ391" t="s">
        <v>74</v>
      </c>
      <c r="BA391" t="s">
        <v>74</v>
      </c>
      <c r="BB391" t="s">
        <v>74</v>
      </c>
      <c r="BC391" t="s">
        <v>74</v>
      </c>
      <c r="BD391">
        <v>109433</v>
      </c>
      <c r="BE391" t="s">
        <v>6631</v>
      </c>
      <c r="BF391" t="str">
        <f>HYPERLINK("http://dx.doi.org/10.1016/j.ress.2023.109433","http://dx.doi.org/10.1016/j.ress.2023.109433")</f>
        <v>http://dx.doi.org/10.1016/j.ress.2023.109433</v>
      </c>
      <c r="BG391" t="s">
        <v>74</v>
      </c>
      <c r="BH391" t="s">
        <v>1042</v>
      </c>
      <c r="BI391">
        <v>24</v>
      </c>
      <c r="BJ391" t="s">
        <v>148</v>
      </c>
      <c r="BK391" t="s">
        <v>149</v>
      </c>
      <c r="BL391" t="s">
        <v>150</v>
      </c>
      <c r="BM391" t="s">
        <v>6632</v>
      </c>
      <c r="BN391" t="s">
        <v>74</v>
      </c>
      <c r="BO391" t="s">
        <v>74</v>
      </c>
      <c r="BP391" t="s">
        <v>74</v>
      </c>
      <c r="BQ391" t="s">
        <v>74</v>
      </c>
      <c r="BR391" t="s">
        <v>104</v>
      </c>
      <c r="BS391" t="s">
        <v>6633</v>
      </c>
      <c r="BT391" t="str">
        <f>HYPERLINK("https%3A%2F%2Fwww.webofscience.com%2Fwos%2Fwoscc%2Ffull-record%2FWOS:001029767300001","View Full Record in Web of Science")</f>
        <v>View Full Record in Web of Science</v>
      </c>
    </row>
    <row r="392" spans="1:72" x14ac:dyDescent="0.25">
      <c r="A392" t="s">
        <v>72</v>
      </c>
      <c r="B392" t="s">
        <v>6634</v>
      </c>
      <c r="C392" t="s">
        <v>74</v>
      </c>
      <c r="D392" t="s">
        <v>74</v>
      </c>
      <c r="E392" t="s">
        <v>74</v>
      </c>
      <c r="F392" t="s">
        <v>6635</v>
      </c>
      <c r="G392" t="s">
        <v>74</v>
      </c>
      <c r="H392" t="s">
        <v>74</v>
      </c>
      <c r="I392" t="s">
        <v>6636</v>
      </c>
      <c r="J392" t="s">
        <v>697</v>
      </c>
      <c r="K392" t="s">
        <v>74</v>
      </c>
      <c r="L392" t="s">
        <v>74</v>
      </c>
      <c r="M392" t="s">
        <v>78</v>
      </c>
      <c r="N392" t="s">
        <v>79</v>
      </c>
      <c r="O392" t="s">
        <v>74</v>
      </c>
      <c r="P392" t="s">
        <v>74</v>
      </c>
      <c r="Q392" t="s">
        <v>74</v>
      </c>
      <c r="R392" t="s">
        <v>74</v>
      </c>
      <c r="S392" t="s">
        <v>74</v>
      </c>
      <c r="T392" t="s">
        <v>6637</v>
      </c>
      <c r="U392" t="s">
        <v>6638</v>
      </c>
      <c r="V392" t="s">
        <v>6639</v>
      </c>
      <c r="W392" t="s">
        <v>6640</v>
      </c>
      <c r="X392" t="s">
        <v>6641</v>
      </c>
      <c r="Y392" t="s">
        <v>6642</v>
      </c>
      <c r="Z392" t="s">
        <v>6643</v>
      </c>
      <c r="AA392" t="s">
        <v>74</v>
      </c>
      <c r="AB392" t="s">
        <v>6644</v>
      </c>
      <c r="AC392" t="s">
        <v>6645</v>
      </c>
      <c r="AD392" t="s">
        <v>482</v>
      </c>
      <c r="AE392" t="s">
        <v>6646</v>
      </c>
      <c r="AF392" t="s">
        <v>74</v>
      </c>
      <c r="AG392">
        <v>26</v>
      </c>
      <c r="AH392">
        <v>31</v>
      </c>
      <c r="AI392">
        <v>32</v>
      </c>
      <c r="AJ392">
        <v>8</v>
      </c>
      <c r="AK392">
        <v>67</v>
      </c>
      <c r="AL392" t="s">
        <v>707</v>
      </c>
      <c r="AM392" t="s">
        <v>246</v>
      </c>
      <c r="AN392" t="s">
        <v>708</v>
      </c>
      <c r="AO392" t="s">
        <v>709</v>
      </c>
      <c r="AP392" t="s">
        <v>710</v>
      </c>
      <c r="AQ392" t="s">
        <v>74</v>
      </c>
      <c r="AR392" t="s">
        <v>711</v>
      </c>
      <c r="AS392" t="s">
        <v>712</v>
      </c>
      <c r="AT392" t="s">
        <v>1867</v>
      </c>
      <c r="AU392">
        <v>2019</v>
      </c>
      <c r="AV392">
        <v>130</v>
      </c>
      <c r="AW392" t="s">
        <v>74</v>
      </c>
      <c r="AX392" t="s">
        <v>74</v>
      </c>
      <c r="AY392" t="s">
        <v>74</v>
      </c>
      <c r="AZ392" t="s">
        <v>74</v>
      </c>
      <c r="BA392" t="s">
        <v>74</v>
      </c>
      <c r="BB392">
        <v>282</v>
      </c>
      <c r="BC392">
        <v>297</v>
      </c>
      <c r="BD392" t="s">
        <v>74</v>
      </c>
      <c r="BE392" t="s">
        <v>6647</v>
      </c>
      <c r="BF392" t="str">
        <f>HYPERLINK("http://dx.doi.org/10.1016/j.cie.2019.02.034","http://dx.doi.org/10.1016/j.cie.2019.02.034")</f>
        <v>http://dx.doi.org/10.1016/j.cie.2019.02.034</v>
      </c>
      <c r="BG392" t="s">
        <v>74</v>
      </c>
      <c r="BH392" t="s">
        <v>74</v>
      </c>
      <c r="BI392">
        <v>16</v>
      </c>
      <c r="BJ392" t="s">
        <v>715</v>
      </c>
      <c r="BK392" t="s">
        <v>149</v>
      </c>
      <c r="BL392" t="s">
        <v>716</v>
      </c>
      <c r="BM392" t="s">
        <v>6648</v>
      </c>
      <c r="BN392" t="s">
        <v>74</v>
      </c>
      <c r="BO392" t="s">
        <v>74</v>
      </c>
      <c r="BP392" t="s">
        <v>74</v>
      </c>
      <c r="BQ392" t="s">
        <v>74</v>
      </c>
      <c r="BR392" t="s">
        <v>104</v>
      </c>
      <c r="BS392" t="s">
        <v>6649</v>
      </c>
      <c r="BT392" t="str">
        <f>HYPERLINK("https%3A%2F%2Fwww.webofscience.com%2Fwos%2Fwoscc%2Ffull-record%2FWOS:000466825100021","View Full Record in Web of Science")</f>
        <v>View Full Record in Web of Science</v>
      </c>
    </row>
    <row r="393" spans="1:72" x14ac:dyDescent="0.25">
      <c r="A393" t="s">
        <v>72</v>
      </c>
      <c r="B393" t="s">
        <v>6650</v>
      </c>
      <c r="C393" t="s">
        <v>74</v>
      </c>
      <c r="D393" t="s">
        <v>74</v>
      </c>
      <c r="E393" t="s">
        <v>74</v>
      </c>
      <c r="F393" t="s">
        <v>6651</v>
      </c>
      <c r="G393" t="s">
        <v>74</v>
      </c>
      <c r="H393" t="s">
        <v>74</v>
      </c>
      <c r="I393" t="s">
        <v>6652</v>
      </c>
      <c r="J393" t="s">
        <v>299</v>
      </c>
      <c r="K393" t="s">
        <v>74</v>
      </c>
      <c r="L393" t="s">
        <v>74</v>
      </c>
      <c r="M393" t="s">
        <v>78</v>
      </c>
      <c r="N393" t="s">
        <v>79</v>
      </c>
      <c r="O393" t="s">
        <v>74</v>
      </c>
      <c r="P393" t="s">
        <v>74</v>
      </c>
      <c r="Q393" t="s">
        <v>74</v>
      </c>
      <c r="R393" t="s">
        <v>74</v>
      </c>
      <c r="S393" t="s">
        <v>74</v>
      </c>
      <c r="T393" t="s">
        <v>6653</v>
      </c>
      <c r="U393" t="s">
        <v>355</v>
      </c>
      <c r="V393" t="s">
        <v>6654</v>
      </c>
      <c r="W393" t="s">
        <v>6655</v>
      </c>
      <c r="X393" t="s">
        <v>6656</v>
      </c>
      <c r="Y393" t="s">
        <v>6657</v>
      </c>
      <c r="Z393" t="s">
        <v>6658</v>
      </c>
      <c r="AA393" t="s">
        <v>6659</v>
      </c>
      <c r="AB393" t="s">
        <v>6660</v>
      </c>
      <c r="AC393" t="s">
        <v>74</v>
      </c>
      <c r="AD393" t="s">
        <v>74</v>
      </c>
      <c r="AE393" t="s">
        <v>74</v>
      </c>
      <c r="AF393" t="s">
        <v>74</v>
      </c>
      <c r="AG393">
        <v>59</v>
      </c>
      <c r="AH393">
        <v>12</v>
      </c>
      <c r="AI393">
        <v>13</v>
      </c>
      <c r="AJ393">
        <v>18</v>
      </c>
      <c r="AK393">
        <v>73</v>
      </c>
      <c r="AL393" t="s">
        <v>311</v>
      </c>
      <c r="AM393" t="s">
        <v>312</v>
      </c>
      <c r="AN393" t="s">
        <v>313</v>
      </c>
      <c r="AO393" t="s">
        <v>314</v>
      </c>
      <c r="AP393" t="s">
        <v>315</v>
      </c>
      <c r="AQ393" t="s">
        <v>74</v>
      </c>
      <c r="AR393" t="s">
        <v>316</v>
      </c>
      <c r="AS393" t="s">
        <v>317</v>
      </c>
      <c r="AT393" t="s">
        <v>6163</v>
      </c>
      <c r="AU393">
        <v>2024</v>
      </c>
      <c r="AV393">
        <v>62</v>
      </c>
      <c r="AW393">
        <v>10</v>
      </c>
      <c r="AX393" t="s">
        <v>74</v>
      </c>
      <c r="AY393" t="s">
        <v>74</v>
      </c>
      <c r="AZ393" t="s">
        <v>74</v>
      </c>
      <c r="BA393" t="s">
        <v>74</v>
      </c>
      <c r="BB393">
        <v>3460</v>
      </c>
      <c r="BC393">
        <v>3482</v>
      </c>
      <c r="BD393" t="s">
        <v>74</v>
      </c>
      <c r="BE393" t="s">
        <v>6661</v>
      </c>
      <c r="BF393" t="str">
        <f>HYPERLINK("http://dx.doi.org/10.1080/00207543.2023.2240433","http://dx.doi.org/10.1080/00207543.2023.2240433")</f>
        <v>http://dx.doi.org/10.1080/00207543.2023.2240433</v>
      </c>
      <c r="BG393" t="s">
        <v>74</v>
      </c>
      <c r="BH393" t="s">
        <v>1155</v>
      </c>
      <c r="BI393">
        <v>23</v>
      </c>
      <c r="BJ393" t="s">
        <v>321</v>
      </c>
      <c r="BK393" t="s">
        <v>149</v>
      </c>
      <c r="BL393" t="s">
        <v>150</v>
      </c>
      <c r="BM393" t="s">
        <v>6165</v>
      </c>
      <c r="BN393" t="s">
        <v>74</v>
      </c>
      <c r="BO393" t="s">
        <v>74</v>
      </c>
      <c r="BP393" t="s">
        <v>74</v>
      </c>
      <c r="BQ393" t="s">
        <v>74</v>
      </c>
      <c r="BR393" t="s">
        <v>104</v>
      </c>
      <c r="BS393" t="s">
        <v>6662</v>
      </c>
      <c r="BT393" t="str">
        <f>HYPERLINK("https%3A%2F%2Fwww.webofscience.com%2Fwos%2Fwoscc%2Ffull-record%2FWOS:001033956900001","View Full Record in Web of Science")</f>
        <v>View Full Record in Web of Science</v>
      </c>
    </row>
    <row r="394" spans="1:72" x14ac:dyDescent="0.25">
      <c r="A394" t="s">
        <v>72</v>
      </c>
      <c r="B394" t="s">
        <v>6663</v>
      </c>
      <c r="C394" t="s">
        <v>74</v>
      </c>
      <c r="D394" t="s">
        <v>74</v>
      </c>
      <c r="E394" t="s">
        <v>74</v>
      </c>
      <c r="F394" t="s">
        <v>6664</v>
      </c>
      <c r="G394" t="s">
        <v>74</v>
      </c>
      <c r="H394" t="s">
        <v>74</v>
      </c>
      <c r="I394" t="s">
        <v>6665</v>
      </c>
      <c r="J394" t="s">
        <v>128</v>
      </c>
      <c r="K394" t="s">
        <v>74</v>
      </c>
      <c r="L394" t="s">
        <v>74</v>
      </c>
      <c r="M394" t="s">
        <v>78</v>
      </c>
      <c r="N394" t="s">
        <v>79</v>
      </c>
      <c r="O394" t="s">
        <v>74</v>
      </c>
      <c r="P394" t="s">
        <v>74</v>
      </c>
      <c r="Q394" t="s">
        <v>74</v>
      </c>
      <c r="R394" t="s">
        <v>74</v>
      </c>
      <c r="S394" t="s">
        <v>74</v>
      </c>
      <c r="T394" t="s">
        <v>6666</v>
      </c>
      <c r="U394" t="s">
        <v>355</v>
      </c>
      <c r="V394" t="s">
        <v>6667</v>
      </c>
      <c r="W394" t="s">
        <v>6668</v>
      </c>
      <c r="X394" t="s">
        <v>6669</v>
      </c>
      <c r="Y394" t="s">
        <v>6670</v>
      </c>
      <c r="Z394" t="s">
        <v>6671</v>
      </c>
      <c r="AA394" t="s">
        <v>6672</v>
      </c>
      <c r="AB394" t="s">
        <v>74</v>
      </c>
      <c r="AC394" t="s">
        <v>74</v>
      </c>
      <c r="AD394" t="s">
        <v>74</v>
      </c>
      <c r="AE394" t="s">
        <v>74</v>
      </c>
      <c r="AF394" t="s">
        <v>74</v>
      </c>
      <c r="AG394">
        <v>34</v>
      </c>
      <c r="AH394">
        <v>10</v>
      </c>
      <c r="AI394">
        <v>10</v>
      </c>
      <c r="AJ394">
        <v>7</v>
      </c>
      <c r="AK394">
        <v>23</v>
      </c>
      <c r="AL394" t="s">
        <v>138</v>
      </c>
      <c r="AM394" t="s">
        <v>246</v>
      </c>
      <c r="AN394" t="s">
        <v>247</v>
      </c>
      <c r="AO394" t="s">
        <v>141</v>
      </c>
      <c r="AP394" t="s">
        <v>142</v>
      </c>
      <c r="AQ394" t="s">
        <v>74</v>
      </c>
      <c r="AR394" t="s">
        <v>143</v>
      </c>
      <c r="AS394" t="s">
        <v>144</v>
      </c>
      <c r="AT394" t="s">
        <v>559</v>
      </c>
      <c r="AU394">
        <v>2021</v>
      </c>
      <c r="AV394">
        <v>210</v>
      </c>
      <c r="AW394" t="s">
        <v>74</v>
      </c>
      <c r="AX394" t="s">
        <v>74</v>
      </c>
      <c r="AY394" t="s">
        <v>74</v>
      </c>
      <c r="AZ394" t="s">
        <v>74</v>
      </c>
      <c r="BA394" t="s">
        <v>74</v>
      </c>
      <c r="BB394" t="s">
        <v>74</v>
      </c>
      <c r="BC394" t="s">
        <v>74</v>
      </c>
      <c r="BD394">
        <v>107545</v>
      </c>
      <c r="BE394" t="s">
        <v>6673</v>
      </c>
      <c r="BF394" t="str">
        <f>HYPERLINK("http://dx.doi.org/10.1016/j.ress.2021.107545","http://dx.doi.org/10.1016/j.ress.2021.107545")</f>
        <v>http://dx.doi.org/10.1016/j.ress.2021.107545</v>
      </c>
      <c r="BG394" t="s">
        <v>74</v>
      </c>
      <c r="BH394" t="s">
        <v>639</v>
      </c>
      <c r="BI394">
        <v>15</v>
      </c>
      <c r="BJ394" t="s">
        <v>148</v>
      </c>
      <c r="BK394" t="s">
        <v>149</v>
      </c>
      <c r="BL394" t="s">
        <v>150</v>
      </c>
      <c r="BM394" t="s">
        <v>640</v>
      </c>
      <c r="BN394" t="s">
        <v>74</v>
      </c>
      <c r="BO394" t="s">
        <v>123</v>
      </c>
      <c r="BP394" t="s">
        <v>74</v>
      </c>
      <c r="BQ394" t="s">
        <v>74</v>
      </c>
      <c r="BR394" t="s">
        <v>104</v>
      </c>
      <c r="BS394" t="s">
        <v>6674</v>
      </c>
      <c r="BT394" t="str">
        <f>HYPERLINK("https%3A%2F%2Fwww.webofscience.com%2Fwos%2Fwoscc%2Ffull-record%2FWOS:000663909400041","View Full Record in Web of Science")</f>
        <v>View Full Record in Web of Science</v>
      </c>
    </row>
    <row r="395" spans="1:72" x14ac:dyDescent="0.25">
      <c r="A395" t="s">
        <v>72</v>
      </c>
      <c r="B395" t="s">
        <v>6675</v>
      </c>
      <c r="C395" t="s">
        <v>74</v>
      </c>
      <c r="D395" t="s">
        <v>74</v>
      </c>
      <c r="E395" t="s">
        <v>74</v>
      </c>
      <c r="F395" t="s">
        <v>6676</v>
      </c>
      <c r="G395" t="s">
        <v>74</v>
      </c>
      <c r="H395" t="s">
        <v>74</v>
      </c>
      <c r="I395" t="s">
        <v>6677</v>
      </c>
      <c r="J395" t="s">
        <v>128</v>
      </c>
      <c r="K395" t="s">
        <v>74</v>
      </c>
      <c r="L395" t="s">
        <v>74</v>
      </c>
      <c r="M395" t="s">
        <v>78</v>
      </c>
      <c r="N395" t="s">
        <v>79</v>
      </c>
      <c r="O395" t="s">
        <v>74</v>
      </c>
      <c r="P395" t="s">
        <v>74</v>
      </c>
      <c r="Q395" t="s">
        <v>74</v>
      </c>
      <c r="R395" t="s">
        <v>74</v>
      </c>
      <c r="S395" t="s">
        <v>74</v>
      </c>
      <c r="T395" t="s">
        <v>6678</v>
      </c>
      <c r="U395" t="s">
        <v>6679</v>
      </c>
      <c r="V395" t="s">
        <v>6680</v>
      </c>
      <c r="W395" t="s">
        <v>6681</v>
      </c>
      <c r="X395" t="s">
        <v>2528</v>
      </c>
      <c r="Y395" t="s">
        <v>6682</v>
      </c>
      <c r="Z395" t="s">
        <v>6683</v>
      </c>
      <c r="AA395" t="s">
        <v>6684</v>
      </c>
      <c r="AB395" t="s">
        <v>6685</v>
      </c>
      <c r="AC395" t="s">
        <v>2533</v>
      </c>
      <c r="AD395" t="s">
        <v>482</v>
      </c>
      <c r="AE395" t="s">
        <v>6686</v>
      </c>
      <c r="AF395" t="s">
        <v>74</v>
      </c>
      <c r="AG395">
        <v>45</v>
      </c>
      <c r="AH395">
        <v>14</v>
      </c>
      <c r="AI395">
        <v>14</v>
      </c>
      <c r="AJ395">
        <v>10</v>
      </c>
      <c r="AK395">
        <v>26</v>
      </c>
      <c r="AL395" t="s">
        <v>138</v>
      </c>
      <c r="AM395" t="s">
        <v>139</v>
      </c>
      <c r="AN395" t="s">
        <v>140</v>
      </c>
      <c r="AO395" t="s">
        <v>141</v>
      </c>
      <c r="AP395" t="s">
        <v>142</v>
      </c>
      <c r="AQ395" t="s">
        <v>74</v>
      </c>
      <c r="AR395" t="s">
        <v>143</v>
      </c>
      <c r="AS395" t="s">
        <v>144</v>
      </c>
      <c r="AT395" t="s">
        <v>275</v>
      </c>
      <c r="AU395">
        <v>2024</v>
      </c>
      <c r="AV395">
        <v>243</v>
      </c>
      <c r="AW395" t="s">
        <v>74</v>
      </c>
      <c r="AX395" t="s">
        <v>74</v>
      </c>
      <c r="AY395" t="s">
        <v>74</v>
      </c>
      <c r="AZ395" t="s">
        <v>74</v>
      </c>
      <c r="BA395" t="s">
        <v>74</v>
      </c>
      <c r="BB395" t="s">
        <v>74</v>
      </c>
      <c r="BC395" t="s">
        <v>74</v>
      </c>
      <c r="BD395">
        <v>109845</v>
      </c>
      <c r="BE395" t="s">
        <v>6687</v>
      </c>
      <c r="BF395" t="str">
        <f>HYPERLINK("http://dx.doi.org/10.1016/j.ress.2023.109845","http://dx.doi.org/10.1016/j.ress.2023.109845")</f>
        <v>http://dx.doi.org/10.1016/j.ress.2023.109845</v>
      </c>
      <c r="BG395" t="s">
        <v>74</v>
      </c>
      <c r="BH395" t="s">
        <v>1111</v>
      </c>
      <c r="BI395">
        <v>12</v>
      </c>
      <c r="BJ395" t="s">
        <v>148</v>
      </c>
      <c r="BK395" t="s">
        <v>149</v>
      </c>
      <c r="BL395" t="s">
        <v>150</v>
      </c>
      <c r="BM395" t="s">
        <v>6688</v>
      </c>
      <c r="BN395" t="s">
        <v>74</v>
      </c>
      <c r="BO395" t="s">
        <v>74</v>
      </c>
      <c r="BP395" t="s">
        <v>74</v>
      </c>
      <c r="BQ395" t="s">
        <v>74</v>
      </c>
      <c r="BR395" t="s">
        <v>104</v>
      </c>
      <c r="BS395" t="s">
        <v>6689</v>
      </c>
      <c r="BT395" t="str">
        <f>HYPERLINK("https%3A%2F%2Fwww.webofscience.com%2Fwos%2Fwoscc%2Ffull-record%2FWOS:001127770600001","View Full Record in Web of Science")</f>
        <v>View Full Record in Web of Science</v>
      </c>
    </row>
    <row r="396" spans="1:72" x14ac:dyDescent="0.25">
      <c r="A396" t="s">
        <v>72</v>
      </c>
      <c r="B396" t="s">
        <v>6690</v>
      </c>
      <c r="C396" t="s">
        <v>74</v>
      </c>
      <c r="D396" t="s">
        <v>74</v>
      </c>
      <c r="E396" t="s">
        <v>74</v>
      </c>
      <c r="F396" t="s">
        <v>6691</v>
      </c>
      <c r="G396" t="s">
        <v>74</v>
      </c>
      <c r="H396" t="s">
        <v>74</v>
      </c>
      <c r="I396" t="s">
        <v>6692</v>
      </c>
      <c r="J396" t="s">
        <v>697</v>
      </c>
      <c r="K396" t="s">
        <v>74</v>
      </c>
      <c r="L396" t="s">
        <v>74</v>
      </c>
      <c r="M396" t="s">
        <v>78</v>
      </c>
      <c r="N396" t="s">
        <v>79</v>
      </c>
      <c r="O396" t="s">
        <v>74</v>
      </c>
      <c r="P396" t="s">
        <v>74</v>
      </c>
      <c r="Q396" t="s">
        <v>74</v>
      </c>
      <c r="R396" t="s">
        <v>74</v>
      </c>
      <c r="S396" t="s">
        <v>74</v>
      </c>
      <c r="T396" t="s">
        <v>6693</v>
      </c>
      <c r="U396" t="s">
        <v>6694</v>
      </c>
      <c r="V396" t="s">
        <v>6695</v>
      </c>
      <c r="W396" t="s">
        <v>6696</v>
      </c>
      <c r="X396" t="s">
        <v>6697</v>
      </c>
      <c r="Y396" t="s">
        <v>6698</v>
      </c>
      <c r="Z396" t="s">
        <v>6699</v>
      </c>
      <c r="AA396" t="s">
        <v>6700</v>
      </c>
      <c r="AB396" t="s">
        <v>74</v>
      </c>
      <c r="AC396" t="s">
        <v>6701</v>
      </c>
      <c r="AD396" t="s">
        <v>1789</v>
      </c>
      <c r="AE396" t="s">
        <v>6702</v>
      </c>
      <c r="AF396" t="s">
        <v>74</v>
      </c>
      <c r="AG396">
        <v>61</v>
      </c>
      <c r="AH396">
        <v>37</v>
      </c>
      <c r="AI396">
        <v>37</v>
      </c>
      <c r="AJ396">
        <v>2</v>
      </c>
      <c r="AK396">
        <v>31</v>
      </c>
      <c r="AL396" t="s">
        <v>707</v>
      </c>
      <c r="AM396" t="s">
        <v>246</v>
      </c>
      <c r="AN396" t="s">
        <v>708</v>
      </c>
      <c r="AO396" t="s">
        <v>709</v>
      </c>
      <c r="AP396" t="s">
        <v>710</v>
      </c>
      <c r="AQ396" t="s">
        <v>74</v>
      </c>
      <c r="AR396" t="s">
        <v>711</v>
      </c>
      <c r="AS396" t="s">
        <v>712</v>
      </c>
      <c r="AT396" t="s">
        <v>1076</v>
      </c>
      <c r="AU396">
        <v>2019</v>
      </c>
      <c r="AV396">
        <v>136</v>
      </c>
      <c r="AW396" t="s">
        <v>74</v>
      </c>
      <c r="AX396" t="s">
        <v>74</v>
      </c>
      <c r="AY396" t="s">
        <v>74</v>
      </c>
      <c r="AZ396" t="s">
        <v>74</v>
      </c>
      <c r="BA396" t="s">
        <v>74</v>
      </c>
      <c r="BB396">
        <v>305</v>
      </c>
      <c r="BC396">
        <v>315</v>
      </c>
      <c r="BD396" t="s">
        <v>74</v>
      </c>
      <c r="BE396" t="s">
        <v>6703</v>
      </c>
      <c r="BF396" t="str">
        <f>HYPERLINK("http://dx.doi.org/10.1016/j.cie.2019.07.030","http://dx.doi.org/10.1016/j.cie.2019.07.030")</f>
        <v>http://dx.doi.org/10.1016/j.cie.2019.07.030</v>
      </c>
      <c r="BG396" t="s">
        <v>74</v>
      </c>
      <c r="BH396" t="s">
        <v>74</v>
      </c>
      <c r="BI396">
        <v>11</v>
      </c>
      <c r="BJ396" t="s">
        <v>715</v>
      </c>
      <c r="BK396" t="s">
        <v>149</v>
      </c>
      <c r="BL396" t="s">
        <v>716</v>
      </c>
      <c r="BM396" t="s">
        <v>1756</v>
      </c>
      <c r="BN396" t="s">
        <v>74</v>
      </c>
      <c r="BO396" t="s">
        <v>74</v>
      </c>
      <c r="BP396" t="s">
        <v>74</v>
      </c>
      <c r="BQ396" t="s">
        <v>74</v>
      </c>
      <c r="BR396" t="s">
        <v>104</v>
      </c>
      <c r="BS396" t="s">
        <v>6704</v>
      </c>
      <c r="BT396" t="str">
        <f>HYPERLINK("https%3A%2F%2Fwww.webofscience.com%2Fwos%2Fwoscc%2Ffull-record%2FWOS:000494891000025","View Full Record in Web of Science")</f>
        <v>View Full Record in Web of Science</v>
      </c>
    </row>
    <row r="397" spans="1:72" x14ac:dyDescent="0.25">
      <c r="A397" t="s">
        <v>72</v>
      </c>
      <c r="B397" t="s">
        <v>6705</v>
      </c>
      <c r="C397" t="s">
        <v>74</v>
      </c>
      <c r="D397" t="s">
        <v>74</v>
      </c>
      <c r="E397" t="s">
        <v>74</v>
      </c>
      <c r="F397" t="s">
        <v>6706</v>
      </c>
      <c r="G397" t="s">
        <v>74</v>
      </c>
      <c r="H397" t="s">
        <v>74</v>
      </c>
      <c r="I397" t="s">
        <v>6707</v>
      </c>
      <c r="J397" t="s">
        <v>128</v>
      </c>
      <c r="K397" t="s">
        <v>74</v>
      </c>
      <c r="L397" t="s">
        <v>74</v>
      </c>
      <c r="M397" t="s">
        <v>78</v>
      </c>
      <c r="N397" t="s">
        <v>79</v>
      </c>
      <c r="O397" t="s">
        <v>74</v>
      </c>
      <c r="P397" t="s">
        <v>74</v>
      </c>
      <c r="Q397" t="s">
        <v>74</v>
      </c>
      <c r="R397" t="s">
        <v>74</v>
      </c>
      <c r="S397" t="s">
        <v>74</v>
      </c>
      <c r="T397" t="s">
        <v>6708</v>
      </c>
      <c r="U397" t="s">
        <v>6709</v>
      </c>
      <c r="V397" t="s">
        <v>6710</v>
      </c>
      <c r="W397" t="s">
        <v>6711</v>
      </c>
      <c r="X397" t="s">
        <v>6712</v>
      </c>
      <c r="Y397" t="s">
        <v>6713</v>
      </c>
      <c r="Z397" t="s">
        <v>6714</v>
      </c>
      <c r="AA397" t="s">
        <v>6715</v>
      </c>
      <c r="AB397" t="s">
        <v>74</v>
      </c>
      <c r="AC397" t="s">
        <v>6716</v>
      </c>
      <c r="AD397" t="s">
        <v>6717</v>
      </c>
      <c r="AE397" t="s">
        <v>6718</v>
      </c>
      <c r="AF397" t="s">
        <v>74</v>
      </c>
      <c r="AG397">
        <v>34</v>
      </c>
      <c r="AH397">
        <v>22</v>
      </c>
      <c r="AI397">
        <v>23</v>
      </c>
      <c r="AJ397">
        <v>5</v>
      </c>
      <c r="AK397">
        <v>23</v>
      </c>
      <c r="AL397" t="s">
        <v>138</v>
      </c>
      <c r="AM397" t="s">
        <v>246</v>
      </c>
      <c r="AN397" t="s">
        <v>247</v>
      </c>
      <c r="AO397" t="s">
        <v>141</v>
      </c>
      <c r="AP397" t="s">
        <v>142</v>
      </c>
      <c r="AQ397" t="s">
        <v>74</v>
      </c>
      <c r="AR397" t="s">
        <v>143</v>
      </c>
      <c r="AS397" t="s">
        <v>144</v>
      </c>
      <c r="AT397" t="s">
        <v>145</v>
      </c>
      <c r="AU397">
        <v>2021</v>
      </c>
      <c r="AV397">
        <v>216</v>
      </c>
      <c r="AW397" t="s">
        <v>74</v>
      </c>
      <c r="AX397" t="s">
        <v>74</v>
      </c>
      <c r="AY397" t="s">
        <v>74</v>
      </c>
      <c r="AZ397" t="s">
        <v>74</v>
      </c>
      <c r="BA397" t="s">
        <v>74</v>
      </c>
      <c r="BB397" t="s">
        <v>74</v>
      </c>
      <c r="BC397" t="s">
        <v>74</v>
      </c>
      <c r="BD397">
        <v>107912</v>
      </c>
      <c r="BE397" t="s">
        <v>6719</v>
      </c>
      <c r="BF397" t="str">
        <f>HYPERLINK("http://dx.doi.org/10.1016/j.ress.2021.107912","http://dx.doi.org/10.1016/j.ress.2021.107912")</f>
        <v>http://dx.doi.org/10.1016/j.ress.2021.107912</v>
      </c>
      <c r="BG397" t="s">
        <v>74</v>
      </c>
      <c r="BH397" t="s">
        <v>1059</v>
      </c>
      <c r="BI397">
        <v>14</v>
      </c>
      <c r="BJ397" t="s">
        <v>148</v>
      </c>
      <c r="BK397" t="s">
        <v>149</v>
      </c>
      <c r="BL397" t="s">
        <v>150</v>
      </c>
      <c r="BM397" t="s">
        <v>2090</v>
      </c>
      <c r="BN397" t="s">
        <v>74</v>
      </c>
      <c r="BO397" t="s">
        <v>74</v>
      </c>
      <c r="BP397" t="s">
        <v>74</v>
      </c>
      <c r="BQ397" t="s">
        <v>74</v>
      </c>
      <c r="BR397" t="s">
        <v>104</v>
      </c>
      <c r="BS397" t="s">
        <v>6720</v>
      </c>
      <c r="BT397" t="str">
        <f>HYPERLINK("https%3A%2F%2Fwww.webofscience.com%2Fwos%2Fwoscc%2Ffull-record%2FWOS:000702351700008","View Full Record in Web of Science")</f>
        <v>View Full Record in Web of Science</v>
      </c>
    </row>
    <row r="398" spans="1:72" x14ac:dyDescent="0.25">
      <c r="A398" t="s">
        <v>72</v>
      </c>
      <c r="B398" t="s">
        <v>6721</v>
      </c>
      <c r="C398" t="s">
        <v>74</v>
      </c>
      <c r="D398" t="s">
        <v>74</v>
      </c>
      <c r="E398" t="s">
        <v>74</v>
      </c>
      <c r="F398" t="s">
        <v>6722</v>
      </c>
      <c r="G398" t="s">
        <v>74</v>
      </c>
      <c r="H398" t="s">
        <v>74</v>
      </c>
      <c r="I398" t="s">
        <v>6723</v>
      </c>
      <c r="J398" t="s">
        <v>77</v>
      </c>
      <c r="K398" t="s">
        <v>74</v>
      </c>
      <c r="L398" t="s">
        <v>74</v>
      </c>
      <c r="M398" t="s">
        <v>78</v>
      </c>
      <c r="N398" t="s">
        <v>79</v>
      </c>
      <c r="O398" t="s">
        <v>74</v>
      </c>
      <c r="P398" t="s">
        <v>74</v>
      </c>
      <c r="Q398" t="s">
        <v>74</v>
      </c>
      <c r="R398" t="s">
        <v>74</v>
      </c>
      <c r="S398" t="s">
        <v>74</v>
      </c>
      <c r="T398" t="s">
        <v>6724</v>
      </c>
      <c r="U398" t="s">
        <v>6725</v>
      </c>
      <c r="V398" t="s">
        <v>6726</v>
      </c>
      <c r="W398" t="s">
        <v>6727</v>
      </c>
      <c r="X398" t="s">
        <v>6728</v>
      </c>
      <c r="Y398" t="s">
        <v>6729</v>
      </c>
      <c r="Z398" t="s">
        <v>6730</v>
      </c>
      <c r="AA398" t="s">
        <v>6731</v>
      </c>
      <c r="AB398" t="s">
        <v>6732</v>
      </c>
      <c r="AC398" t="s">
        <v>74</v>
      </c>
      <c r="AD398" t="s">
        <v>74</v>
      </c>
      <c r="AE398" t="s">
        <v>74</v>
      </c>
      <c r="AF398" t="s">
        <v>74</v>
      </c>
      <c r="AG398">
        <v>60</v>
      </c>
      <c r="AH398">
        <v>2</v>
      </c>
      <c r="AI398">
        <v>3</v>
      </c>
      <c r="AJ398">
        <v>1</v>
      </c>
      <c r="AK398">
        <v>4</v>
      </c>
      <c r="AL398" t="s">
        <v>90</v>
      </c>
      <c r="AM398" t="s">
        <v>118</v>
      </c>
      <c r="AN398" t="s">
        <v>119</v>
      </c>
      <c r="AO398" t="s">
        <v>93</v>
      </c>
      <c r="AP398" t="s">
        <v>94</v>
      </c>
      <c r="AQ398" t="s">
        <v>74</v>
      </c>
      <c r="AR398" t="s">
        <v>95</v>
      </c>
      <c r="AS398" t="s">
        <v>96</v>
      </c>
      <c r="AT398" t="s">
        <v>754</v>
      </c>
      <c r="AU398">
        <v>2022</v>
      </c>
      <c r="AV398">
        <v>28</v>
      </c>
      <c r="AW398">
        <v>2</v>
      </c>
      <c r="AX398" t="s">
        <v>74</v>
      </c>
      <c r="AY398" t="s">
        <v>74</v>
      </c>
      <c r="AZ398" t="s">
        <v>74</v>
      </c>
      <c r="BA398" t="s">
        <v>74</v>
      </c>
      <c r="BB398">
        <v>430</v>
      </c>
      <c r="BC398">
        <v>447</v>
      </c>
      <c r="BD398" t="s">
        <v>74</v>
      </c>
      <c r="BE398" t="s">
        <v>6733</v>
      </c>
      <c r="BF398" t="str">
        <f>HYPERLINK("http://dx.doi.org/10.1108/JQME-08-2020-0086","http://dx.doi.org/10.1108/JQME-08-2020-0086")</f>
        <v>http://dx.doi.org/10.1108/JQME-08-2020-0086</v>
      </c>
      <c r="BG398" t="s">
        <v>74</v>
      </c>
      <c r="BH398" t="s">
        <v>639</v>
      </c>
      <c r="BI398">
        <v>18</v>
      </c>
      <c r="BJ398" t="s">
        <v>100</v>
      </c>
      <c r="BK398" t="s">
        <v>101</v>
      </c>
      <c r="BL398" t="s">
        <v>102</v>
      </c>
      <c r="BM398" t="s">
        <v>757</v>
      </c>
      <c r="BN398" t="s">
        <v>74</v>
      </c>
      <c r="BO398" t="s">
        <v>74</v>
      </c>
      <c r="BP398" t="s">
        <v>74</v>
      </c>
      <c r="BQ398" t="s">
        <v>74</v>
      </c>
      <c r="BR398" t="s">
        <v>104</v>
      </c>
      <c r="BS398" t="s">
        <v>6734</v>
      </c>
      <c r="BT398" t="str">
        <f>HYPERLINK("https%3A%2F%2Fwww.webofscience.com%2Fwos%2Fwoscc%2Ffull-record%2FWOS:000619337300001","View Full Record in Web of Science")</f>
        <v>View Full Record in Web of Science</v>
      </c>
    </row>
    <row r="399" spans="1:72" x14ac:dyDescent="0.25">
      <c r="A399" t="s">
        <v>72</v>
      </c>
      <c r="B399" t="s">
        <v>6735</v>
      </c>
      <c r="C399" t="s">
        <v>74</v>
      </c>
      <c r="D399" t="s">
        <v>74</v>
      </c>
      <c r="E399" t="s">
        <v>74</v>
      </c>
      <c r="F399" t="s">
        <v>6736</v>
      </c>
      <c r="G399" t="s">
        <v>74</v>
      </c>
      <c r="H399" t="s">
        <v>74</v>
      </c>
      <c r="I399" t="s">
        <v>6737</v>
      </c>
      <c r="J399" t="s">
        <v>472</v>
      </c>
      <c r="K399" t="s">
        <v>74</v>
      </c>
      <c r="L399" t="s">
        <v>74</v>
      </c>
      <c r="M399" t="s">
        <v>78</v>
      </c>
      <c r="N399" t="s">
        <v>79</v>
      </c>
      <c r="O399" t="s">
        <v>74</v>
      </c>
      <c r="P399" t="s">
        <v>74</v>
      </c>
      <c r="Q399" t="s">
        <v>74</v>
      </c>
      <c r="R399" t="s">
        <v>74</v>
      </c>
      <c r="S399" t="s">
        <v>74</v>
      </c>
      <c r="T399" t="s">
        <v>6738</v>
      </c>
      <c r="U399" t="s">
        <v>6739</v>
      </c>
      <c r="V399" t="s">
        <v>6740</v>
      </c>
      <c r="W399" t="s">
        <v>6741</v>
      </c>
      <c r="X399" t="s">
        <v>6742</v>
      </c>
      <c r="Y399" t="s">
        <v>6743</v>
      </c>
      <c r="Z399" t="s">
        <v>6744</v>
      </c>
      <c r="AA399" t="s">
        <v>6745</v>
      </c>
      <c r="AB399" t="s">
        <v>6746</v>
      </c>
      <c r="AC399" t="s">
        <v>74</v>
      </c>
      <c r="AD399" t="s">
        <v>74</v>
      </c>
      <c r="AE399" t="s">
        <v>74</v>
      </c>
      <c r="AF399" t="s">
        <v>74</v>
      </c>
      <c r="AG399">
        <v>46</v>
      </c>
      <c r="AH399">
        <v>4</v>
      </c>
      <c r="AI399">
        <v>4</v>
      </c>
      <c r="AJ399">
        <v>1</v>
      </c>
      <c r="AK399">
        <v>9</v>
      </c>
      <c r="AL399" t="s">
        <v>484</v>
      </c>
      <c r="AM399" t="s">
        <v>485</v>
      </c>
      <c r="AN399" t="s">
        <v>486</v>
      </c>
      <c r="AO399" t="s">
        <v>487</v>
      </c>
      <c r="AP399" t="s">
        <v>488</v>
      </c>
      <c r="AQ399" t="s">
        <v>74</v>
      </c>
      <c r="AR399" t="s">
        <v>489</v>
      </c>
      <c r="AS399" t="s">
        <v>490</v>
      </c>
      <c r="AT399" t="s">
        <v>491</v>
      </c>
      <c r="AU399">
        <v>2023</v>
      </c>
      <c r="AV399">
        <v>39</v>
      </c>
      <c r="AW399">
        <v>7</v>
      </c>
      <c r="AX399" t="s">
        <v>74</v>
      </c>
      <c r="AY399" t="s">
        <v>74</v>
      </c>
      <c r="AZ399" t="s">
        <v>74</v>
      </c>
      <c r="BA399" t="s">
        <v>74</v>
      </c>
      <c r="BB399">
        <v>2784</v>
      </c>
      <c r="BC399">
        <v>2806</v>
      </c>
      <c r="BD399" t="s">
        <v>74</v>
      </c>
      <c r="BE399" t="s">
        <v>6747</v>
      </c>
      <c r="BF399" t="str">
        <f>HYPERLINK("http://dx.doi.org/10.1002/qre.3385","http://dx.doi.org/10.1002/qre.3385")</f>
        <v>http://dx.doi.org/10.1002/qre.3385</v>
      </c>
      <c r="BG399" t="s">
        <v>74</v>
      </c>
      <c r="BH399" t="s">
        <v>2390</v>
      </c>
      <c r="BI399">
        <v>23</v>
      </c>
      <c r="BJ399" t="s">
        <v>494</v>
      </c>
      <c r="BK399" t="s">
        <v>149</v>
      </c>
      <c r="BL399" t="s">
        <v>150</v>
      </c>
      <c r="BM399" t="s">
        <v>6748</v>
      </c>
      <c r="BN399" t="s">
        <v>74</v>
      </c>
      <c r="BO399" t="s">
        <v>74</v>
      </c>
      <c r="BP399" t="s">
        <v>74</v>
      </c>
      <c r="BQ399" t="s">
        <v>74</v>
      </c>
      <c r="BR399" t="s">
        <v>104</v>
      </c>
      <c r="BS399" t="s">
        <v>6749</v>
      </c>
      <c r="BT399" t="str">
        <f>HYPERLINK("https%3A%2F%2Fwww.webofscience.com%2Fwos%2Fwoscc%2Ffull-record%2FWOS:000992811200001","View Full Record in Web of Science")</f>
        <v>View Full Record in Web of Science</v>
      </c>
    </row>
    <row r="400" spans="1:72" x14ac:dyDescent="0.25">
      <c r="A400" t="s">
        <v>72</v>
      </c>
      <c r="B400" t="s">
        <v>6750</v>
      </c>
      <c r="C400" t="s">
        <v>74</v>
      </c>
      <c r="D400" t="s">
        <v>74</v>
      </c>
      <c r="E400" t="s">
        <v>74</v>
      </c>
      <c r="F400" t="s">
        <v>6751</v>
      </c>
      <c r="G400" t="s">
        <v>74</v>
      </c>
      <c r="H400" t="s">
        <v>74</v>
      </c>
      <c r="I400" t="s">
        <v>6752</v>
      </c>
      <c r="J400" t="s">
        <v>697</v>
      </c>
      <c r="K400" t="s">
        <v>74</v>
      </c>
      <c r="L400" t="s">
        <v>74</v>
      </c>
      <c r="M400" t="s">
        <v>78</v>
      </c>
      <c r="N400" t="s">
        <v>79</v>
      </c>
      <c r="O400" t="s">
        <v>74</v>
      </c>
      <c r="P400" t="s">
        <v>74</v>
      </c>
      <c r="Q400" t="s">
        <v>74</v>
      </c>
      <c r="R400" t="s">
        <v>74</v>
      </c>
      <c r="S400" t="s">
        <v>74</v>
      </c>
      <c r="T400" t="s">
        <v>6753</v>
      </c>
      <c r="U400" t="s">
        <v>6754</v>
      </c>
      <c r="V400" t="s">
        <v>6755</v>
      </c>
      <c r="W400" t="s">
        <v>6756</v>
      </c>
      <c r="X400" t="s">
        <v>6757</v>
      </c>
      <c r="Y400" t="s">
        <v>6758</v>
      </c>
      <c r="Z400" t="s">
        <v>2566</v>
      </c>
      <c r="AA400" t="s">
        <v>6759</v>
      </c>
      <c r="AB400" t="s">
        <v>6760</v>
      </c>
      <c r="AC400" t="s">
        <v>6761</v>
      </c>
      <c r="AD400" t="s">
        <v>6762</v>
      </c>
      <c r="AE400" t="s">
        <v>6763</v>
      </c>
      <c r="AF400" t="s">
        <v>74</v>
      </c>
      <c r="AG400">
        <v>52</v>
      </c>
      <c r="AH400">
        <v>28</v>
      </c>
      <c r="AI400">
        <v>29</v>
      </c>
      <c r="AJ400">
        <v>4</v>
      </c>
      <c r="AK400">
        <v>70</v>
      </c>
      <c r="AL400" t="s">
        <v>707</v>
      </c>
      <c r="AM400" t="s">
        <v>246</v>
      </c>
      <c r="AN400" t="s">
        <v>708</v>
      </c>
      <c r="AO400" t="s">
        <v>709</v>
      </c>
      <c r="AP400" t="s">
        <v>710</v>
      </c>
      <c r="AQ400" t="s">
        <v>74</v>
      </c>
      <c r="AR400" t="s">
        <v>711</v>
      </c>
      <c r="AS400" t="s">
        <v>712</v>
      </c>
      <c r="AT400" t="s">
        <v>248</v>
      </c>
      <c r="AU400">
        <v>2019</v>
      </c>
      <c r="AV400">
        <v>133</v>
      </c>
      <c r="AW400" t="s">
        <v>74</v>
      </c>
      <c r="AX400" t="s">
        <v>74</v>
      </c>
      <c r="AY400" t="s">
        <v>74</v>
      </c>
      <c r="AZ400" t="s">
        <v>74</v>
      </c>
      <c r="BA400" t="s">
        <v>74</v>
      </c>
      <c r="BB400">
        <v>57</v>
      </c>
      <c r="BC400">
        <v>68</v>
      </c>
      <c r="BD400" t="s">
        <v>74</v>
      </c>
      <c r="BE400" t="s">
        <v>6764</v>
      </c>
      <c r="BF400" t="str">
        <f>HYPERLINK("http://dx.doi.org/10.1016/j.cie.2019.04.051","http://dx.doi.org/10.1016/j.cie.2019.04.051")</f>
        <v>http://dx.doi.org/10.1016/j.cie.2019.04.051</v>
      </c>
      <c r="BG400" t="s">
        <v>74</v>
      </c>
      <c r="BH400" t="s">
        <v>74</v>
      </c>
      <c r="BI400">
        <v>12</v>
      </c>
      <c r="BJ400" t="s">
        <v>715</v>
      </c>
      <c r="BK400" t="s">
        <v>149</v>
      </c>
      <c r="BL400" t="s">
        <v>716</v>
      </c>
      <c r="BM400" t="s">
        <v>6765</v>
      </c>
      <c r="BN400" t="s">
        <v>74</v>
      </c>
      <c r="BO400" t="s">
        <v>74</v>
      </c>
      <c r="BP400" t="s">
        <v>74</v>
      </c>
      <c r="BQ400" t="s">
        <v>74</v>
      </c>
      <c r="BR400" t="s">
        <v>104</v>
      </c>
      <c r="BS400" t="s">
        <v>6766</v>
      </c>
      <c r="BT400" t="str">
        <f>HYPERLINK("https%3A%2F%2Fwww.webofscience.com%2Fwos%2Fwoscc%2Ffull-record%2FWOS:000472691300006","View Full Record in Web of Science")</f>
        <v>View Full Record in Web of Science</v>
      </c>
    </row>
    <row r="401" spans="1:72" x14ac:dyDescent="0.25">
      <c r="A401" t="s">
        <v>72</v>
      </c>
      <c r="B401" t="s">
        <v>6767</v>
      </c>
      <c r="C401" t="s">
        <v>74</v>
      </c>
      <c r="D401" t="s">
        <v>74</v>
      </c>
      <c r="E401" t="s">
        <v>74</v>
      </c>
      <c r="F401" t="s">
        <v>6768</v>
      </c>
      <c r="G401" t="s">
        <v>74</v>
      </c>
      <c r="H401" t="s">
        <v>74</v>
      </c>
      <c r="I401" t="s">
        <v>6769</v>
      </c>
      <c r="J401" t="s">
        <v>1894</v>
      </c>
      <c r="K401" t="s">
        <v>74</v>
      </c>
      <c r="L401" t="s">
        <v>74</v>
      </c>
      <c r="M401" t="s">
        <v>78</v>
      </c>
      <c r="N401" t="s">
        <v>79</v>
      </c>
      <c r="O401" t="s">
        <v>74</v>
      </c>
      <c r="P401" t="s">
        <v>74</v>
      </c>
      <c r="Q401" t="s">
        <v>74</v>
      </c>
      <c r="R401" t="s">
        <v>74</v>
      </c>
      <c r="S401" t="s">
        <v>74</v>
      </c>
      <c r="T401" t="s">
        <v>6770</v>
      </c>
      <c r="U401" t="s">
        <v>6771</v>
      </c>
      <c r="V401" t="s">
        <v>6772</v>
      </c>
      <c r="W401" t="s">
        <v>6773</v>
      </c>
      <c r="X401" t="s">
        <v>6774</v>
      </c>
      <c r="Y401" t="s">
        <v>6775</v>
      </c>
      <c r="Z401" t="s">
        <v>6776</v>
      </c>
      <c r="AA401" t="s">
        <v>6777</v>
      </c>
      <c r="AB401" t="s">
        <v>6778</v>
      </c>
      <c r="AC401" t="s">
        <v>6779</v>
      </c>
      <c r="AD401" t="s">
        <v>6780</v>
      </c>
      <c r="AE401" t="s">
        <v>6781</v>
      </c>
      <c r="AF401" t="s">
        <v>74</v>
      </c>
      <c r="AG401">
        <v>51</v>
      </c>
      <c r="AH401">
        <v>67</v>
      </c>
      <c r="AI401">
        <v>69</v>
      </c>
      <c r="AJ401">
        <v>2</v>
      </c>
      <c r="AK401">
        <v>48</v>
      </c>
      <c r="AL401" t="s">
        <v>138</v>
      </c>
      <c r="AM401" t="s">
        <v>246</v>
      </c>
      <c r="AN401" t="s">
        <v>247</v>
      </c>
      <c r="AO401" t="s">
        <v>1903</v>
      </c>
      <c r="AP401" t="s">
        <v>1904</v>
      </c>
      <c r="AQ401" t="s">
        <v>74</v>
      </c>
      <c r="AR401" t="s">
        <v>1905</v>
      </c>
      <c r="AS401" t="s">
        <v>1906</v>
      </c>
      <c r="AT401" t="s">
        <v>248</v>
      </c>
      <c r="AU401">
        <v>2020</v>
      </c>
      <c r="AV401">
        <v>56</v>
      </c>
      <c r="AW401" t="s">
        <v>74</v>
      </c>
      <c r="AX401" t="s">
        <v>74</v>
      </c>
      <c r="AY401" t="s">
        <v>74</v>
      </c>
      <c r="AZ401" t="s">
        <v>74</v>
      </c>
      <c r="BA401" t="s">
        <v>74</v>
      </c>
      <c r="BB401">
        <v>470</v>
      </c>
      <c r="BC401">
        <v>483</v>
      </c>
      <c r="BD401" t="s">
        <v>74</v>
      </c>
      <c r="BE401" t="s">
        <v>6782</v>
      </c>
      <c r="BF401" t="str">
        <f>HYPERLINK("http://dx.doi.org/10.1016/j.jmsy.2020.07.004","http://dx.doi.org/10.1016/j.jmsy.2020.07.004")</f>
        <v>http://dx.doi.org/10.1016/j.jmsy.2020.07.004</v>
      </c>
      <c r="BG401" t="s">
        <v>74</v>
      </c>
      <c r="BH401" t="s">
        <v>74</v>
      </c>
      <c r="BI401">
        <v>14</v>
      </c>
      <c r="BJ401" t="s">
        <v>321</v>
      </c>
      <c r="BK401" t="s">
        <v>149</v>
      </c>
      <c r="BL401" t="s">
        <v>150</v>
      </c>
      <c r="BM401" t="s">
        <v>6783</v>
      </c>
      <c r="BN401" t="s">
        <v>74</v>
      </c>
      <c r="BO401" t="s">
        <v>74</v>
      </c>
      <c r="BP401" t="s">
        <v>74</v>
      </c>
      <c r="BQ401" t="s">
        <v>74</v>
      </c>
      <c r="BR401" t="s">
        <v>104</v>
      </c>
      <c r="BS401" t="s">
        <v>6784</v>
      </c>
      <c r="BT401" t="str">
        <f>HYPERLINK("https%3A%2F%2Fwww.webofscience.com%2Fwos%2Fwoscc%2Ffull-record%2FWOS:000571221600002","View Full Record in Web of Science")</f>
        <v>View Full Record in Web of Science</v>
      </c>
    </row>
    <row r="402" spans="1:72" x14ac:dyDescent="0.25">
      <c r="A402" t="s">
        <v>72</v>
      </c>
      <c r="B402" t="s">
        <v>6785</v>
      </c>
      <c r="C402" t="s">
        <v>74</v>
      </c>
      <c r="D402" t="s">
        <v>74</v>
      </c>
      <c r="E402" t="s">
        <v>74</v>
      </c>
      <c r="F402" t="s">
        <v>6786</v>
      </c>
      <c r="G402" t="s">
        <v>74</v>
      </c>
      <c r="H402" t="s">
        <v>74</v>
      </c>
      <c r="I402" t="s">
        <v>6787</v>
      </c>
      <c r="J402" t="s">
        <v>6788</v>
      </c>
      <c r="K402" t="s">
        <v>74</v>
      </c>
      <c r="L402" t="s">
        <v>74</v>
      </c>
      <c r="M402" t="s">
        <v>78</v>
      </c>
      <c r="N402" t="s">
        <v>79</v>
      </c>
      <c r="O402" t="s">
        <v>74</v>
      </c>
      <c r="P402" t="s">
        <v>74</v>
      </c>
      <c r="Q402" t="s">
        <v>74</v>
      </c>
      <c r="R402" t="s">
        <v>74</v>
      </c>
      <c r="S402" t="s">
        <v>74</v>
      </c>
      <c r="T402" t="s">
        <v>6789</v>
      </c>
      <c r="U402" t="s">
        <v>6790</v>
      </c>
      <c r="V402" t="s">
        <v>6791</v>
      </c>
      <c r="W402" t="s">
        <v>6792</v>
      </c>
      <c r="X402" t="s">
        <v>6793</v>
      </c>
      <c r="Y402" t="s">
        <v>6794</v>
      </c>
      <c r="Z402" t="s">
        <v>6795</v>
      </c>
      <c r="AA402" t="s">
        <v>6796</v>
      </c>
      <c r="AB402" t="s">
        <v>6797</v>
      </c>
      <c r="AC402" t="s">
        <v>74</v>
      </c>
      <c r="AD402" t="s">
        <v>74</v>
      </c>
      <c r="AE402" t="s">
        <v>74</v>
      </c>
      <c r="AF402" t="s">
        <v>74</v>
      </c>
      <c r="AG402">
        <v>32</v>
      </c>
      <c r="AH402">
        <v>3</v>
      </c>
      <c r="AI402">
        <v>3</v>
      </c>
      <c r="AJ402">
        <v>1</v>
      </c>
      <c r="AK402">
        <v>3</v>
      </c>
      <c r="AL402" t="s">
        <v>6798</v>
      </c>
      <c r="AM402" t="s">
        <v>6799</v>
      </c>
      <c r="AN402" t="s">
        <v>6800</v>
      </c>
      <c r="AO402" t="s">
        <v>6801</v>
      </c>
      <c r="AP402" t="s">
        <v>6802</v>
      </c>
      <c r="AQ402" t="s">
        <v>74</v>
      </c>
      <c r="AR402" t="s">
        <v>6803</v>
      </c>
      <c r="AS402" t="s">
        <v>6804</v>
      </c>
      <c r="AT402" t="s">
        <v>6805</v>
      </c>
      <c r="AU402">
        <v>2023</v>
      </c>
      <c r="AV402">
        <v>29</v>
      </c>
      <c r="AW402">
        <v>3</v>
      </c>
      <c r="AX402" t="s">
        <v>74</v>
      </c>
      <c r="AY402" t="s">
        <v>74</v>
      </c>
      <c r="AZ402" t="s">
        <v>74</v>
      </c>
      <c r="BA402" t="s">
        <v>74</v>
      </c>
      <c r="BB402">
        <v>337</v>
      </c>
      <c r="BC402">
        <v>347</v>
      </c>
      <c r="BD402" t="s">
        <v>74</v>
      </c>
      <c r="BE402" t="s">
        <v>6806</v>
      </c>
      <c r="BF402" t="str">
        <f>HYPERLINK("http://dx.doi.org/10.30657/pea.2023.29.39","http://dx.doi.org/10.30657/pea.2023.29.39")</f>
        <v>http://dx.doi.org/10.30657/pea.2023.29.39</v>
      </c>
      <c r="BG402" t="s">
        <v>74</v>
      </c>
      <c r="BH402" t="s">
        <v>74</v>
      </c>
      <c r="BI402">
        <v>11</v>
      </c>
      <c r="BJ402" t="s">
        <v>6807</v>
      </c>
      <c r="BK402" t="s">
        <v>101</v>
      </c>
      <c r="BL402" t="s">
        <v>6808</v>
      </c>
      <c r="BM402" t="s">
        <v>6809</v>
      </c>
      <c r="BN402" t="s">
        <v>74</v>
      </c>
      <c r="BO402" t="s">
        <v>208</v>
      </c>
      <c r="BP402" t="s">
        <v>74</v>
      </c>
      <c r="BQ402" t="s">
        <v>74</v>
      </c>
      <c r="BR402" t="s">
        <v>104</v>
      </c>
      <c r="BS402" t="s">
        <v>6810</v>
      </c>
      <c r="BT402" t="str">
        <f>HYPERLINK("https%3A%2F%2Fwww.webofscience.com%2Fwos%2Fwoscc%2Ffull-record%2FWOS:001062785100013","View Full Record in Web of Science")</f>
        <v>View Full Record in Web of Science</v>
      </c>
    </row>
    <row r="403" spans="1:72" x14ac:dyDescent="0.25">
      <c r="A403" t="s">
        <v>72</v>
      </c>
      <c r="B403" t="s">
        <v>6811</v>
      </c>
      <c r="C403" t="s">
        <v>74</v>
      </c>
      <c r="D403" t="s">
        <v>74</v>
      </c>
      <c r="E403" t="s">
        <v>74</v>
      </c>
      <c r="F403" t="s">
        <v>6812</v>
      </c>
      <c r="G403" t="s">
        <v>74</v>
      </c>
      <c r="H403" t="s">
        <v>74</v>
      </c>
      <c r="I403" t="s">
        <v>6813</v>
      </c>
      <c r="J403" t="s">
        <v>1557</v>
      </c>
      <c r="K403" t="s">
        <v>74</v>
      </c>
      <c r="L403" t="s">
        <v>74</v>
      </c>
      <c r="M403" t="s">
        <v>78</v>
      </c>
      <c r="N403" t="s">
        <v>79</v>
      </c>
      <c r="O403" t="s">
        <v>74</v>
      </c>
      <c r="P403" t="s">
        <v>74</v>
      </c>
      <c r="Q403" t="s">
        <v>74</v>
      </c>
      <c r="R403" t="s">
        <v>74</v>
      </c>
      <c r="S403" t="s">
        <v>74</v>
      </c>
      <c r="T403" t="s">
        <v>6814</v>
      </c>
      <c r="U403" t="s">
        <v>6815</v>
      </c>
      <c r="V403" t="s">
        <v>6816</v>
      </c>
      <c r="W403" t="s">
        <v>6817</v>
      </c>
      <c r="X403" t="s">
        <v>6818</v>
      </c>
      <c r="Y403" t="s">
        <v>6819</v>
      </c>
      <c r="Z403" t="s">
        <v>6820</v>
      </c>
      <c r="AA403" t="s">
        <v>6821</v>
      </c>
      <c r="AB403" t="s">
        <v>74</v>
      </c>
      <c r="AC403" t="s">
        <v>6822</v>
      </c>
      <c r="AD403" t="s">
        <v>6823</v>
      </c>
      <c r="AE403" t="s">
        <v>6824</v>
      </c>
      <c r="AF403" t="s">
        <v>74</v>
      </c>
      <c r="AG403">
        <v>23</v>
      </c>
      <c r="AH403">
        <v>0</v>
      </c>
      <c r="AI403">
        <v>0</v>
      </c>
      <c r="AJ403">
        <v>17</v>
      </c>
      <c r="AK403">
        <v>22</v>
      </c>
      <c r="AL403" t="s">
        <v>707</v>
      </c>
      <c r="AM403" t="s">
        <v>246</v>
      </c>
      <c r="AN403" t="s">
        <v>708</v>
      </c>
      <c r="AO403" t="s">
        <v>1569</v>
      </c>
      <c r="AP403" t="s">
        <v>1570</v>
      </c>
      <c r="AQ403" t="s">
        <v>74</v>
      </c>
      <c r="AR403" t="s">
        <v>1571</v>
      </c>
      <c r="AS403" t="s">
        <v>1572</v>
      </c>
      <c r="AT403" t="s">
        <v>6825</v>
      </c>
      <c r="AU403">
        <v>2024</v>
      </c>
      <c r="AV403">
        <v>248</v>
      </c>
      <c r="AW403" t="s">
        <v>74</v>
      </c>
      <c r="AX403" t="s">
        <v>74</v>
      </c>
      <c r="AY403" t="s">
        <v>74</v>
      </c>
      <c r="AZ403" t="s">
        <v>74</v>
      </c>
      <c r="BA403" t="s">
        <v>74</v>
      </c>
      <c r="BB403" t="s">
        <v>74</v>
      </c>
      <c r="BC403" t="s">
        <v>74</v>
      </c>
      <c r="BD403">
        <v>123373</v>
      </c>
      <c r="BE403" t="s">
        <v>6826</v>
      </c>
      <c r="BF403" t="str">
        <f>HYPERLINK("http://dx.doi.org/10.1016/j.eswa.2024.123373","http://dx.doi.org/10.1016/j.eswa.2024.123373")</f>
        <v>http://dx.doi.org/10.1016/j.eswa.2024.123373</v>
      </c>
      <c r="BG403" t="s">
        <v>74</v>
      </c>
      <c r="BH403" t="s">
        <v>2862</v>
      </c>
      <c r="BI403">
        <v>8</v>
      </c>
      <c r="BJ403" t="s">
        <v>1575</v>
      </c>
      <c r="BK403" t="s">
        <v>149</v>
      </c>
      <c r="BL403" t="s">
        <v>1576</v>
      </c>
      <c r="BM403" t="s">
        <v>6827</v>
      </c>
      <c r="BN403" t="s">
        <v>74</v>
      </c>
      <c r="BO403" t="s">
        <v>74</v>
      </c>
      <c r="BP403" t="s">
        <v>74</v>
      </c>
      <c r="BQ403" t="s">
        <v>74</v>
      </c>
      <c r="BR403" t="s">
        <v>104</v>
      </c>
      <c r="BS403" t="s">
        <v>6828</v>
      </c>
      <c r="BT403" t="str">
        <f>HYPERLINK("https%3A%2F%2Fwww.webofscience.com%2Fwos%2Fwoscc%2Ffull-record%2FWOS:001178744800001","View Full Record in Web of Science")</f>
        <v>View Full Record in Web of Science</v>
      </c>
    </row>
    <row r="404" spans="1:72" x14ac:dyDescent="0.25">
      <c r="A404" t="s">
        <v>72</v>
      </c>
      <c r="B404" t="s">
        <v>6829</v>
      </c>
      <c r="C404" t="s">
        <v>74</v>
      </c>
      <c r="D404" t="s">
        <v>74</v>
      </c>
      <c r="E404" t="s">
        <v>74</v>
      </c>
      <c r="F404" t="s">
        <v>6830</v>
      </c>
      <c r="G404" t="s">
        <v>74</v>
      </c>
      <c r="H404" t="s">
        <v>74</v>
      </c>
      <c r="I404" t="s">
        <v>6831</v>
      </c>
      <c r="J404" t="s">
        <v>6832</v>
      </c>
      <c r="K404" t="s">
        <v>74</v>
      </c>
      <c r="L404" t="s">
        <v>74</v>
      </c>
      <c r="M404" t="s">
        <v>78</v>
      </c>
      <c r="N404" t="s">
        <v>79</v>
      </c>
      <c r="O404" t="s">
        <v>74</v>
      </c>
      <c r="P404" t="s">
        <v>74</v>
      </c>
      <c r="Q404" t="s">
        <v>74</v>
      </c>
      <c r="R404" t="s">
        <v>74</v>
      </c>
      <c r="S404" t="s">
        <v>74</v>
      </c>
      <c r="T404" t="s">
        <v>6833</v>
      </c>
      <c r="U404" t="s">
        <v>6834</v>
      </c>
      <c r="V404" t="s">
        <v>6835</v>
      </c>
      <c r="W404" t="s">
        <v>6836</v>
      </c>
      <c r="X404" t="s">
        <v>6837</v>
      </c>
      <c r="Y404" t="s">
        <v>6838</v>
      </c>
      <c r="Z404" t="s">
        <v>6839</v>
      </c>
      <c r="AA404" t="s">
        <v>6840</v>
      </c>
      <c r="AB404" t="s">
        <v>74</v>
      </c>
      <c r="AC404" t="s">
        <v>74</v>
      </c>
      <c r="AD404" t="s">
        <v>74</v>
      </c>
      <c r="AE404" t="s">
        <v>74</v>
      </c>
      <c r="AF404" t="s">
        <v>74</v>
      </c>
      <c r="AG404">
        <v>16</v>
      </c>
      <c r="AH404">
        <v>1</v>
      </c>
      <c r="AI404">
        <v>1</v>
      </c>
      <c r="AJ404">
        <v>0</v>
      </c>
      <c r="AK404">
        <v>4</v>
      </c>
      <c r="AL404" t="s">
        <v>484</v>
      </c>
      <c r="AM404" t="s">
        <v>485</v>
      </c>
      <c r="AN404" t="s">
        <v>486</v>
      </c>
      <c r="AO404" t="s">
        <v>6841</v>
      </c>
      <c r="AP404" t="s">
        <v>6842</v>
      </c>
      <c r="AQ404" t="s">
        <v>74</v>
      </c>
      <c r="AR404" t="s">
        <v>6843</v>
      </c>
      <c r="AS404" t="s">
        <v>6844</v>
      </c>
      <c r="AT404" t="s">
        <v>559</v>
      </c>
      <c r="AU404">
        <v>2024</v>
      </c>
      <c r="AV404">
        <v>41</v>
      </c>
      <c r="AW404">
        <v>6</v>
      </c>
      <c r="AX404" t="s">
        <v>74</v>
      </c>
      <c r="AY404" t="s">
        <v>74</v>
      </c>
      <c r="AZ404" t="s">
        <v>560</v>
      </c>
      <c r="BA404" t="s">
        <v>74</v>
      </c>
      <c r="BB404" t="s">
        <v>74</v>
      </c>
      <c r="BC404" t="s">
        <v>74</v>
      </c>
      <c r="BD404" t="s">
        <v>6845</v>
      </c>
      <c r="BE404" t="s">
        <v>6846</v>
      </c>
      <c r="BF404" t="str">
        <f>HYPERLINK("http://dx.doi.org/10.1111/exsy.13261","http://dx.doi.org/10.1111/exsy.13261")</f>
        <v>http://dx.doi.org/10.1111/exsy.13261</v>
      </c>
      <c r="BG404" t="s">
        <v>74</v>
      </c>
      <c r="BH404" t="s">
        <v>1204</v>
      </c>
      <c r="BI404">
        <v>13</v>
      </c>
      <c r="BJ404" t="s">
        <v>6847</v>
      </c>
      <c r="BK404" t="s">
        <v>149</v>
      </c>
      <c r="BL404" t="s">
        <v>1228</v>
      </c>
      <c r="BM404" t="s">
        <v>6848</v>
      </c>
      <c r="BN404" t="s">
        <v>74</v>
      </c>
      <c r="BO404" t="s">
        <v>74</v>
      </c>
      <c r="BP404" t="s">
        <v>74</v>
      </c>
      <c r="BQ404" t="s">
        <v>74</v>
      </c>
      <c r="BR404" t="s">
        <v>104</v>
      </c>
      <c r="BS404" t="s">
        <v>6849</v>
      </c>
      <c r="BT404" t="str">
        <f>HYPERLINK("https%3A%2F%2Fwww.webofscience.com%2Fwos%2Fwoscc%2Ffull-record%2FWOS:000973620400001","View Full Record in Web of Science")</f>
        <v>View Full Record in Web of Science</v>
      </c>
    </row>
    <row r="405" spans="1:72" x14ac:dyDescent="0.25">
      <c r="A405" t="s">
        <v>72</v>
      </c>
      <c r="B405" t="s">
        <v>6850</v>
      </c>
      <c r="C405" t="s">
        <v>74</v>
      </c>
      <c r="D405" t="s">
        <v>74</v>
      </c>
      <c r="E405" t="s">
        <v>74</v>
      </c>
      <c r="F405" t="s">
        <v>6851</v>
      </c>
      <c r="G405" t="s">
        <v>74</v>
      </c>
      <c r="H405" t="s">
        <v>74</v>
      </c>
      <c r="I405" t="s">
        <v>6852</v>
      </c>
      <c r="J405" t="s">
        <v>940</v>
      </c>
      <c r="K405" t="s">
        <v>74</v>
      </c>
      <c r="L405" t="s">
        <v>74</v>
      </c>
      <c r="M405" t="s">
        <v>78</v>
      </c>
      <c r="N405" t="s">
        <v>79</v>
      </c>
      <c r="O405" t="s">
        <v>74</v>
      </c>
      <c r="P405" t="s">
        <v>74</v>
      </c>
      <c r="Q405" t="s">
        <v>74</v>
      </c>
      <c r="R405" t="s">
        <v>74</v>
      </c>
      <c r="S405" t="s">
        <v>74</v>
      </c>
      <c r="T405" t="s">
        <v>6853</v>
      </c>
      <c r="U405" t="s">
        <v>6854</v>
      </c>
      <c r="V405" t="s">
        <v>6855</v>
      </c>
      <c r="W405" t="s">
        <v>6856</v>
      </c>
      <c r="X405" t="s">
        <v>6857</v>
      </c>
      <c r="Y405" t="s">
        <v>6858</v>
      </c>
      <c r="Z405" t="s">
        <v>6859</v>
      </c>
      <c r="AA405" t="s">
        <v>6860</v>
      </c>
      <c r="AB405" t="s">
        <v>6861</v>
      </c>
      <c r="AC405" t="s">
        <v>74</v>
      </c>
      <c r="AD405" t="s">
        <v>74</v>
      </c>
      <c r="AE405" t="s">
        <v>74</v>
      </c>
      <c r="AF405" t="s">
        <v>74</v>
      </c>
      <c r="AG405">
        <v>42</v>
      </c>
      <c r="AH405">
        <v>4</v>
      </c>
      <c r="AI405">
        <v>4</v>
      </c>
      <c r="AJ405">
        <v>12</v>
      </c>
      <c r="AK405">
        <v>44</v>
      </c>
      <c r="AL405" t="s">
        <v>220</v>
      </c>
      <c r="AM405" t="s">
        <v>221</v>
      </c>
      <c r="AN405" t="s">
        <v>222</v>
      </c>
      <c r="AO405" t="s">
        <v>950</v>
      </c>
      <c r="AP405" t="s">
        <v>951</v>
      </c>
      <c r="AQ405" t="s">
        <v>74</v>
      </c>
      <c r="AR405" t="s">
        <v>952</v>
      </c>
      <c r="AS405" t="s">
        <v>953</v>
      </c>
      <c r="AT405" t="s">
        <v>559</v>
      </c>
      <c r="AU405">
        <v>2023</v>
      </c>
      <c r="AV405">
        <v>70</v>
      </c>
      <c r="AW405">
        <v>6</v>
      </c>
      <c r="AX405" t="s">
        <v>74</v>
      </c>
      <c r="AY405" t="s">
        <v>74</v>
      </c>
      <c r="AZ405" t="s">
        <v>74</v>
      </c>
      <c r="BA405" t="s">
        <v>74</v>
      </c>
      <c r="BB405">
        <v>2153</v>
      </c>
      <c r="BC405">
        <v>2164</v>
      </c>
      <c r="BD405" t="s">
        <v>74</v>
      </c>
      <c r="BE405" t="s">
        <v>6862</v>
      </c>
      <c r="BF405" t="str">
        <f>HYPERLINK("http://dx.doi.org/10.1109/TEM.2021.3072835","http://dx.doi.org/10.1109/TEM.2021.3072835")</f>
        <v>http://dx.doi.org/10.1109/TEM.2021.3072835</v>
      </c>
      <c r="BG405" t="s">
        <v>74</v>
      </c>
      <c r="BH405" t="s">
        <v>1614</v>
      </c>
      <c r="BI405">
        <v>12</v>
      </c>
      <c r="BJ405" t="s">
        <v>955</v>
      </c>
      <c r="BK405" t="s">
        <v>322</v>
      </c>
      <c r="BL405" t="s">
        <v>956</v>
      </c>
      <c r="BM405" t="s">
        <v>6863</v>
      </c>
      <c r="BN405" t="s">
        <v>74</v>
      </c>
      <c r="BO405" t="s">
        <v>74</v>
      </c>
      <c r="BP405" t="s">
        <v>74</v>
      </c>
      <c r="BQ405" t="s">
        <v>74</v>
      </c>
      <c r="BR405" t="s">
        <v>104</v>
      </c>
      <c r="BS405" t="s">
        <v>6864</v>
      </c>
      <c r="BT405" t="str">
        <f>HYPERLINK("https%3A%2F%2Fwww.webofscience.com%2Fwos%2Fwoscc%2Ffull-record%2FWOS:000732674200001","View Full Record in Web of Science")</f>
        <v>View Full Record in Web of Science</v>
      </c>
    </row>
    <row r="406" spans="1:72" x14ac:dyDescent="0.25">
      <c r="A406" t="s">
        <v>72</v>
      </c>
      <c r="B406" t="s">
        <v>6865</v>
      </c>
      <c r="C406" t="s">
        <v>74</v>
      </c>
      <c r="D406" t="s">
        <v>74</v>
      </c>
      <c r="E406" t="s">
        <v>74</v>
      </c>
      <c r="F406" t="s">
        <v>6866</v>
      </c>
      <c r="G406" t="s">
        <v>74</v>
      </c>
      <c r="H406" t="s">
        <v>74</v>
      </c>
      <c r="I406" t="s">
        <v>6867</v>
      </c>
      <c r="J406" t="s">
        <v>128</v>
      </c>
      <c r="K406" t="s">
        <v>74</v>
      </c>
      <c r="L406" t="s">
        <v>74</v>
      </c>
      <c r="M406" t="s">
        <v>78</v>
      </c>
      <c r="N406" t="s">
        <v>79</v>
      </c>
      <c r="O406" t="s">
        <v>74</v>
      </c>
      <c r="P406" t="s">
        <v>74</v>
      </c>
      <c r="Q406" t="s">
        <v>74</v>
      </c>
      <c r="R406" t="s">
        <v>74</v>
      </c>
      <c r="S406" t="s">
        <v>74</v>
      </c>
      <c r="T406" t="s">
        <v>6868</v>
      </c>
      <c r="U406" t="s">
        <v>6869</v>
      </c>
      <c r="V406" t="s">
        <v>6870</v>
      </c>
      <c r="W406" t="s">
        <v>6871</v>
      </c>
      <c r="X406" t="s">
        <v>2564</v>
      </c>
      <c r="Y406" t="s">
        <v>6872</v>
      </c>
      <c r="Z406" t="s">
        <v>6873</v>
      </c>
      <c r="AA406" t="s">
        <v>5627</v>
      </c>
      <c r="AB406" t="s">
        <v>5628</v>
      </c>
      <c r="AC406" t="s">
        <v>6874</v>
      </c>
      <c r="AD406" t="s">
        <v>482</v>
      </c>
      <c r="AE406" t="s">
        <v>6875</v>
      </c>
      <c r="AF406" t="s">
        <v>74</v>
      </c>
      <c r="AG406">
        <v>56</v>
      </c>
      <c r="AH406">
        <v>13</v>
      </c>
      <c r="AI406">
        <v>13</v>
      </c>
      <c r="AJ406">
        <v>10</v>
      </c>
      <c r="AK406">
        <v>36</v>
      </c>
      <c r="AL406" t="s">
        <v>138</v>
      </c>
      <c r="AM406" t="s">
        <v>139</v>
      </c>
      <c r="AN406" t="s">
        <v>140</v>
      </c>
      <c r="AO406" t="s">
        <v>141</v>
      </c>
      <c r="AP406" t="s">
        <v>142</v>
      </c>
      <c r="AQ406" t="s">
        <v>74</v>
      </c>
      <c r="AR406" t="s">
        <v>143</v>
      </c>
      <c r="AS406" t="s">
        <v>144</v>
      </c>
      <c r="AT406" t="s">
        <v>1008</v>
      </c>
      <c r="AU406">
        <v>2024</v>
      </c>
      <c r="AV406">
        <v>241</v>
      </c>
      <c r="AW406" t="s">
        <v>74</v>
      </c>
      <c r="AX406" t="s">
        <v>74</v>
      </c>
      <c r="AY406" t="s">
        <v>74</v>
      </c>
      <c r="AZ406" t="s">
        <v>74</v>
      </c>
      <c r="BA406" t="s">
        <v>74</v>
      </c>
      <c r="BB406" t="s">
        <v>74</v>
      </c>
      <c r="BC406" t="s">
        <v>74</v>
      </c>
      <c r="BD406">
        <v>109628</v>
      </c>
      <c r="BE406" t="s">
        <v>6876</v>
      </c>
      <c r="BF406" t="str">
        <f>HYPERLINK("http://dx.doi.org/10.1016/j.ress.2023.109628","http://dx.doi.org/10.1016/j.ress.2023.109628")</f>
        <v>http://dx.doi.org/10.1016/j.ress.2023.109628</v>
      </c>
      <c r="BG406" t="s">
        <v>74</v>
      </c>
      <c r="BH406" t="s">
        <v>147</v>
      </c>
      <c r="BI406">
        <v>16</v>
      </c>
      <c r="BJ406" t="s">
        <v>148</v>
      </c>
      <c r="BK406" t="s">
        <v>149</v>
      </c>
      <c r="BL406" t="s">
        <v>150</v>
      </c>
      <c r="BM406" t="s">
        <v>6877</v>
      </c>
      <c r="BN406" t="s">
        <v>74</v>
      </c>
      <c r="BO406" t="s">
        <v>74</v>
      </c>
      <c r="BP406" t="s">
        <v>74</v>
      </c>
      <c r="BQ406" t="s">
        <v>74</v>
      </c>
      <c r="BR406" t="s">
        <v>104</v>
      </c>
      <c r="BS406" t="s">
        <v>6878</v>
      </c>
      <c r="BT406" t="str">
        <f>HYPERLINK("https%3A%2F%2Fwww.webofscience.com%2Fwos%2Fwoscc%2Ffull-record%2FWOS:001081350000001","View Full Record in Web of Science")</f>
        <v>View Full Record in Web of Science</v>
      </c>
    </row>
    <row r="407" spans="1:72" x14ac:dyDescent="0.25">
      <c r="A407" t="s">
        <v>72</v>
      </c>
      <c r="B407" t="s">
        <v>6879</v>
      </c>
      <c r="C407" t="s">
        <v>74</v>
      </c>
      <c r="D407" t="s">
        <v>74</v>
      </c>
      <c r="E407" t="s">
        <v>74</v>
      </c>
      <c r="F407" t="s">
        <v>6880</v>
      </c>
      <c r="G407" t="s">
        <v>74</v>
      </c>
      <c r="H407" t="s">
        <v>74</v>
      </c>
      <c r="I407" t="s">
        <v>6881</v>
      </c>
      <c r="J407" t="s">
        <v>2160</v>
      </c>
      <c r="K407" t="s">
        <v>74</v>
      </c>
      <c r="L407" t="s">
        <v>74</v>
      </c>
      <c r="M407" t="s">
        <v>78</v>
      </c>
      <c r="N407" t="s">
        <v>79</v>
      </c>
      <c r="O407" t="s">
        <v>74</v>
      </c>
      <c r="P407" t="s">
        <v>74</v>
      </c>
      <c r="Q407" t="s">
        <v>74</v>
      </c>
      <c r="R407" t="s">
        <v>74</v>
      </c>
      <c r="S407" t="s">
        <v>74</v>
      </c>
      <c r="T407" t="s">
        <v>6882</v>
      </c>
      <c r="U407" t="s">
        <v>6883</v>
      </c>
      <c r="V407" t="s">
        <v>6884</v>
      </c>
      <c r="W407" t="s">
        <v>6885</v>
      </c>
      <c r="X407" t="s">
        <v>6886</v>
      </c>
      <c r="Y407" t="s">
        <v>6887</v>
      </c>
      <c r="Z407" t="s">
        <v>6888</v>
      </c>
      <c r="AA407" t="s">
        <v>6889</v>
      </c>
      <c r="AB407" t="s">
        <v>74</v>
      </c>
      <c r="AC407" t="s">
        <v>5048</v>
      </c>
      <c r="AD407" t="s">
        <v>482</v>
      </c>
      <c r="AE407" t="s">
        <v>5049</v>
      </c>
      <c r="AF407" t="s">
        <v>74</v>
      </c>
      <c r="AG407">
        <v>33</v>
      </c>
      <c r="AH407">
        <v>2</v>
      </c>
      <c r="AI407">
        <v>2</v>
      </c>
      <c r="AJ407">
        <v>11</v>
      </c>
      <c r="AK407">
        <v>18</v>
      </c>
      <c r="AL407" t="s">
        <v>220</v>
      </c>
      <c r="AM407" t="s">
        <v>221</v>
      </c>
      <c r="AN407" t="s">
        <v>222</v>
      </c>
      <c r="AO407" t="s">
        <v>2172</v>
      </c>
      <c r="AP407" t="s">
        <v>2173</v>
      </c>
      <c r="AQ407" t="s">
        <v>74</v>
      </c>
      <c r="AR407" t="s">
        <v>2174</v>
      </c>
      <c r="AS407" t="s">
        <v>2175</v>
      </c>
      <c r="AT407" t="s">
        <v>248</v>
      </c>
      <c r="AU407">
        <v>2024</v>
      </c>
      <c r="AV407">
        <v>20</v>
      </c>
      <c r="AW407">
        <v>7</v>
      </c>
      <c r="AX407" t="s">
        <v>74</v>
      </c>
      <c r="AY407" t="s">
        <v>74</v>
      </c>
      <c r="AZ407" t="s">
        <v>74</v>
      </c>
      <c r="BA407" t="s">
        <v>74</v>
      </c>
      <c r="BB407">
        <v>9308</v>
      </c>
      <c r="BC407">
        <v>9319</v>
      </c>
      <c r="BD407" t="s">
        <v>74</v>
      </c>
      <c r="BE407" t="s">
        <v>6890</v>
      </c>
      <c r="BF407" t="str">
        <f>HYPERLINK("http://dx.doi.org/10.1109/TII.2024.3383492","http://dx.doi.org/10.1109/TII.2024.3383492")</f>
        <v>http://dx.doi.org/10.1109/TII.2024.3383492</v>
      </c>
      <c r="BG407" t="s">
        <v>74</v>
      </c>
      <c r="BH407" t="s">
        <v>2039</v>
      </c>
      <c r="BI407">
        <v>12</v>
      </c>
      <c r="BJ407" t="s">
        <v>2177</v>
      </c>
      <c r="BK407" t="s">
        <v>149</v>
      </c>
      <c r="BL407" t="s">
        <v>1157</v>
      </c>
      <c r="BM407" t="s">
        <v>6891</v>
      </c>
      <c r="BN407" t="s">
        <v>74</v>
      </c>
      <c r="BO407" t="s">
        <v>74</v>
      </c>
      <c r="BP407" t="s">
        <v>74</v>
      </c>
      <c r="BQ407" t="s">
        <v>74</v>
      </c>
      <c r="BR407" t="s">
        <v>104</v>
      </c>
      <c r="BS407" t="s">
        <v>6892</v>
      </c>
      <c r="BT407" t="str">
        <f>HYPERLINK("https%3A%2F%2Fwww.webofscience.com%2Fwos%2Fwoscc%2Ffull-record%2FWOS:001205814700001","View Full Record in Web of Science")</f>
        <v>View Full Record in Web of Science</v>
      </c>
    </row>
    <row r="408" spans="1:72" x14ac:dyDescent="0.25">
      <c r="A408" t="s">
        <v>72</v>
      </c>
      <c r="B408" t="s">
        <v>6893</v>
      </c>
      <c r="C408" t="s">
        <v>74</v>
      </c>
      <c r="D408" t="s">
        <v>74</v>
      </c>
      <c r="E408" t="s">
        <v>74</v>
      </c>
      <c r="F408" t="s">
        <v>6894</v>
      </c>
      <c r="G408" t="s">
        <v>74</v>
      </c>
      <c r="H408" t="s">
        <v>74</v>
      </c>
      <c r="I408" t="s">
        <v>6895</v>
      </c>
      <c r="J408" t="s">
        <v>1932</v>
      </c>
      <c r="K408" t="s">
        <v>74</v>
      </c>
      <c r="L408" t="s">
        <v>74</v>
      </c>
      <c r="M408" t="s">
        <v>78</v>
      </c>
      <c r="N408" t="s">
        <v>79</v>
      </c>
      <c r="O408" t="s">
        <v>74</v>
      </c>
      <c r="P408" t="s">
        <v>74</v>
      </c>
      <c r="Q408" t="s">
        <v>74</v>
      </c>
      <c r="R408" t="s">
        <v>74</v>
      </c>
      <c r="S408" t="s">
        <v>74</v>
      </c>
      <c r="T408" t="s">
        <v>6896</v>
      </c>
      <c r="U408" t="s">
        <v>6897</v>
      </c>
      <c r="V408" t="s">
        <v>6898</v>
      </c>
      <c r="W408" t="s">
        <v>6899</v>
      </c>
      <c r="X408" t="s">
        <v>6900</v>
      </c>
      <c r="Y408" t="s">
        <v>6901</v>
      </c>
      <c r="Z408" t="s">
        <v>6902</v>
      </c>
      <c r="AA408" t="s">
        <v>6903</v>
      </c>
      <c r="AB408" t="s">
        <v>74</v>
      </c>
      <c r="AC408" t="s">
        <v>74</v>
      </c>
      <c r="AD408" t="s">
        <v>74</v>
      </c>
      <c r="AE408" t="s">
        <v>74</v>
      </c>
      <c r="AF408" t="s">
        <v>74</v>
      </c>
      <c r="AG408">
        <v>42</v>
      </c>
      <c r="AH408">
        <v>5</v>
      </c>
      <c r="AI408">
        <v>5</v>
      </c>
      <c r="AJ408">
        <v>7</v>
      </c>
      <c r="AK408">
        <v>43</v>
      </c>
      <c r="AL408" t="s">
        <v>311</v>
      </c>
      <c r="AM408" t="s">
        <v>312</v>
      </c>
      <c r="AN408" t="s">
        <v>313</v>
      </c>
      <c r="AO408" t="s">
        <v>1945</v>
      </c>
      <c r="AP408" t="s">
        <v>1946</v>
      </c>
      <c r="AQ408" t="s">
        <v>74</v>
      </c>
      <c r="AR408" t="s">
        <v>1947</v>
      </c>
      <c r="AS408" t="s">
        <v>1948</v>
      </c>
      <c r="AT408" t="s">
        <v>6904</v>
      </c>
      <c r="AU408">
        <v>2022</v>
      </c>
      <c r="AV408">
        <v>19</v>
      </c>
      <c r="AW408">
        <v>3</v>
      </c>
      <c r="AX408" t="s">
        <v>74</v>
      </c>
      <c r="AY408" t="s">
        <v>74</v>
      </c>
      <c r="AZ408" t="s">
        <v>74</v>
      </c>
      <c r="BA408" t="s">
        <v>74</v>
      </c>
      <c r="BB408">
        <v>341</v>
      </c>
      <c r="BC408">
        <v>361</v>
      </c>
      <c r="BD408" t="s">
        <v>74</v>
      </c>
      <c r="BE408" t="s">
        <v>6905</v>
      </c>
      <c r="BF408" t="str">
        <f>HYPERLINK("http://dx.doi.org/10.1080/16843703.2022.2044120","http://dx.doi.org/10.1080/16843703.2022.2044120")</f>
        <v>http://dx.doi.org/10.1080/16843703.2022.2044120</v>
      </c>
      <c r="BG408" t="s">
        <v>74</v>
      </c>
      <c r="BH408" t="s">
        <v>1971</v>
      </c>
      <c r="BI408">
        <v>21</v>
      </c>
      <c r="BJ408" t="s">
        <v>1951</v>
      </c>
      <c r="BK408" t="s">
        <v>149</v>
      </c>
      <c r="BL408" t="s">
        <v>1952</v>
      </c>
      <c r="BM408" t="s">
        <v>6906</v>
      </c>
      <c r="BN408" t="s">
        <v>74</v>
      </c>
      <c r="BO408" t="s">
        <v>74</v>
      </c>
      <c r="BP408" t="s">
        <v>74</v>
      </c>
      <c r="BQ408" t="s">
        <v>74</v>
      </c>
      <c r="BR408" t="s">
        <v>104</v>
      </c>
      <c r="BS408" t="s">
        <v>6907</v>
      </c>
      <c r="BT408" t="str">
        <f>HYPERLINK("https%3A%2F%2Fwww.webofscience.com%2Fwos%2Fwoscc%2Ffull-record%2FWOS:000761494900001","View Full Record in Web of Science")</f>
        <v>View Full Record in Web of Science</v>
      </c>
    </row>
    <row r="409" spans="1:72" x14ac:dyDescent="0.25">
      <c r="A409" t="s">
        <v>72</v>
      </c>
      <c r="B409" t="s">
        <v>6908</v>
      </c>
      <c r="C409" t="s">
        <v>74</v>
      </c>
      <c r="D409" t="s">
        <v>74</v>
      </c>
      <c r="E409" t="s">
        <v>74</v>
      </c>
      <c r="F409" t="s">
        <v>6909</v>
      </c>
      <c r="G409" t="s">
        <v>74</v>
      </c>
      <c r="H409" t="s">
        <v>74</v>
      </c>
      <c r="I409" t="s">
        <v>6910</v>
      </c>
      <c r="J409" t="s">
        <v>188</v>
      </c>
      <c r="K409" t="s">
        <v>74</v>
      </c>
      <c r="L409" t="s">
        <v>74</v>
      </c>
      <c r="M409" t="s">
        <v>78</v>
      </c>
      <c r="N409" t="s">
        <v>79</v>
      </c>
      <c r="O409" t="s">
        <v>74</v>
      </c>
      <c r="P409" t="s">
        <v>74</v>
      </c>
      <c r="Q409" t="s">
        <v>74</v>
      </c>
      <c r="R409" t="s">
        <v>74</v>
      </c>
      <c r="S409" t="s">
        <v>74</v>
      </c>
      <c r="T409" t="s">
        <v>74</v>
      </c>
      <c r="U409" t="s">
        <v>6911</v>
      </c>
      <c r="V409" t="s">
        <v>6912</v>
      </c>
      <c r="W409" t="s">
        <v>6913</v>
      </c>
      <c r="X409" t="s">
        <v>74</v>
      </c>
      <c r="Y409" t="s">
        <v>6914</v>
      </c>
      <c r="Z409" t="s">
        <v>6915</v>
      </c>
      <c r="AA409" t="s">
        <v>6916</v>
      </c>
      <c r="AB409" t="s">
        <v>74</v>
      </c>
      <c r="AC409" t="s">
        <v>74</v>
      </c>
      <c r="AD409" t="s">
        <v>74</v>
      </c>
      <c r="AE409" t="s">
        <v>74</v>
      </c>
      <c r="AF409" t="s">
        <v>74</v>
      </c>
      <c r="AG409">
        <v>23</v>
      </c>
      <c r="AH409">
        <v>0</v>
      </c>
      <c r="AI409">
        <v>0</v>
      </c>
      <c r="AJ409">
        <v>0</v>
      </c>
      <c r="AK409">
        <v>0</v>
      </c>
      <c r="AL409" t="s">
        <v>198</v>
      </c>
      <c r="AM409" t="s">
        <v>199</v>
      </c>
      <c r="AN409" t="s">
        <v>200</v>
      </c>
      <c r="AO409" t="s">
        <v>201</v>
      </c>
      <c r="AP409" t="s">
        <v>202</v>
      </c>
      <c r="AQ409" t="s">
        <v>74</v>
      </c>
      <c r="AR409" t="s">
        <v>203</v>
      </c>
      <c r="AS409" t="s">
        <v>204</v>
      </c>
      <c r="AT409" t="s">
        <v>205</v>
      </c>
      <c r="AU409">
        <v>2024</v>
      </c>
      <c r="AV409">
        <v>15</v>
      </c>
      <c r="AW409">
        <v>3</v>
      </c>
      <c r="AX409" t="s">
        <v>74</v>
      </c>
      <c r="AY409" t="s">
        <v>74</v>
      </c>
      <c r="AZ409" t="s">
        <v>74</v>
      </c>
      <c r="BA409" t="s">
        <v>74</v>
      </c>
      <c r="BB409">
        <v>1</v>
      </c>
      <c r="BC409">
        <v>7</v>
      </c>
      <c r="BD409" t="s">
        <v>74</v>
      </c>
      <c r="BE409" t="s">
        <v>6917</v>
      </c>
      <c r="BF409" t="str">
        <f>HYPERLINK("http://dx.doi.org/10.24425/mper.2024.151487","http://dx.doi.org/10.24425/mper.2024.151487")</f>
        <v>http://dx.doi.org/10.24425/mper.2024.151487</v>
      </c>
      <c r="BG409" t="s">
        <v>74</v>
      </c>
      <c r="BH409" t="s">
        <v>74</v>
      </c>
      <c r="BI409">
        <v>7</v>
      </c>
      <c r="BJ409" t="s">
        <v>100</v>
      </c>
      <c r="BK409" t="s">
        <v>101</v>
      </c>
      <c r="BL409" t="s">
        <v>102</v>
      </c>
      <c r="BM409" t="s">
        <v>6918</v>
      </c>
      <c r="BN409" t="s">
        <v>74</v>
      </c>
      <c r="BO409" t="s">
        <v>208</v>
      </c>
      <c r="BP409" t="s">
        <v>74</v>
      </c>
      <c r="BQ409" t="s">
        <v>74</v>
      </c>
      <c r="BR409" t="s">
        <v>104</v>
      </c>
      <c r="BS409" t="s">
        <v>6919</v>
      </c>
      <c r="BT409" t="str">
        <f>HYPERLINK("https%3A%2F%2Fwww.webofscience.com%2Fwos%2Fwoscc%2Ffull-record%2FWOS:001404665500008","View Full Record in Web of Science")</f>
        <v>View Full Record in Web of Science</v>
      </c>
    </row>
    <row r="410" spans="1:72" x14ac:dyDescent="0.25">
      <c r="A410" t="s">
        <v>72</v>
      </c>
      <c r="B410" t="s">
        <v>6920</v>
      </c>
      <c r="C410" t="s">
        <v>74</v>
      </c>
      <c r="D410" t="s">
        <v>74</v>
      </c>
      <c r="E410" t="s">
        <v>74</v>
      </c>
      <c r="F410" t="s">
        <v>6921</v>
      </c>
      <c r="G410" t="s">
        <v>74</v>
      </c>
      <c r="H410" t="s">
        <v>74</v>
      </c>
      <c r="I410" t="s">
        <v>6922</v>
      </c>
      <c r="J410" t="s">
        <v>6923</v>
      </c>
      <c r="K410" t="s">
        <v>74</v>
      </c>
      <c r="L410" t="s">
        <v>74</v>
      </c>
      <c r="M410" t="s">
        <v>78</v>
      </c>
      <c r="N410" t="s">
        <v>79</v>
      </c>
      <c r="O410" t="s">
        <v>74</v>
      </c>
      <c r="P410" t="s">
        <v>74</v>
      </c>
      <c r="Q410" t="s">
        <v>74</v>
      </c>
      <c r="R410" t="s">
        <v>74</v>
      </c>
      <c r="S410" t="s">
        <v>74</v>
      </c>
      <c r="T410" t="s">
        <v>74</v>
      </c>
      <c r="U410" t="s">
        <v>6924</v>
      </c>
      <c r="V410" t="s">
        <v>6925</v>
      </c>
      <c r="W410" t="s">
        <v>6926</v>
      </c>
      <c r="X410" t="s">
        <v>74</v>
      </c>
      <c r="Y410" t="s">
        <v>6927</v>
      </c>
      <c r="Z410" t="s">
        <v>6928</v>
      </c>
      <c r="AA410" t="s">
        <v>6929</v>
      </c>
      <c r="AB410" t="s">
        <v>74</v>
      </c>
      <c r="AC410" t="s">
        <v>74</v>
      </c>
      <c r="AD410" t="s">
        <v>74</v>
      </c>
      <c r="AE410" t="s">
        <v>74</v>
      </c>
      <c r="AF410" t="s">
        <v>74</v>
      </c>
      <c r="AG410">
        <v>29</v>
      </c>
      <c r="AH410">
        <v>0</v>
      </c>
      <c r="AI410">
        <v>0</v>
      </c>
      <c r="AJ410">
        <v>3</v>
      </c>
      <c r="AK410">
        <v>7</v>
      </c>
      <c r="AL410" t="s">
        <v>6930</v>
      </c>
      <c r="AM410" t="s">
        <v>6931</v>
      </c>
      <c r="AN410" t="s">
        <v>6932</v>
      </c>
      <c r="AO410" t="s">
        <v>6933</v>
      </c>
      <c r="AP410" t="s">
        <v>74</v>
      </c>
      <c r="AQ410" t="s">
        <v>74</v>
      </c>
      <c r="AR410" t="s">
        <v>6923</v>
      </c>
      <c r="AS410" t="s">
        <v>6934</v>
      </c>
      <c r="AT410" t="s">
        <v>6935</v>
      </c>
      <c r="AU410">
        <v>2023</v>
      </c>
      <c r="AV410">
        <v>18</v>
      </c>
      <c r="AW410">
        <v>10</v>
      </c>
      <c r="AX410" t="s">
        <v>74</v>
      </c>
      <c r="AY410" t="s">
        <v>74</v>
      </c>
      <c r="AZ410" t="s">
        <v>74</v>
      </c>
      <c r="BA410" t="s">
        <v>74</v>
      </c>
      <c r="BB410" t="s">
        <v>74</v>
      </c>
      <c r="BC410" t="s">
        <v>74</v>
      </c>
      <c r="BD410" t="s">
        <v>6936</v>
      </c>
      <c r="BE410" t="s">
        <v>6937</v>
      </c>
      <c r="BF410" t="str">
        <f>HYPERLINK("http://dx.doi.org/10.1371/journal.pone.0290419","http://dx.doi.org/10.1371/journal.pone.0290419")</f>
        <v>http://dx.doi.org/10.1371/journal.pone.0290419</v>
      </c>
      <c r="BG410" t="s">
        <v>74</v>
      </c>
      <c r="BH410" t="s">
        <v>74</v>
      </c>
      <c r="BI410">
        <v>21</v>
      </c>
      <c r="BJ410" t="s">
        <v>517</v>
      </c>
      <c r="BK410" t="s">
        <v>149</v>
      </c>
      <c r="BL410" t="s">
        <v>518</v>
      </c>
      <c r="BM410" t="s">
        <v>6938</v>
      </c>
      <c r="BN410">
        <v>37878615</v>
      </c>
      <c r="BO410" t="s">
        <v>6520</v>
      </c>
      <c r="BP410" t="s">
        <v>74</v>
      </c>
      <c r="BQ410" t="s">
        <v>74</v>
      </c>
      <c r="BR410" t="s">
        <v>104</v>
      </c>
      <c r="BS410" t="s">
        <v>6939</v>
      </c>
      <c r="BT410" t="str">
        <f>HYPERLINK("https%3A%2F%2Fwww.webofscience.com%2Fwos%2Fwoscc%2Ffull-record%2FWOS:001098677400048","View Full Record in Web of Science")</f>
        <v>View Full Record in Web of Science</v>
      </c>
    </row>
    <row r="411" spans="1:72" x14ac:dyDescent="0.25">
      <c r="A411" t="s">
        <v>72</v>
      </c>
      <c r="B411" t="s">
        <v>6940</v>
      </c>
      <c r="C411" t="s">
        <v>74</v>
      </c>
      <c r="D411" t="s">
        <v>74</v>
      </c>
      <c r="E411" t="s">
        <v>74</v>
      </c>
      <c r="F411" t="s">
        <v>6941</v>
      </c>
      <c r="G411" t="s">
        <v>74</v>
      </c>
      <c r="H411" t="s">
        <v>74</v>
      </c>
      <c r="I411" t="s">
        <v>6942</v>
      </c>
      <c r="J411" t="s">
        <v>128</v>
      </c>
      <c r="K411" t="s">
        <v>74</v>
      </c>
      <c r="L411" t="s">
        <v>74</v>
      </c>
      <c r="M411" t="s">
        <v>78</v>
      </c>
      <c r="N411" t="s">
        <v>79</v>
      </c>
      <c r="O411" t="s">
        <v>74</v>
      </c>
      <c r="P411" t="s">
        <v>74</v>
      </c>
      <c r="Q411" t="s">
        <v>74</v>
      </c>
      <c r="R411" t="s">
        <v>74</v>
      </c>
      <c r="S411" t="s">
        <v>74</v>
      </c>
      <c r="T411" t="s">
        <v>6943</v>
      </c>
      <c r="U411" t="s">
        <v>6944</v>
      </c>
      <c r="V411" t="s">
        <v>6945</v>
      </c>
      <c r="W411" t="s">
        <v>6946</v>
      </c>
      <c r="X411" t="s">
        <v>6947</v>
      </c>
      <c r="Y411" t="s">
        <v>6948</v>
      </c>
      <c r="Z411" t="s">
        <v>6949</v>
      </c>
      <c r="AA411" t="s">
        <v>6950</v>
      </c>
      <c r="AB411" t="s">
        <v>6951</v>
      </c>
      <c r="AC411" t="s">
        <v>6952</v>
      </c>
      <c r="AD411" t="s">
        <v>6953</v>
      </c>
      <c r="AE411" t="s">
        <v>6954</v>
      </c>
      <c r="AF411" t="s">
        <v>74</v>
      </c>
      <c r="AG411">
        <v>82</v>
      </c>
      <c r="AH411">
        <v>73</v>
      </c>
      <c r="AI411">
        <v>77</v>
      </c>
      <c r="AJ411">
        <v>13</v>
      </c>
      <c r="AK411">
        <v>53</v>
      </c>
      <c r="AL411" t="s">
        <v>138</v>
      </c>
      <c r="AM411" t="s">
        <v>139</v>
      </c>
      <c r="AN411" t="s">
        <v>140</v>
      </c>
      <c r="AO411" t="s">
        <v>141</v>
      </c>
      <c r="AP411" t="s">
        <v>142</v>
      </c>
      <c r="AQ411" t="s">
        <v>74</v>
      </c>
      <c r="AR411" t="s">
        <v>143</v>
      </c>
      <c r="AS411" t="s">
        <v>144</v>
      </c>
      <c r="AT411" t="s">
        <v>2225</v>
      </c>
      <c r="AU411">
        <v>2021</v>
      </c>
      <c r="AV411">
        <v>212</v>
      </c>
      <c r="AW411" t="s">
        <v>74</v>
      </c>
      <c r="AX411" t="s">
        <v>74</v>
      </c>
      <c r="AY411" t="s">
        <v>74</v>
      </c>
      <c r="AZ411" t="s">
        <v>74</v>
      </c>
      <c r="BA411" t="s">
        <v>74</v>
      </c>
      <c r="BB411" t="s">
        <v>74</v>
      </c>
      <c r="BC411" t="s">
        <v>74</v>
      </c>
      <c r="BD411">
        <v>107551</v>
      </c>
      <c r="BE411" t="s">
        <v>6955</v>
      </c>
      <c r="BF411" t="str">
        <f>HYPERLINK("http://dx.doi.org/10.1016/j.ress.2021.107551","http://dx.doi.org/10.1016/j.ress.2021.107551")</f>
        <v>http://dx.doi.org/10.1016/j.ress.2021.107551</v>
      </c>
      <c r="BG411" t="s">
        <v>74</v>
      </c>
      <c r="BH411" t="s">
        <v>714</v>
      </c>
      <c r="BI411">
        <v>16</v>
      </c>
      <c r="BJ411" t="s">
        <v>148</v>
      </c>
      <c r="BK411" t="s">
        <v>149</v>
      </c>
      <c r="BL411" t="s">
        <v>150</v>
      </c>
      <c r="BM411" t="s">
        <v>6246</v>
      </c>
      <c r="BN411" t="s">
        <v>74</v>
      </c>
      <c r="BO411" t="s">
        <v>6956</v>
      </c>
      <c r="BP411" t="s">
        <v>74</v>
      </c>
      <c r="BQ411" t="s">
        <v>74</v>
      </c>
      <c r="BR411" t="s">
        <v>104</v>
      </c>
      <c r="BS411" t="s">
        <v>6957</v>
      </c>
      <c r="BT411" t="str">
        <f>HYPERLINK("https%3A%2F%2Fwww.webofscience.com%2Fwos%2Fwoscc%2Ffull-record%2FWOS:000663910000007","View Full Record in Web of Science")</f>
        <v>View Full Record in Web of Science</v>
      </c>
    </row>
    <row r="412" spans="1:72" x14ac:dyDescent="0.25">
      <c r="A412" t="s">
        <v>72</v>
      </c>
      <c r="B412" t="s">
        <v>6958</v>
      </c>
      <c r="C412" t="s">
        <v>74</v>
      </c>
      <c r="D412" t="s">
        <v>74</v>
      </c>
      <c r="E412" t="s">
        <v>74</v>
      </c>
      <c r="F412" t="s">
        <v>6959</v>
      </c>
      <c r="G412" t="s">
        <v>74</v>
      </c>
      <c r="H412" t="s">
        <v>74</v>
      </c>
      <c r="I412" t="s">
        <v>6960</v>
      </c>
      <c r="J412" t="s">
        <v>6961</v>
      </c>
      <c r="K412" t="s">
        <v>74</v>
      </c>
      <c r="L412" t="s">
        <v>74</v>
      </c>
      <c r="M412" t="s">
        <v>78</v>
      </c>
      <c r="N412" t="s">
        <v>79</v>
      </c>
      <c r="O412" t="s">
        <v>74</v>
      </c>
      <c r="P412" t="s">
        <v>74</v>
      </c>
      <c r="Q412" t="s">
        <v>74</v>
      </c>
      <c r="R412" t="s">
        <v>74</v>
      </c>
      <c r="S412" t="s">
        <v>74</v>
      </c>
      <c r="T412" t="s">
        <v>74</v>
      </c>
      <c r="U412" t="s">
        <v>74</v>
      </c>
      <c r="V412" t="s">
        <v>6962</v>
      </c>
      <c r="W412" t="s">
        <v>6963</v>
      </c>
      <c r="X412" t="s">
        <v>6964</v>
      </c>
      <c r="Y412" t="s">
        <v>6965</v>
      </c>
      <c r="Z412" t="s">
        <v>6966</v>
      </c>
      <c r="AA412" t="s">
        <v>6967</v>
      </c>
      <c r="AB412" t="s">
        <v>74</v>
      </c>
      <c r="AC412" t="s">
        <v>74</v>
      </c>
      <c r="AD412" t="s">
        <v>74</v>
      </c>
      <c r="AE412" t="s">
        <v>74</v>
      </c>
      <c r="AF412" t="s">
        <v>74</v>
      </c>
      <c r="AG412">
        <v>14</v>
      </c>
      <c r="AH412">
        <v>0</v>
      </c>
      <c r="AI412">
        <v>0</v>
      </c>
      <c r="AJ412">
        <v>3</v>
      </c>
      <c r="AK412">
        <v>6</v>
      </c>
      <c r="AL412" t="s">
        <v>6968</v>
      </c>
      <c r="AM412" t="s">
        <v>6799</v>
      </c>
      <c r="AN412" t="s">
        <v>6969</v>
      </c>
      <c r="AO412" t="s">
        <v>6970</v>
      </c>
      <c r="AP412" t="s">
        <v>74</v>
      </c>
      <c r="AQ412" t="s">
        <v>74</v>
      </c>
      <c r="AR412" t="s">
        <v>6971</v>
      </c>
      <c r="AS412" t="s">
        <v>6972</v>
      </c>
      <c r="AT412" t="s">
        <v>1649</v>
      </c>
      <c r="AU412">
        <v>2024</v>
      </c>
      <c r="AV412">
        <v>14</v>
      </c>
      <c r="AW412">
        <v>1</v>
      </c>
      <c r="AX412" t="s">
        <v>74</v>
      </c>
      <c r="AY412" t="s">
        <v>74</v>
      </c>
      <c r="AZ412" t="s">
        <v>74</v>
      </c>
      <c r="BA412" t="s">
        <v>74</v>
      </c>
      <c r="BB412" t="s">
        <v>74</v>
      </c>
      <c r="BC412" t="s">
        <v>74</v>
      </c>
      <c r="BD412">
        <v>194</v>
      </c>
      <c r="BE412" t="s">
        <v>6973</v>
      </c>
      <c r="BF412" t="str">
        <f>HYPERLINK("http://dx.doi.org/10.1038/s41598-023-49769-9","http://dx.doi.org/10.1038/s41598-023-49769-9")</f>
        <v>http://dx.doi.org/10.1038/s41598-023-49769-9</v>
      </c>
      <c r="BG412" t="s">
        <v>74</v>
      </c>
      <c r="BH412" t="s">
        <v>74</v>
      </c>
      <c r="BI412">
        <v>12</v>
      </c>
      <c r="BJ412" t="s">
        <v>517</v>
      </c>
      <c r="BK412" t="s">
        <v>149</v>
      </c>
      <c r="BL412" t="s">
        <v>518</v>
      </c>
      <c r="BM412" t="s">
        <v>6974</v>
      </c>
      <c r="BN412">
        <v>38167411</v>
      </c>
      <c r="BO412" t="s">
        <v>520</v>
      </c>
      <c r="BP412" t="s">
        <v>74</v>
      </c>
      <c r="BQ412" t="s">
        <v>74</v>
      </c>
      <c r="BR412" t="s">
        <v>104</v>
      </c>
      <c r="BS412" t="s">
        <v>6975</v>
      </c>
      <c r="BT412" t="str">
        <f>HYPERLINK("https%3A%2F%2Fwww.webofscience.com%2Fwos%2Fwoscc%2Ffull-record%2FWOS:001142781100739","View Full Record in Web of Science")</f>
        <v>View Full Record in Web of Science</v>
      </c>
    </row>
    <row r="413" spans="1:72" x14ac:dyDescent="0.25">
      <c r="A413" t="s">
        <v>72</v>
      </c>
      <c r="B413" t="s">
        <v>6976</v>
      </c>
      <c r="C413" t="s">
        <v>74</v>
      </c>
      <c r="D413" t="s">
        <v>74</v>
      </c>
      <c r="E413" t="s">
        <v>74</v>
      </c>
      <c r="F413" t="s">
        <v>6977</v>
      </c>
      <c r="G413" t="s">
        <v>74</v>
      </c>
      <c r="H413" t="s">
        <v>74</v>
      </c>
      <c r="I413" t="s">
        <v>6978</v>
      </c>
      <c r="J413" t="s">
        <v>128</v>
      </c>
      <c r="K413" t="s">
        <v>74</v>
      </c>
      <c r="L413" t="s">
        <v>74</v>
      </c>
      <c r="M413" t="s">
        <v>78</v>
      </c>
      <c r="N413" t="s">
        <v>79</v>
      </c>
      <c r="O413" t="s">
        <v>74</v>
      </c>
      <c r="P413" t="s">
        <v>74</v>
      </c>
      <c r="Q413" t="s">
        <v>74</v>
      </c>
      <c r="R413" t="s">
        <v>74</v>
      </c>
      <c r="S413" t="s">
        <v>74</v>
      </c>
      <c r="T413" t="s">
        <v>6979</v>
      </c>
      <c r="U413" t="s">
        <v>6980</v>
      </c>
      <c r="V413" t="s">
        <v>6981</v>
      </c>
      <c r="W413" t="s">
        <v>6982</v>
      </c>
      <c r="X413" t="s">
        <v>239</v>
      </c>
      <c r="Y413" t="s">
        <v>6983</v>
      </c>
      <c r="Z413" t="s">
        <v>6984</v>
      </c>
      <c r="AA413" t="s">
        <v>6985</v>
      </c>
      <c r="AB413" t="s">
        <v>6986</v>
      </c>
      <c r="AC413" t="s">
        <v>6987</v>
      </c>
      <c r="AD413" t="s">
        <v>6988</v>
      </c>
      <c r="AE413" t="s">
        <v>6989</v>
      </c>
      <c r="AF413" t="s">
        <v>74</v>
      </c>
      <c r="AG413">
        <v>57</v>
      </c>
      <c r="AH413">
        <v>32</v>
      </c>
      <c r="AI413">
        <v>34</v>
      </c>
      <c r="AJ413">
        <v>1</v>
      </c>
      <c r="AK413">
        <v>19</v>
      </c>
      <c r="AL413" t="s">
        <v>138</v>
      </c>
      <c r="AM413" t="s">
        <v>246</v>
      </c>
      <c r="AN413" t="s">
        <v>247</v>
      </c>
      <c r="AO413" t="s">
        <v>141</v>
      </c>
      <c r="AP413" t="s">
        <v>142</v>
      </c>
      <c r="AQ413" t="s">
        <v>74</v>
      </c>
      <c r="AR413" t="s">
        <v>143</v>
      </c>
      <c r="AS413" t="s">
        <v>144</v>
      </c>
      <c r="AT413" t="s">
        <v>2225</v>
      </c>
      <c r="AU413">
        <v>2019</v>
      </c>
      <c r="AV413">
        <v>188</v>
      </c>
      <c r="AW413" t="s">
        <v>74</v>
      </c>
      <c r="AX413" t="s">
        <v>74</v>
      </c>
      <c r="AY413" t="s">
        <v>74</v>
      </c>
      <c r="AZ413" t="s">
        <v>74</v>
      </c>
      <c r="BA413" t="s">
        <v>74</v>
      </c>
      <c r="BB413">
        <v>483</v>
      </c>
      <c r="BC413">
        <v>493</v>
      </c>
      <c r="BD413" t="s">
        <v>74</v>
      </c>
      <c r="BE413" t="s">
        <v>6990</v>
      </c>
      <c r="BF413" t="str">
        <f>HYPERLINK("http://dx.doi.org/10.1016/j.ress.2019.03.054","http://dx.doi.org/10.1016/j.ress.2019.03.054")</f>
        <v>http://dx.doi.org/10.1016/j.ress.2019.03.054</v>
      </c>
      <c r="BG413" t="s">
        <v>74</v>
      </c>
      <c r="BH413" t="s">
        <v>74</v>
      </c>
      <c r="BI413">
        <v>11</v>
      </c>
      <c r="BJ413" t="s">
        <v>148</v>
      </c>
      <c r="BK413" t="s">
        <v>149</v>
      </c>
      <c r="BL413" t="s">
        <v>150</v>
      </c>
      <c r="BM413" t="s">
        <v>6991</v>
      </c>
      <c r="BN413" t="s">
        <v>74</v>
      </c>
      <c r="BO413" t="s">
        <v>400</v>
      </c>
      <c r="BP413" t="s">
        <v>74</v>
      </c>
      <c r="BQ413" t="s">
        <v>74</v>
      </c>
      <c r="BR413" t="s">
        <v>104</v>
      </c>
      <c r="BS413" t="s">
        <v>6992</v>
      </c>
      <c r="BT413" t="str">
        <f>HYPERLINK("https%3A%2F%2Fwww.webofscience.com%2Fwos%2Fwoscc%2Ffull-record%2FWOS:000470341400043","View Full Record in Web of Science")</f>
        <v>View Full Record in Web of Science</v>
      </c>
    </row>
    <row r="414" spans="1:72" x14ac:dyDescent="0.25">
      <c r="A414" t="s">
        <v>72</v>
      </c>
      <c r="B414" t="s">
        <v>6993</v>
      </c>
      <c r="C414" t="s">
        <v>74</v>
      </c>
      <c r="D414" t="s">
        <v>74</v>
      </c>
      <c r="E414" t="s">
        <v>74</v>
      </c>
      <c r="F414" t="s">
        <v>6994</v>
      </c>
      <c r="G414" t="s">
        <v>74</v>
      </c>
      <c r="H414" t="s">
        <v>74</v>
      </c>
      <c r="I414" t="s">
        <v>6995</v>
      </c>
      <c r="J414" t="s">
        <v>1814</v>
      </c>
      <c r="K414" t="s">
        <v>74</v>
      </c>
      <c r="L414" t="s">
        <v>74</v>
      </c>
      <c r="M414" t="s">
        <v>78</v>
      </c>
      <c r="N414" t="s">
        <v>79</v>
      </c>
      <c r="O414" t="s">
        <v>74</v>
      </c>
      <c r="P414" t="s">
        <v>74</v>
      </c>
      <c r="Q414" t="s">
        <v>74</v>
      </c>
      <c r="R414" t="s">
        <v>74</v>
      </c>
      <c r="S414" t="s">
        <v>74</v>
      </c>
      <c r="T414" t="s">
        <v>74</v>
      </c>
      <c r="U414" t="s">
        <v>6996</v>
      </c>
      <c r="V414" t="s">
        <v>6997</v>
      </c>
      <c r="W414" t="s">
        <v>6998</v>
      </c>
      <c r="X414" t="s">
        <v>1344</v>
      </c>
      <c r="Y414" t="s">
        <v>6999</v>
      </c>
      <c r="Z414" t="s">
        <v>1346</v>
      </c>
      <c r="AA414" t="s">
        <v>4649</v>
      </c>
      <c r="AB414" t="s">
        <v>7000</v>
      </c>
      <c r="AC414" t="s">
        <v>74</v>
      </c>
      <c r="AD414" t="s">
        <v>74</v>
      </c>
      <c r="AE414" t="s">
        <v>74</v>
      </c>
      <c r="AF414" t="s">
        <v>74</v>
      </c>
      <c r="AG414">
        <v>47</v>
      </c>
      <c r="AH414">
        <v>21</v>
      </c>
      <c r="AI414">
        <v>22</v>
      </c>
      <c r="AJ414">
        <v>2</v>
      </c>
      <c r="AK414">
        <v>30</v>
      </c>
      <c r="AL414" t="s">
        <v>4967</v>
      </c>
      <c r="AM414" t="s">
        <v>510</v>
      </c>
      <c r="AN414" t="s">
        <v>4968</v>
      </c>
      <c r="AO414" t="s">
        <v>1824</v>
      </c>
      <c r="AP414" t="s">
        <v>1825</v>
      </c>
      <c r="AQ414" t="s">
        <v>74</v>
      </c>
      <c r="AR414" t="s">
        <v>1826</v>
      </c>
      <c r="AS414" t="s">
        <v>1827</v>
      </c>
      <c r="AT414" t="s">
        <v>533</v>
      </c>
      <c r="AU414">
        <v>2019</v>
      </c>
      <c r="AV414">
        <v>208</v>
      </c>
      <c r="AW414" t="s">
        <v>74</v>
      </c>
      <c r="AX414" t="s">
        <v>74</v>
      </c>
      <c r="AY414" t="s">
        <v>74</v>
      </c>
      <c r="AZ414" t="s">
        <v>74</v>
      </c>
      <c r="BA414" t="s">
        <v>74</v>
      </c>
      <c r="BB414">
        <v>329</v>
      </c>
      <c r="BC414">
        <v>342</v>
      </c>
      <c r="BD414" t="s">
        <v>74</v>
      </c>
      <c r="BE414" t="s">
        <v>7001</v>
      </c>
      <c r="BF414" t="str">
        <f>HYPERLINK("http://dx.doi.org/10.1016/j.ijpe.2018.12.014","http://dx.doi.org/10.1016/j.ijpe.2018.12.014")</f>
        <v>http://dx.doi.org/10.1016/j.ijpe.2018.12.014</v>
      </c>
      <c r="BG414" t="s">
        <v>74</v>
      </c>
      <c r="BH414" t="s">
        <v>74</v>
      </c>
      <c r="BI414">
        <v>14</v>
      </c>
      <c r="BJ414" t="s">
        <v>321</v>
      </c>
      <c r="BK414" t="s">
        <v>149</v>
      </c>
      <c r="BL414" t="s">
        <v>150</v>
      </c>
      <c r="BM414" t="s">
        <v>5066</v>
      </c>
      <c r="BN414" t="s">
        <v>74</v>
      </c>
      <c r="BO414" t="s">
        <v>1044</v>
      </c>
      <c r="BP414" t="s">
        <v>74</v>
      </c>
      <c r="BQ414" t="s">
        <v>74</v>
      </c>
      <c r="BR414" t="s">
        <v>104</v>
      </c>
      <c r="BS414" t="s">
        <v>7002</v>
      </c>
      <c r="BT414" t="str">
        <f>HYPERLINK("https%3A%2F%2Fwww.webofscience.com%2Fwos%2Fwoscc%2Ffull-record%2FWOS:000457952300024","View Full Record in Web of Science")</f>
        <v>View Full Record in Web of Science</v>
      </c>
    </row>
    <row r="415" spans="1:72" x14ac:dyDescent="0.25">
      <c r="A415" t="s">
        <v>72</v>
      </c>
      <c r="B415" t="s">
        <v>7003</v>
      </c>
      <c r="C415" t="s">
        <v>74</v>
      </c>
      <c r="D415" t="s">
        <v>74</v>
      </c>
      <c r="E415" t="s">
        <v>74</v>
      </c>
      <c r="F415" t="s">
        <v>7004</v>
      </c>
      <c r="G415" t="s">
        <v>74</v>
      </c>
      <c r="H415" t="s">
        <v>74</v>
      </c>
      <c r="I415" t="s">
        <v>7005</v>
      </c>
      <c r="J415" t="s">
        <v>697</v>
      </c>
      <c r="K415" t="s">
        <v>74</v>
      </c>
      <c r="L415" t="s">
        <v>74</v>
      </c>
      <c r="M415" t="s">
        <v>78</v>
      </c>
      <c r="N415" t="s">
        <v>79</v>
      </c>
      <c r="O415" t="s">
        <v>74</v>
      </c>
      <c r="P415" t="s">
        <v>74</v>
      </c>
      <c r="Q415" t="s">
        <v>74</v>
      </c>
      <c r="R415" t="s">
        <v>74</v>
      </c>
      <c r="S415" t="s">
        <v>74</v>
      </c>
      <c r="T415" t="s">
        <v>7006</v>
      </c>
      <c r="U415" t="s">
        <v>7007</v>
      </c>
      <c r="V415" t="s">
        <v>7008</v>
      </c>
      <c r="W415" t="s">
        <v>7009</v>
      </c>
      <c r="X415" t="s">
        <v>5430</v>
      </c>
      <c r="Y415" t="s">
        <v>7010</v>
      </c>
      <c r="Z415" t="s">
        <v>7011</v>
      </c>
      <c r="AA415" t="s">
        <v>7012</v>
      </c>
      <c r="AB415" t="s">
        <v>7013</v>
      </c>
      <c r="AC415" t="s">
        <v>7014</v>
      </c>
      <c r="AD415" t="s">
        <v>7015</v>
      </c>
      <c r="AE415" t="s">
        <v>7016</v>
      </c>
      <c r="AF415" t="s">
        <v>74</v>
      </c>
      <c r="AG415">
        <v>48</v>
      </c>
      <c r="AH415">
        <v>2</v>
      </c>
      <c r="AI415">
        <v>2</v>
      </c>
      <c r="AJ415">
        <v>3</v>
      </c>
      <c r="AK415">
        <v>6</v>
      </c>
      <c r="AL415" t="s">
        <v>707</v>
      </c>
      <c r="AM415" t="s">
        <v>246</v>
      </c>
      <c r="AN415" t="s">
        <v>708</v>
      </c>
      <c r="AO415" t="s">
        <v>709</v>
      </c>
      <c r="AP415" t="s">
        <v>710</v>
      </c>
      <c r="AQ415" t="s">
        <v>74</v>
      </c>
      <c r="AR415" t="s">
        <v>711</v>
      </c>
      <c r="AS415" t="s">
        <v>712</v>
      </c>
      <c r="AT415" t="s">
        <v>1867</v>
      </c>
      <c r="AU415">
        <v>2024</v>
      </c>
      <c r="AV415">
        <v>190</v>
      </c>
      <c r="AW415" t="s">
        <v>74</v>
      </c>
      <c r="AX415" t="s">
        <v>74</v>
      </c>
      <c r="AY415" t="s">
        <v>74</v>
      </c>
      <c r="AZ415" t="s">
        <v>74</v>
      </c>
      <c r="BA415" t="s">
        <v>74</v>
      </c>
      <c r="BB415" t="s">
        <v>74</v>
      </c>
      <c r="BC415" t="s">
        <v>74</v>
      </c>
      <c r="BD415">
        <v>110083</v>
      </c>
      <c r="BE415" t="s">
        <v>7017</v>
      </c>
      <c r="BF415" t="str">
        <f>HYPERLINK("http://dx.doi.org/10.1016/j.cie.2024.110083","http://dx.doi.org/10.1016/j.cie.2024.110083")</f>
        <v>http://dx.doi.org/10.1016/j.cie.2024.110083</v>
      </c>
      <c r="BG415" t="s">
        <v>74</v>
      </c>
      <c r="BH415" t="s">
        <v>2003</v>
      </c>
      <c r="BI415">
        <v>17</v>
      </c>
      <c r="BJ415" t="s">
        <v>715</v>
      </c>
      <c r="BK415" t="s">
        <v>149</v>
      </c>
      <c r="BL415" t="s">
        <v>716</v>
      </c>
      <c r="BM415" t="s">
        <v>7018</v>
      </c>
      <c r="BN415" t="s">
        <v>74</v>
      </c>
      <c r="BO415" t="s">
        <v>1653</v>
      </c>
      <c r="BP415" t="s">
        <v>74</v>
      </c>
      <c r="BQ415" t="s">
        <v>74</v>
      </c>
      <c r="BR415" t="s">
        <v>104</v>
      </c>
      <c r="BS415" t="s">
        <v>7019</v>
      </c>
      <c r="BT415" t="str">
        <f>HYPERLINK("https%3A%2F%2Fwww.webofscience.com%2Fwos%2Fwoscc%2Ffull-record%2FWOS:001217245100001","View Full Record in Web of Science")</f>
        <v>View Full Record in Web of Science</v>
      </c>
    </row>
    <row r="416" spans="1:72" x14ac:dyDescent="0.25">
      <c r="A416" t="s">
        <v>72</v>
      </c>
      <c r="B416" t="s">
        <v>7020</v>
      </c>
      <c r="C416" t="s">
        <v>74</v>
      </c>
      <c r="D416" t="s">
        <v>74</v>
      </c>
      <c r="E416" t="s">
        <v>74</v>
      </c>
      <c r="F416" t="s">
        <v>7021</v>
      </c>
      <c r="G416" t="s">
        <v>74</v>
      </c>
      <c r="H416" t="s">
        <v>74</v>
      </c>
      <c r="I416" t="s">
        <v>7022</v>
      </c>
      <c r="J416" t="s">
        <v>1557</v>
      </c>
      <c r="K416" t="s">
        <v>74</v>
      </c>
      <c r="L416" t="s">
        <v>74</v>
      </c>
      <c r="M416" t="s">
        <v>78</v>
      </c>
      <c r="N416" t="s">
        <v>79</v>
      </c>
      <c r="O416" t="s">
        <v>74</v>
      </c>
      <c r="P416" t="s">
        <v>74</v>
      </c>
      <c r="Q416" t="s">
        <v>74</v>
      </c>
      <c r="R416" t="s">
        <v>74</v>
      </c>
      <c r="S416" t="s">
        <v>74</v>
      </c>
      <c r="T416" t="s">
        <v>7023</v>
      </c>
      <c r="U416" t="s">
        <v>7024</v>
      </c>
      <c r="V416" t="s">
        <v>7025</v>
      </c>
      <c r="W416" t="s">
        <v>7026</v>
      </c>
      <c r="X416" t="s">
        <v>74</v>
      </c>
      <c r="Y416" t="s">
        <v>7027</v>
      </c>
      <c r="Z416" t="s">
        <v>7028</v>
      </c>
      <c r="AA416" t="s">
        <v>7029</v>
      </c>
      <c r="AB416" t="s">
        <v>7030</v>
      </c>
      <c r="AC416" t="s">
        <v>7031</v>
      </c>
      <c r="AD416" t="s">
        <v>7032</v>
      </c>
      <c r="AE416" t="s">
        <v>7033</v>
      </c>
      <c r="AF416" t="s">
        <v>74</v>
      </c>
      <c r="AG416">
        <v>56</v>
      </c>
      <c r="AH416">
        <v>5</v>
      </c>
      <c r="AI416">
        <v>5</v>
      </c>
      <c r="AJ416">
        <v>1</v>
      </c>
      <c r="AK416">
        <v>39</v>
      </c>
      <c r="AL416" t="s">
        <v>707</v>
      </c>
      <c r="AM416" t="s">
        <v>246</v>
      </c>
      <c r="AN416" t="s">
        <v>708</v>
      </c>
      <c r="AO416" t="s">
        <v>1569</v>
      </c>
      <c r="AP416" t="s">
        <v>1570</v>
      </c>
      <c r="AQ416" t="s">
        <v>74</v>
      </c>
      <c r="AR416" t="s">
        <v>1571</v>
      </c>
      <c r="AS416" t="s">
        <v>1572</v>
      </c>
      <c r="AT416" t="s">
        <v>4404</v>
      </c>
      <c r="AU416">
        <v>2019</v>
      </c>
      <c r="AV416">
        <v>117</v>
      </c>
      <c r="AW416" t="s">
        <v>74</v>
      </c>
      <c r="AX416" t="s">
        <v>74</v>
      </c>
      <c r="AY416" t="s">
        <v>74</v>
      </c>
      <c r="AZ416" t="s">
        <v>74</v>
      </c>
      <c r="BA416" t="s">
        <v>74</v>
      </c>
      <c r="BB416">
        <v>75</v>
      </c>
      <c r="BC416">
        <v>89</v>
      </c>
      <c r="BD416" t="s">
        <v>74</v>
      </c>
      <c r="BE416" t="s">
        <v>7034</v>
      </c>
      <c r="BF416" t="str">
        <f>HYPERLINK("http://dx.doi.org/10.1016/j.eswa.2018.09.035","http://dx.doi.org/10.1016/j.eswa.2018.09.035")</f>
        <v>http://dx.doi.org/10.1016/j.eswa.2018.09.035</v>
      </c>
      <c r="BG416" t="s">
        <v>74</v>
      </c>
      <c r="BH416" t="s">
        <v>74</v>
      </c>
      <c r="BI416">
        <v>15</v>
      </c>
      <c r="BJ416" t="s">
        <v>1575</v>
      </c>
      <c r="BK416" t="s">
        <v>322</v>
      </c>
      <c r="BL416" t="s">
        <v>1576</v>
      </c>
      <c r="BM416" t="s">
        <v>7035</v>
      </c>
      <c r="BN416" t="s">
        <v>74</v>
      </c>
      <c r="BO416" t="s">
        <v>74</v>
      </c>
      <c r="BP416" t="s">
        <v>74</v>
      </c>
      <c r="BQ416" t="s">
        <v>74</v>
      </c>
      <c r="BR416" t="s">
        <v>104</v>
      </c>
      <c r="BS416" t="s">
        <v>7036</v>
      </c>
      <c r="BT416" t="str">
        <f>HYPERLINK("https%3A%2F%2Fwww.webofscience.com%2Fwos%2Fwoscc%2Ffull-record%2FWOS:000449892000006","View Full Record in Web of Science")</f>
        <v>View Full Record in Web of Science</v>
      </c>
    </row>
    <row r="417" spans="1:72" x14ac:dyDescent="0.25">
      <c r="A417" t="s">
        <v>72</v>
      </c>
      <c r="B417" t="s">
        <v>7037</v>
      </c>
      <c r="C417" t="s">
        <v>74</v>
      </c>
      <c r="D417" t="s">
        <v>74</v>
      </c>
      <c r="E417" t="s">
        <v>74</v>
      </c>
      <c r="F417" t="s">
        <v>7038</v>
      </c>
      <c r="G417" t="s">
        <v>74</v>
      </c>
      <c r="H417" t="s">
        <v>74</v>
      </c>
      <c r="I417" t="s">
        <v>7039</v>
      </c>
      <c r="J417" t="s">
        <v>542</v>
      </c>
      <c r="K417" t="s">
        <v>74</v>
      </c>
      <c r="L417" t="s">
        <v>74</v>
      </c>
      <c r="M417" t="s">
        <v>78</v>
      </c>
      <c r="N417" t="s">
        <v>79</v>
      </c>
      <c r="O417" t="s">
        <v>74</v>
      </c>
      <c r="P417" t="s">
        <v>74</v>
      </c>
      <c r="Q417" t="s">
        <v>74</v>
      </c>
      <c r="R417" t="s">
        <v>74</v>
      </c>
      <c r="S417" t="s">
        <v>74</v>
      </c>
      <c r="T417" t="s">
        <v>7040</v>
      </c>
      <c r="U417" t="s">
        <v>7041</v>
      </c>
      <c r="V417" t="s">
        <v>7042</v>
      </c>
      <c r="W417" t="s">
        <v>7043</v>
      </c>
      <c r="X417" t="s">
        <v>7044</v>
      </c>
      <c r="Y417" t="s">
        <v>7045</v>
      </c>
      <c r="Z417" t="s">
        <v>7046</v>
      </c>
      <c r="AA417" t="s">
        <v>7047</v>
      </c>
      <c r="AB417" t="s">
        <v>7048</v>
      </c>
      <c r="AC417" t="s">
        <v>7049</v>
      </c>
      <c r="AD417" t="s">
        <v>7050</v>
      </c>
      <c r="AE417" t="s">
        <v>7051</v>
      </c>
      <c r="AF417" t="s">
        <v>74</v>
      </c>
      <c r="AG417">
        <v>22</v>
      </c>
      <c r="AH417">
        <v>1</v>
      </c>
      <c r="AI417">
        <v>1</v>
      </c>
      <c r="AJ417">
        <v>2</v>
      </c>
      <c r="AK417">
        <v>4</v>
      </c>
      <c r="AL417" t="s">
        <v>552</v>
      </c>
      <c r="AM417" t="s">
        <v>553</v>
      </c>
      <c r="AN417" t="s">
        <v>554</v>
      </c>
      <c r="AO417" t="s">
        <v>555</v>
      </c>
      <c r="AP417" t="s">
        <v>556</v>
      </c>
      <c r="AQ417" t="s">
        <v>74</v>
      </c>
      <c r="AR417" t="s">
        <v>557</v>
      </c>
      <c r="AS417" t="s">
        <v>558</v>
      </c>
      <c r="AT417" t="s">
        <v>2225</v>
      </c>
      <c r="AU417">
        <v>2021</v>
      </c>
      <c r="AV417">
        <v>235</v>
      </c>
      <c r="AW417">
        <v>4</v>
      </c>
      <c r="AX417" t="s">
        <v>74</v>
      </c>
      <c r="AY417" t="s">
        <v>74</v>
      </c>
      <c r="AZ417" t="s">
        <v>560</v>
      </c>
      <c r="BA417" t="s">
        <v>74</v>
      </c>
      <c r="BB417">
        <v>568</v>
      </c>
      <c r="BC417">
        <v>579</v>
      </c>
      <c r="BD417" t="s">
        <v>7052</v>
      </c>
      <c r="BE417" t="s">
        <v>7053</v>
      </c>
      <c r="BF417" t="str">
        <f>HYPERLINK("http://dx.doi.org/10.1177/1748006X211020151","http://dx.doi.org/10.1177/1748006X211020151")</f>
        <v>http://dx.doi.org/10.1177/1748006X211020151</v>
      </c>
      <c r="BG417" t="s">
        <v>74</v>
      </c>
      <c r="BH417" t="s">
        <v>1614</v>
      </c>
      <c r="BI417">
        <v>12</v>
      </c>
      <c r="BJ417" t="s">
        <v>494</v>
      </c>
      <c r="BK417" t="s">
        <v>149</v>
      </c>
      <c r="BL417" t="s">
        <v>150</v>
      </c>
      <c r="BM417" t="s">
        <v>4848</v>
      </c>
      <c r="BN417" t="s">
        <v>74</v>
      </c>
      <c r="BO417" t="s">
        <v>74</v>
      </c>
      <c r="BP417" t="s">
        <v>74</v>
      </c>
      <c r="BQ417" t="s">
        <v>74</v>
      </c>
      <c r="BR417" t="s">
        <v>104</v>
      </c>
      <c r="BS417" t="s">
        <v>7054</v>
      </c>
      <c r="BT417" t="str">
        <f>HYPERLINK("https%3A%2F%2Fwww.webofscience.com%2Fwos%2Fwoscc%2Ffull-record%2FWOS:000657080600001","View Full Record in Web of Science")</f>
        <v>View Full Record in Web of Science</v>
      </c>
    </row>
    <row r="418" spans="1:72" x14ac:dyDescent="0.25">
      <c r="A418" t="s">
        <v>72</v>
      </c>
      <c r="B418" t="s">
        <v>7055</v>
      </c>
      <c r="C418" t="s">
        <v>74</v>
      </c>
      <c r="D418" t="s">
        <v>74</v>
      </c>
      <c r="E418" t="s">
        <v>74</v>
      </c>
      <c r="F418" t="s">
        <v>7056</v>
      </c>
      <c r="G418" t="s">
        <v>74</v>
      </c>
      <c r="H418" t="s">
        <v>74</v>
      </c>
      <c r="I418" t="s">
        <v>7057</v>
      </c>
      <c r="J418" t="s">
        <v>6076</v>
      </c>
      <c r="K418" t="s">
        <v>74</v>
      </c>
      <c r="L418" t="s">
        <v>74</v>
      </c>
      <c r="M418" t="s">
        <v>78</v>
      </c>
      <c r="N418" t="s">
        <v>79</v>
      </c>
      <c r="O418" t="s">
        <v>74</v>
      </c>
      <c r="P418" t="s">
        <v>74</v>
      </c>
      <c r="Q418" t="s">
        <v>74</v>
      </c>
      <c r="R418" t="s">
        <v>74</v>
      </c>
      <c r="S418" t="s">
        <v>74</v>
      </c>
      <c r="T418" t="s">
        <v>7058</v>
      </c>
      <c r="U418" t="s">
        <v>7059</v>
      </c>
      <c r="V418" t="s">
        <v>7060</v>
      </c>
      <c r="W418" t="s">
        <v>7061</v>
      </c>
      <c r="X418" t="s">
        <v>7062</v>
      </c>
      <c r="Y418" t="s">
        <v>7063</v>
      </c>
      <c r="Z418" t="s">
        <v>7064</v>
      </c>
      <c r="AA418" t="s">
        <v>7065</v>
      </c>
      <c r="AB418" t="s">
        <v>7066</v>
      </c>
      <c r="AC418" t="s">
        <v>74</v>
      </c>
      <c r="AD418" t="s">
        <v>74</v>
      </c>
      <c r="AE418" t="s">
        <v>74</v>
      </c>
      <c r="AF418" t="s">
        <v>74</v>
      </c>
      <c r="AG418">
        <v>54</v>
      </c>
      <c r="AH418">
        <v>7</v>
      </c>
      <c r="AI418">
        <v>8</v>
      </c>
      <c r="AJ418">
        <v>3</v>
      </c>
      <c r="AK418">
        <v>15</v>
      </c>
      <c r="AL418" t="s">
        <v>6088</v>
      </c>
      <c r="AM418" t="s">
        <v>510</v>
      </c>
      <c r="AN418" t="s">
        <v>6089</v>
      </c>
      <c r="AO418" t="s">
        <v>6090</v>
      </c>
      <c r="AP418" t="s">
        <v>6091</v>
      </c>
      <c r="AQ418" t="s">
        <v>74</v>
      </c>
      <c r="AR418" t="s">
        <v>6092</v>
      </c>
      <c r="AS418" t="s">
        <v>6093</v>
      </c>
      <c r="AT418" t="s">
        <v>74</v>
      </c>
      <c r="AU418">
        <v>2021</v>
      </c>
      <c r="AV418">
        <v>41</v>
      </c>
      <c r="AW418">
        <v>1</v>
      </c>
      <c r="AX418" t="s">
        <v>74</v>
      </c>
      <c r="AY418" t="s">
        <v>74</v>
      </c>
      <c r="AZ418" t="s">
        <v>74</v>
      </c>
      <c r="BA418" t="s">
        <v>74</v>
      </c>
      <c r="BB418">
        <v>199</v>
      </c>
      <c r="BC418">
        <v>217</v>
      </c>
      <c r="BD418" t="s">
        <v>74</v>
      </c>
      <c r="BE418" t="s">
        <v>7067</v>
      </c>
      <c r="BF418" t="str">
        <f>HYPERLINK("http://dx.doi.org/10.3233/JIFS-201407","http://dx.doi.org/10.3233/JIFS-201407")</f>
        <v>http://dx.doi.org/10.3233/JIFS-201407</v>
      </c>
      <c r="BG418" t="s">
        <v>74</v>
      </c>
      <c r="BH418" t="s">
        <v>74</v>
      </c>
      <c r="BI418">
        <v>19</v>
      </c>
      <c r="BJ418" t="s">
        <v>1267</v>
      </c>
      <c r="BK418" t="s">
        <v>149</v>
      </c>
      <c r="BL418" t="s">
        <v>1228</v>
      </c>
      <c r="BM418" t="s">
        <v>7068</v>
      </c>
      <c r="BN418" t="s">
        <v>74</v>
      </c>
      <c r="BO418" t="s">
        <v>74</v>
      </c>
      <c r="BP418" t="s">
        <v>74</v>
      </c>
      <c r="BQ418" t="s">
        <v>74</v>
      </c>
      <c r="BR418" t="s">
        <v>104</v>
      </c>
      <c r="BS418" t="s">
        <v>7069</v>
      </c>
      <c r="BT418" t="str">
        <f>HYPERLINK("https%3A%2F%2Fwww.webofscience.com%2Fwos%2Fwoscc%2Ffull-record%2FWOS:000685896700014","View Full Record in Web of Science")</f>
        <v>View Full Record in Web of Science</v>
      </c>
    </row>
    <row r="419" spans="1:72" x14ac:dyDescent="0.25">
      <c r="A419" t="s">
        <v>72</v>
      </c>
      <c r="B419" t="s">
        <v>7070</v>
      </c>
      <c r="C419" t="s">
        <v>74</v>
      </c>
      <c r="D419" t="s">
        <v>74</v>
      </c>
      <c r="E419" t="s">
        <v>74</v>
      </c>
      <c r="F419" t="s">
        <v>7071</v>
      </c>
      <c r="G419" t="s">
        <v>74</v>
      </c>
      <c r="H419" t="s">
        <v>74</v>
      </c>
      <c r="I419" t="s">
        <v>7072</v>
      </c>
      <c r="J419" t="s">
        <v>722</v>
      </c>
      <c r="K419" t="s">
        <v>74</v>
      </c>
      <c r="L419" t="s">
        <v>74</v>
      </c>
      <c r="M419" t="s">
        <v>78</v>
      </c>
      <c r="N419" t="s">
        <v>79</v>
      </c>
      <c r="O419" t="s">
        <v>74</v>
      </c>
      <c r="P419" t="s">
        <v>74</v>
      </c>
      <c r="Q419" t="s">
        <v>74</v>
      </c>
      <c r="R419" t="s">
        <v>74</v>
      </c>
      <c r="S419" t="s">
        <v>74</v>
      </c>
      <c r="T419" t="s">
        <v>7073</v>
      </c>
      <c r="U419" t="s">
        <v>7074</v>
      </c>
      <c r="V419" t="s">
        <v>7075</v>
      </c>
      <c r="W419" t="s">
        <v>7076</v>
      </c>
      <c r="X419" t="s">
        <v>7077</v>
      </c>
      <c r="Y419" t="s">
        <v>7078</v>
      </c>
      <c r="Z419" t="s">
        <v>7079</v>
      </c>
      <c r="AA419" t="s">
        <v>7080</v>
      </c>
      <c r="AB419" t="s">
        <v>7081</v>
      </c>
      <c r="AC419" t="s">
        <v>74</v>
      </c>
      <c r="AD419" t="s">
        <v>74</v>
      </c>
      <c r="AE419" t="s">
        <v>74</v>
      </c>
      <c r="AF419" t="s">
        <v>74</v>
      </c>
      <c r="AG419">
        <v>35</v>
      </c>
      <c r="AH419">
        <v>24</v>
      </c>
      <c r="AI419">
        <v>24</v>
      </c>
      <c r="AJ419">
        <v>2</v>
      </c>
      <c r="AK419">
        <v>25</v>
      </c>
      <c r="AL419" t="s">
        <v>732</v>
      </c>
      <c r="AM419" t="s">
        <v>733</v>
      </c>
      <c r="AN419" t="s">
        <v>734</v>
      </c>
      <c r="AO419" t="s">
        <v>735</v>
      </c>
      <c r="AP419" t="s">
        <v>736</v>
      </c>
      <c r="AQ419" t="s">
        <v>74</v>
      </c>
      <c r="AR419" t="s">
        <v>737</v>
      </c>
      <c r="AS419" t="s">
        <v>738</v>
      </c>
      <c r="AT419" t="s">
        <v>74</v>
      </c>
      <c r="AU419">
        <v>2019</v>
      </c>
      <c r="AV419">
        <v>13</v>
      </c>
      <c r="AW419">
        <v>2</v>
      </c>
      <c r="AX419" t="s">
        <v>74</v>
      </c>
      <c r="AY419" t="s">
        <v>74</v>
      </c>
      <c r="AZ419" t="s">
        <v>74</v>
      </c>
      <c r="BA419" t="s">
        <v>74</v>
      </c>
      <c r="BB419">
        <v>149</v>
      </c>
      <c r="BC419">
        <v>177</v>
      </c>
      <c r="BD419" t="s">
        <v>74</v>
      </c>
      <c r="BE419" t="s">
        <v>7082</v>
      </c>
      <c r="BF419" t="str">
        <f>HYPERLINK("http://dx.doi.org/10.1504/EJIE.2019.098508","http://dx.doi.org/10.1504/EJIE.2019.098508")</f>
        <v>http://dx.doi.org/10.1504/EJIE.2019.098508</v>
      </c>
      <c r="BG419" t="s">
        <v>74</v>
      </c>
      <c r="BH419" t="s">
        <v>74</v>
      </c>
      <c r="BI419">
        <v>29</v>
      </c>
      <c r="BJ419" t="s">
        <v>148</v>
      </c>
      <c r="BK419" t="s">
        <v>149</v>
      </c>
      <c r="BL419" t="s">
        <v>150</v>
      </c>
      <c r="BM419" t="s">
        <v>7083</v>
      </c>
      <c r="BN419" t="s">
        <v>74</v>
      </c>
      <c r="BO419" t="s">
        <v>74</v>
      </c>
      <c r="BP419" t="s">
        <v>74</v>
      </c>
      <c r="BQ419" t="s">
        <v>74</v>
      </c>
      <c r="BR419" t="s">
        <v>104</v>
      </c>
      <c r="BS419" t="s">
        <v>7084</v>
      </c>
      <c r="BT419" t="str">
        <f>HYPERLINK("https%3A%2F%2Fwww.webofscience.com%2Fwos%2Fwoscc%2Ffull-record%2FWOS:000462462000001","View Full Record in Web of Science")</f>
        <v>View Full Record in Web of Science</v>
      </c>
    </row>
    <row r="420" spans="1:72" x14ac:dyDescent="0.25">
      <c r="A420" t="s">
        <v>72</v>
      </c>
      <c r="B420" t="s">
        <v>7085</v>
      </c>
      <c r="C420" t="s">
        <v>74</v>
      </c>
      <c r="D420" t="s">
        <v>74</v>
      </c>
      <c r="E420" t="s">
        <v>74</v>
      </c>
      <c r="F420" t="s">
        <v>7086</v>
      </c>
      <c r="G420" t="s">
        <v>74</v>
      </c>
      <c r="H420" t="s">
        <v>74</v>
      </c>
      <c r="I420" t="s">
        <v>7087</v>
      </c>
      <c r="J420" t="s">
        <v>4387</v>
      </c>
      <c r="K420" t="s">
        <v>74</v>
      </c>
      <c r="L420" t="s">
        <v>74</v>
      </c>
      <c r="M420" t="s">
        <v>78</v>
      </c>
      <c r="N420" t="s">
        <v>79</v>
      </c>
      <c r="O420" t="s">
        <v>74</v>
      </c>
      <c r="P420" t="s">
        <v>74</v>
      </c>
      <c r="Q420" t="s">
        <v>74</v>
      </c>
      <c r="R420" t="s">
        <v>74</v>
      </c>
      <c r="S420" t="s">
        <v>74</v>
      </c>
      <c r="T420" t="s">
        <v>7088</v>
      </c>
      <c r="U420" t="s">
        <v>7089</v>
      </c>
      <c r="V420" t="s">
        <v>7090</v>
      </c>
      <c r="W420" t="s">
        <v>7091</v>
      </c>
      <c r="X420" t="s">
        <v>7092</v>
      </c>
      <c r="Y420" t="s">
        <v>7093</v>
      </c>
      <c r="Z420" t="s">
        <v>7094</v>
      </c>
      <c r="AA420" t="s">
        <v>7095</v>
      </c>
      <c r="AB420" t="s">
        <v>7096</v>
      </c>
      <c r="AC420" t="s">
        <v>74</v>
      </c>
      <c r="AD420" t="s">
        <v>74</v>
      </c>
      <c r="AE420" t="s">
        <v>74</v>
      </c>
      <c r="AF420" t="s">
        <v>74</v>
      </c>
      <c r="AG420">
        <v>61</v>
      </c>
      <c r="AH420">
        <v>5</v>
      </c>
      <c r="AI420">
        <v>5</v>
      </c>
      <c r="AJ420">
        <v>1</v>
      </c>
      <c r="AK420">
        <v>14</v>
      </c>
      <c r="AL420" t="s">
        <v>339</v>
      </c>
      <c r="AM420" t="s">
        <v>340</v>
      </c>
      <c r="AN420" t="s">
        <v>341</v>
      </c>
      <c r="AO420" t="s">
        <v>4400</v>
      </c>
      <c r="AP420" t="s">
        <v>4401</v>
      </c>
      <c r="AQ420" t="s">
        <v>74</v>
      </c>
      <c r="AR420" t="s">
        <v>4402</v>
      </c>
      <c r="AS420" t="s">
        <v>4403</v>
      </c>
      <c r="AT420" t="s">
        <v>3979</v>
      </c>
      <c r="AU420">
        <v>2022</v>
      </c>
      <c r="AV420">
        <v>148</v>
      </c>
      <c r="AW420">
        <v>1</v>
      </c>
      <c r="AX420" t="s">
        <v>74</v>
      </c>
      <c r="AY420" t="s">
        <v>74</v>
      </c>
      <c r="AZ420" t="s">
        <v>74</v>
      </c>
      <c r="BA420" t="s">
        <v>74</v>
      </c>
      <c r="BB420" t="s">
        <v>74</v>
      </c>
      <c r="BC420" t="s">
        <v>74</v>
      </c>
      <c r="BD420">
        <v>4021188</v>
      </c>
      <c r="BE420" t="s">
        <v>7097</v>
      </c>
      <c r="BF420" t="str">
        <f>HYPERLINK("http://dx.doi.org/10.1061/(ASCE)CO.1943-7862.0002221","http://dx.doi.org/10.1061/(ASCE)CO.1943-7862.0002221")</f>
        <v>http://dx.doi.org/10.1061/(ASCE)CO.1943-7862.0002221</v>
      </c>
      <c r="BG420" t="s">
        <v>74</v>
      </c>
      <c r="BH420" t="s">
        <v>74</v>
      </c>
      <c r="BI420">
        <v>12</v>
      </c>
      <c r="BJ420" t="s">
        <v>4406</v>
      </c>
      <c r="BK420" t="s">
        <v>149</v>
      </c>
      <c r="BL420" t="s">
        <v>4407</v>
      </c>
      <c r="BM420" t="s">
        <v>7098</v>
      </c>
      <c r="BN420" t="s">
        <v>74</v>
      </c>
      <c r="BO420" t="s">
        <v>74</v>
      </c>
      <c r="BP420" t="s">
        <v>74</v>
      </c>
      <c r="BQ420" t="s">
        <v>74</v>
      </c>
      <c r="BR420" t="s">
        <v>104</v>
      </c>
      <c r="BS420" t="s">
        <v>7099</v>
      </c>
      <c r="BT420" t="str">
        <f>HYPERLINK("https%3A%2F%2Fwww.webofscience.com%2Fwos%2Fwoscc%2Ffull-record%2FWOS:000719532100013","View Full Record in Web of Science")</f>
        <v>View Full Record in Web of Science</v>
      </c>
    </row>
    <row r="421" spans="1:72" x14ac:dyDescent="0.25">
      <c r="A421" t="s">
        <v>72</v>
      </c>
      <c r="B421" t="s">
        <v>7100</v>
      </c>
      <c r="C421" t="s">
        <v>74</v>
      </c>
      <c r="D421" t="s">
        <v>74</v>
      </c>
      <c r="E421" t="s">
        <v>74</v>
      </c>
      <c r="F421" t="s">
        <v>7101</v>
      </c>
      <c r="G421" t="s">
        <v>74</v>
      </c>
      <c r="H421" t="s">
        <v>74</v>
      </c>
      <c r="I421" t="s">
        <v>7102</v>
      </c>
      <c r="J421" t="s">
        <v>128</v>
      </c>
      <c r="K421" t="s">
        <v>74</v>
      </c>
      <c r="L421" t="s">
        <v>74</v>
      </c>
      <c r="M421" t="s">
        <v>78</v>
      </c>
      <c r="N421" t="s">
        <v>79</v>
      </c>
      <c r="O421" t="s">
        <v>74</v>
      </c>
      <c r="P421" t="s">
        <v>74</v>
      </c>
      <c r="Q421" t="s">
        <v>74</v>
      </c>
      <c r="R421" t="s">
        <v>74</v>
      </c>
      <c r="S421" t="s">
        <v>74</v>
      </c>
      <c r="T421" t="s">
        <v>7103</v>
      </c>
      <c r="U421" t="s">
        <v>7104</v>
      </c>
      <c r="V421" t="s">
        <v>7105</v>
      </c>
      <c r="W421" t="s">
        <v>7106</v>
      </c>
      <c r="X421" t="s">
        <v>7107</v>
      </c>
      <c r="Y421" t="s">
        <v>7108</v>
      </c>
      <c r="Z421" t="s">
        <v>7109</v>
      </c>
      <c r="AA421" t="s">
        <v>7110</v>
      </c>
      <c r="AB421" t="s">
        <v>74</v>
      </c>
      <c r="AC421" t="s">
        <v>74</v>
      </c>
      <c r="AD421" t="s">
        <v>74</v>
      </c>
      <c r="AE421" t="s">
        <v>74</v>
      </c>
      <c r="AF421" t="s">
        <v>74</v>
      </c>
      <c r="AG421">
        <v>25</v>
      </c>
      <c r="AH421">
        <v>8</v>
      </c>
      <c r="AI421">
        <v>10</v>
      </c>
      <c r="AJ421">
        <v>3</v>
      </c>
      <c r="AK421">
        <v>41</v>
      </c>
      <c r="AL421" t="s">
        <v>138</v>
      </c>
      <c r="AM421" t="s">
        <v>246</v>
      </c>
      <c r="AN421" t="s">
        <v>247</v>
      </c>
      <c r="AO421" t="s">
        <v>141</v>
      </c>
      <c r="AP421" t="s">
        <v>142</v>
      </c>
      <c r="AQ421" t="s">
        <v>74</v>
      </c>
      <c r="AR421" t="s">
        <v>143</v>
      </c>
      <c r="AS421" t="s">
        <v>144</v>
      </c>
      <c r="AT421" t="s">
        <v>533</v>
      </c>
      <c r="AU421">
        <v>2019</v>
      </c>
      <c r="AV421">
        <v>182</v>
      </c>
      <c r="AW421" t="s">
        <v>74</v>
      </c>
      <c r="AX421" t="s">
        <v>74</v>
      </c>
      <c r="AY421" t="s">
        <v>74</v>
      </c>
      <c r="AZ421" t="s">
        <v>74</v>
      </c>
      <c r="BA421" t="s">
        <v>74</v>
      </c>
      <c r="BB421">
        <v>142</v>
      </c>
      <c r="BC421">
        <v>151</v>
      </c>
      <c r="BD421" t="s">
        <v>74</v>
      </c>
      <c r="BE421" t="s">
        <v>7111</v>
      </c>
      <c r="BF421" t="str">
        <f>HYPERLINK("http://dx.doi.org/10.1016/j.ress.2018.10.014","http://dx.doi.org/10.1016/j.ress.2018.10.014")</f>
        <v>http://dx.doi.org/10.1016/j.ress.2018.10.014</v>
      </c>
      <c r="BG421" t="s">
        <v>74</v>
      </c>
      <c r="BH421" t="s">
        <v>74</v>
      </c>
      <c r="BI421">
        <v>10</v>
      </c>
      <c r="BJ421" t="s">
        <v>148</v>
      </c>
      <c r="BK421" t="s">
        <v>149</v>
      </c>
      <c r="BL421" t="s">
        <v>150</v>
      </c>
      <c r="BM421" t="s">
        <v>7112</v>
      </c>
      <c r="BN421" t="s">
        <v>74</v>
      </c>
      <c r="BO421" t="s">
        <v>74</v>
      </c>
      <c r="BP421" t="s">
        <v>74</v>
      </c>
      <c r="BQ421" t="s">
        <v>74</v>
      </c>
      <c r="BR421" t="s">
        <v>104</v>
      </c>
      <c r="BS421" t="s">
        <v>7113</v>
      </c>
      <c r="BT421" t="str">
        <f>HYPERLINK("https%3A%2F%2Fwww.webofscience.com%2Fwos%2Fwoscc%2Ffull-record%2FWOS:000453495100013","View Full Record in Web of Science")</f>
        <v>View Full Record in Web of Science</v>
      </c>
    </row>
    <row r="422" spans="1:72" x14ac:dyDescent="0.25">
      <c r="A422" t="s">
        <v>72</v>
      </c>
      <c r="B422" t="s">
        <v>7114</v>
      </c>
      <c r="C422" t="s">
        <v>74</v>
      </c>
      <c r="D422" t="s">
        <v>74</v>
      </c>
      <c r="E422" t="s">
        <v>74</v>
      </c>
      <c r="F422" t="s">
        <v>7115</v>
      </c>
      <c r="G422" t="s">
        <v>74</v>
      </c>
      <c r="H422" t="s">
        <v>74</v>
      </c>
      <c r="I422" t="s">
        <v>7116</v>
      </c>
      <c r="J422" t="s">
        <v>6961</v>
      </c>
      <c r="K422" t="s">
        <v>74</v>
      </c>
      <c r="L422" t="s">
        <v>74</v>
      </c>
      <c r="M422" t="s">
        <v>78</v>
      </c>
      <c r="N422" t="s">
        <v>79</v>
      </c>
      <c r="O422" t="s">
        <v>74</v>
      </c>
      <c r="P422" t="s">
        <v>74</v>
      </c>
      <c r="Q422" t="s">
        <v>74</v>
      </c>
      <c r="R422" t="s">
        <v>74</v>
      </c>
      <c r="S422" t="s">
        <v>74</v>
      </c>
      <c r="T422" t="s">
        <v>74</v>
      </c>
      <c r="U422" t="s">
        <v>7117</v>
      </c>
      <c r="V422" t="s">
        <v>7118</v>
      </c>
      <c r="W422" t="s">
        <v>7119</v>
      </c>
      <c r="X422" t="s">
        <v>7120</v>
      </c>
      <c r="Y422" t="s">
        <v>7121</v>
      </c>
      <c r="Z422" t="s">
        <v>7122</v>
      </c>
      <c r="AA422" t="s">
        <v>7123</v>
      </c>
      <c r="AB422" t="s">
        <v>7124</v>
      </c>
      <c r="AC422" t="s">
        <v>74</v>
      </c>
      <c r="AD422" t="s">
        <v>74</v>
      </c>
      <c r="AE422" t="s">
        <v>74</v>
      </c>
      <c r="AF422" t="s">
        <v>74</v>
      </c>
      <c r="AG422">
        <v>44</v>
      </c>
      <c r="AH422">
        <v>3</v>
      </c>
      <c r="AI422">
        <v>3</v>
      </c>
      <c r="AJ422">
        <v>2</v>
      </c>
      <c r="AK422">
        <v>20</v>
      </c>
      <c r="AL422" t="s">
        <v>6968</v>
      </c>
      <c r="AM422" t="s">
        <v>6799</v>
      </c>
      <c r="AN422" t="s">
        <v>6969</v>
      </c>
      <c r="AO422" t="s">
        <v>6970</v>
      </c>
      <c r="AP422" t="s">
        <v>74</v>
      </c>
      <c r="AQ422" t="s">
        <v>74</v>
      </c>
      <c r="AR422" t="s">
        <v>6971</v>
      </c>
      <c r="AS422" t="s">
        <v>6972</v>
      </c>
      <c r="AT422" t="s">
        <v>7125</v>
      </c>
      <c r="AU422">
        <v>2023</v>
      </c>
      <c r="AV422">
        <v>13</v>
      </c>
      <c r="AW422">
        <v>1</v>
      </c>
      <c r="AX422" t="s">
        <v>74</v>
      </c>
      <c r="AY422" t="s">
        <v>74</v>
      </c>
      <c r="AZ422" t="s">
        <v>74</v>
      </c>
      <c r="BA422" t="s">
        <v>74</v>
      </c>
      <c r="BB422" t="s">
        <v>74</v>
      </c>
      <c r="BC422" t="s">
        <v>74</v>
      </c>
      <c r="BD422">
        <v>12186</v>
      </c>
      <c r="BE422" t="s">
        <v>7126</v>
      </c>
      <c r="BF422" t="str">
        <f>HYPERLINK("http://dx.doi.org/10.1038/s41598-023-38887-z","http://dx.doi.org/10.1038/s41598-023-38887-z")</f>
        <v>http://dx.doi.org/10.1038/s41598-023-38887-z</v>
      </c>
      <c r="BG422" t="s">
        <v>74</v>
      </c>
      <c r="BH422" t="s">
        <v>74</v>
      </c>
      <c r="BI422">
        <v>13</v>
      </c>
      <c r="BJ422" t="s">
        <v>517</v>
      </c>
      <c r="BK422" t="s">
        <v>149</v>
      </c>
      <c r="BL422" t="s">
        <v>518</v>
      </c>
      <c r="BM422" t="s">
        <v>7127</v>
      </c>
      <c r="BN422">
        <v>37500649</v>
      </c>
      <c r="BO422" t="s">
        <v>520</v>
      </c>
      <c r="BP422" t="s">
        <v>74</v>
      </c>
      <c r="BQ422" t="s">
        <v>74</v>
      </c>
      <c r="BR422" t="s">
        <v>104</v>
      </c>
      <c r="BS422" t="s">
        <v>7128</v>
      </c>
      <c r="BT422" t="str">
        <f>HYPERLINK("https%3A%2F%2Fwww.webofscience.com%2Fwos%2Fwoscc%2Ffull-record%2FWOS:001039076900043","View Full Record in Web of Science")</f>
        <v>View Full Record in Web of Science</v>
      </c>
    </row>
    <row r="423" spans="1:72" x14ac:dyDescent="0.25">
      <c r="A423" t="s">
        <v>72</v>
      </c>
      <c r="B423" t="s">
        <v>7129</v>
      </c>
      <c r="C423" t="s">
        <v>74</v>
      </c>
      <c r="D423" t="s">
        <v>74</v>
      </c>
      <c r="E423" t="s">
        <v>74</v>
      </c>
      <c r="F423" t="s">
        <v>7130</v>
      </c>
      <c r="G423" t="s">
        <v>74</v>
      </c>
      <c r="H423" t="s">
        <v>74</v>
      </c>
      <c r="I423" t="s">
        <v>7131</v>
      </c>
      <c r="J423" t="s">
        <v>128</v>
      </c>
      <c r="K423" t="s">
        <v>74</v>
      </c>
      <c r="L423" t="s">
        <v>74</v>
      </c>
      <c r="M423" t="s">
        <v>78</v>
      </c>
      <c r="N423" t="s">
        <v>79</v>
      </c>
      <c r="O423" t="s">
        <v>74</v>
      </c>
      <c r="P423" t="s">
        <v>74</v>
      </c>
      <c r="Q423" t="s">
        <v>74</v>
      </c>
      <c r="R423" t="s">
        <v>74</v>
      </c>
      <c r="S423" t="s">
        <v>74</v>
      </c>
      <c r="T423" t="s">
        <v>7132</v>
      </c>
      <c r="U423" t="s">
        <v>7133</v>
      </c>
      <c r="V423" t="s">
        <v>7134</v>
      </c>
      <c r="W423" t="s">
        <v>7135</v>
      </c>
      <c r="X423" t="s">
        <v>7136</v>
      </c>
      <c r="Y423" t="s">
        <v>7137</v>
      </c>
      <c r="Z423" t="s">
        <v>7138</v>
      </c>
      <c r="AA423" t="s">
        <v>7139</v>
      </c>
      <c r="AB423" t="s">
        <v>3795</v>
      </c>
      <c r="AC423" t="s">
        <v>7140</v>
      </c>
      <c r="AD423" t="s">
        <v>7141</v>
      </c>
      <c r="AE423" t="s">
        <v>7142</v>
      </c>
      <c r="AF423" t="s">
        <v>74</v>
      </c>
      <c r="AG423">
        <v>41</v>
      </c>
      <c r="AH423">
        <v>31</v>
      </c>
      <c r="AI423">
        <v>31</v>
      </c>
      <c r="AJ423">
        <v>2</v>
      </c>
      <c r="AK423">
        <v>47</v>
      </c>
      <c r="AL423" t="s">
        <v>138</v>
      </c>
      <c r="AM423" t="s">
        <v>246</v>
      </c>
      <c r="AN423" t="s">
        <v>247</v>
      </c>
      <c r="AO423" t="s">
        <v>141</v>
      </c>
      <c r="AP423" t="s">
        <v>142</v>
      </c>
      <c r="AQ423" t="s">
        <v>74</v>
      </c>
      <c r="AR423" t="s">
        <v>143</v>
      </c>
      <c r="AS423" t="s">
        <v>144</v>
      </c>
      <c r="AT423" t="s">
        <v>1202</v>
      </c>
      <c r="AU423">
        <v>2021</v>
      </c>
      <c r="AV423">
        <v>209</v>
      </c>
      <c r="AW423" t="s">
        <v>74</v>
      </c>
      <c r="AX423" t="s">
        <v>74</v>
      </c>
      <c r="AY423" t="s">
        <v>74</v>
      </c>
      <c r="AZ423" t="s">
        <v>74</v>
      </c>
      <c r="BA423" t="s">
        <v>74</v>
      </c>
      <c r="BB423" t="s">
        <v>74</v>
      </c>
      <c r="BC423" t="s">
        <v>74</v>
      </c>
      <c r="BD423">
        <v>107451</v>
      </c>
      <c r="BE423" t="s">
        <v>7143</v>
      </c>
      <c r="BF423" t="str">
        <f>HYPERLINK("http://dx.doi.org/10.1016/j.ress.2021.107451","http://dx.doi.org/10.1016/j.ress.2021.107451")</f>
        <v>http://dx.doi.org/10.1016/j.ress.2021.107451</v>
      </c>
      <c r="BG423" t="s">
        <v>74</v>
      </c>
      <c r="BH423" t="s">
        <v>773</v>
      </c>
      <c r="BI423">
        <v>24</v>
      </c>
      <c r="BJ423" t="s">
        <v>148</v>
      </c>
      <c r="BK423" t="s">
        <v>149</v>
      </c>
      <c r="BL423" t="s">
        <v>150</v>
      </c>
      <c r="BM423" t="s">
        <v>7144</v>
      </c>
      <c r="BN423" t="s">
        <v>74</v>
      </c>
      <c r="BO423" t="s">
        <v>74</v>
      </c>
      <c r="BP423" t="s">
        <v>74</v>
      </c>
      <c r="BQ423" t="s">
        <v>74</v>
      </c>
      <c r="BR423" t="s">
        <v>104</v>
      </c>
      <c r="BS423" t="s">
        <v>7145</v>
      </c>
      <c r="BT423" t="str">
        <f>HYPERLINK("https%3A%2F%2Fwww.webofscience.com%2Fwos%2Fwoscc%2Ffull-record%2FWOS:000663909200018","View Full Record in Web of Science")</f>
        <v>View Full Record in Web of Science</v>
      </c>
    </row>
    <row r="424" spans="1:72" x14ac:dyDescent="0.25">
      <c r="A424" t="s">
        <v>72</v>
      </c>
      <c r="B424" t="s">
        <v>7146</v>
      </c>
      <c r="C424" t="s">
        <v>74</v>
      </c>
      <c r="D424" t="s">
        <v>74</v>
      </c>
      <c r="E424" t="s">
        <v>74</v>
      </c>
      <c r="F424" t="s">
        <v>7147</v>
      </c>
      <c r="G424" t="s">
        <v>74</v>
      </c>
      <c r="H424" t="s">
        <v>74</v>
      </c>
      <c r="I424" t="s">
        <v>7148</v>
      </c>
      <c r="J424" t="s">
        <v>128</v>
      </c>
      <c r="K424" t="s">
        <v>74</v>
      </c>
      <c r="L424" t="s">
        <v>74</v>
      </c>
      <c r="M424" t="s">
        <v>78</v>
      </c>
      <c r="N424" t="s">
        <v>79</v>
      </c>
      <c r="O424" t="s">
        <v>74</v>
      </c>
      <c r="P424" t="s">
        <v>74</v>
      </c>
      <c r="Q424" t="s">
        <v>74</v>
      </c>
      <c r="R424" t="s">
        <v>74</v>
      </c>
      <c r="S424" t="s">
        <v>74</v>
      </c>
      <c r="T424" t="s">
        <v>7149</v>
      </c>
      <c r="U424" t="s">
        <v>7150</v>
      </c>
      <c r="V424" t="s">
        <v>7151</v>
      </c>
      <c r="W424" t="s">
        <v>3792</v>
      </c>
      <c r="X424" t="s">
        <v>3793</v>
      </c>
      <c r="Y424" t="s">
        <v>3794</v>
      </c>
      <c r="Z424" t="s">
        <v>4298</v>
      </c>
      <c r="AA424" t="s">
        <v>74</v>
      </c>
      <c r="AB424" t="s">
        <v>3795</v>
      </c>
      <c r="AC424" t="s">
        <v>7152</v>
      </c>
      <c r="AD424" t="s">
        <v>7153</v>
      </c>
      <c r="AE424" t="s">
        <v>7154</v>
      </c>
      <c r="AF424" t="s">
        <v>74</v>
      </c>
      <c r="AG424">
        <v>45</v>
      </c>
      <c r="AH424">
        <v>6</v>
      </c>
      <c r="AI424">
        <v>6</v>
      </c>
      <c r="AJ424">
        <v>14</v>
      </c>
      <c r="AK424">
        <v>33</v>
      </c>
      <c r="AL424" t="s">
        <v>138</v>
      </c>
      <c r="AM424" t="s">
        <v>139</v>
      </c>
      <c r="AN424" t="s">
        <v>140</v>
      </c>
      <c r="AO424" t="s">
        <v>141</v>
      </c>
      <c r="AP424" t="s">
        <v>142</v>
      </c>
      <c r="AQ424" t="s">
        <v>74</v>
      </c>
      <c r="AR424" t="s">
        <v>143</v>
      </c>
      <c r="AS424" t="s">
        <v>144</v>
      </c>
      <c r="AT424" t="s">
        <v>559</v>
      </c>
      <c r="AU424">
        <v>2024</v>
      </c>
      <c r="AV424">
        <v>246</v>
      </c>
      <c r="AW424" t="s">
        <v>74</v>
      </c>
      <c r="AX424" t="s">
        <v>74</v>
      </c>
      <c r="AY424" t="s">
        <v>74</v>
      </c>
      <c r="AZ424" t="s">
        <v>74</v>
      </c>
      <c r="BA424" t="s">
        <v>74</v>
      </c>
      <c r="BB424" t="s">
        <v>74</v>
      </c>
      <c r="BC424" t="s">
        <v>74</v>
      </c>
      <c r="BD424">
        <v>110057</v>
      </c>
      <c r="BE424" t="s">
        <v>7155</v>
      </c>
      <c r="BF424" t="str">
        <f>HYPERLINK("http://dx.doi.org/10.1016/j.ress.2024.110057","http://dx.doi.org/10.1016/j.ress.2024.110057")</f>
        <v>http://dx.doi.org/10.1016/j.ress.2024.110057</v>
      </c>
      <c r="BG424" t="s">
        <v>74</v>
      </c>
      <c r="BH424" t="s">
        <v>2003</v>
      </c>
      <c r="BI424">
        <v>14</v>
      </c>
      <c r="BJ424" t="s">
        <v>148</v>
      </c>
      <c r="BK424" t="s">
        <v>149</v>
      </c>
      <c r="BL424" t="s">
        <v>150</v>
      </c>
      <c r="BM424" t="s">
        <v>7156</v>
      </c>
      <c r="BN424" t="s">
        <v>74</v>
      </c>
      <c r="BO424" t="s">
        <v>74</v>
      </c>
      <c r="BP424" t="s">
        <v>74</v>
      </c>
      <c r="BQ424" t="s">
        <v>74</v>
      </c>
      <c r="BR424" t="s">
        <v>104</v>
      </c>
      <c r="BS424" t="s">
        <v>7157</v>
      </c>
      <c r="BT424" t="str">
        <f>HYPERLINK("https%3A%2F%2Fwww.webofscience.com%2Fwos%2Fwoscc%2Ffull-record%2FWOS:001218797400001","View Full Record in Web of Science")</f>
        <v>View Full Record in Web of Science</v>
      </c>
    </row>
    <row r="425" spans="1:72" x14ac:dyDescent="0.25">
      <c r="A425" t="s">
        <v>72</v>
      </c>
      <c r="B425" t="s">
        <v>7158</v>
      </c>
      <c r="C425" t="s">
        <v>74</v>
      </c>
      <c r="D425" t="s">
        <v>74</v>
      </c>
      <c r="E425" t="s">
        <v>74</v>
      </c>
      <c r="F425" t="s">
        <v>7159</v>
      </c>
      <c r="G425" t="s">
        <v>74</v>
      </c>
      <c r="H425" t="s">
        <v>74</v>
      </c>
      <c r="I425" t="s">
        <v>7160</v>
      </c>
      <c r="J425" t="s">
        <v>472</v>
      </c>
      <c r="K425" t="s">
        <v>74</v>
      </c>
      <c r="L425" t="s">
        <v>74</v>
      </c>
      <c r="M425" t="s">
        <v>78</v>
      </c>
      <c r="N425" t="s">
        <v>79</v>
      </c>
      <c r="O425" t="s">
        <v>74</v>
      </c>
      <c r="P425" t="s">
        <v>74</v>
      </c>
      <c r="Q425" t="s">
        <v>74</v>
      </c>
      <c r="R425" t="s">
        <v>74</v>
      </c>
      <c r="S425" t="s">
        <v>74</v>
      </c>
      <c r="T425" t="s">
        <v>7161</v>
      </c>
      <c r="U425" t="s">
        <v>74</v>
      </c>
      <c r="V425" t="s">
        <v>7162</v>
      </c>
      <c r="W425" t="s">
        <v>7163</v>
      </c>
      <c r="X425" t="s">
        <v>7164</v>
      </c>
      <c r="Y425" t="s">
        <v>7165</v>
      </c>
      <c r="Z425" t="s">
        <v>7166</v>
      </c>
      <c r="AA425" t="s">
        <v>74</v>
      </c>
      <c r="AB425" t="s">
        <v>7167</v>
      </c>
      <c r="AC425" t="s">
        <v>7168</v>
      </c>
      <c r="AD425" t="s">
        <v>7168</v>
      </c>
      <c r="AE425" t="s">
        <v>7169</v>
      </c>
      <c r="AF425" t="s">
        <v>74</v>
      </c>
      <c r="AG425">
        <v>36</v>
      </c>
      <c r="AH425">
        <v>2</v>
      </c>
      <c r="AI425">
        <v>2</v>
      </c>
      <c r="AJ425">
        <v>2</v>
      </c>
      <c r="AK425">
        <v>18</v>
      </c>
      <c r="AL425" t="s">
        <v>484</v>
      </c>
      <c r="AM425" t="s">
        <v>485</v>
      </c>
      <c r="AN425" t="s">
        <v>486</v>
      </c>
      <c r="AO425" t="s">
        <v>487</v>
      </c>
      <c r="AP425" t="s">
        <v>488</v>
      </c>
      <c r="AQ425" t="s">
        <v>74</v>
      </c>
      <c r="AR425" t="s">
        <v>489</v>
      </c>
      <c r="AS425" t="s">
        <v>490</v>
      </c>
      <c r="AT425" t="s">
        <v>533</v>
      </c>
      <c r="AU425">
        <v>2022</v>
      </c>
      <c r="AV425">
        <v>38</v>
      </c>
      <c r="AW425">
        <v>1</v>
      </c>
      <c r="AX425" t="s">
        <v>74</v>
      </c>
      <c r="AY425" t="s">
        <v>74</v>
      </c>
      <c r="AZ425" t="s">
        <v>74</v>
      </c>
      <c r="BA425" t="s">
        <v>74</v>
      </c>
      <c r="BB425">
        <v>2</v>
      </c>
      <c r="BC425">
        <v>17</v>
      </c>
      <c r="BD425" t="s">
        <v>74</v>
      </c>
      <c r="BE425" t="s">
        <v>7170</v>
      </c>
      <c r="BF425" t="str">
        <f>HYPERLINK("http://dx.doi.org/10.1002/qre.2956","http://dx.doi.org/10.1002/qre.2956")</f>
        <v>http://dx.doi.org/10.1002/qre.2956</v>
      </c>
      <c r="BG425" t="s">
        <v>74</v>
      </c>
      <c r="BH425" t="s">
        <v>1059</v>
      </c>
      <c r="BI425">
        <v>16</v>
      </c>
      <c r="BJ425" t="s">
        <v>494</v>
      </c>
      <c r="BK425" t="s">
        <v>149</v>
      </c>
      <c r="BL425" t="s">
        <v>150</v>
      </c>
      <c r="BM425" t="s">
        <v>7171</v>
      </c>
      <c r="BN425" t="s">
        <v>74</v>
      </c>
      <c r="BO425" t="s">
        <v>74</v>
      </c>
      <c r="BP425" t="s">
        <v>74</v>
      </c>
      <c r="BQ425" t="s">
        <v>74</v>
      </c>
      <c r="BR425" t="s">
        <v>104</v>
      </c>
      <c r="BS425" t="s">
        <v>7172</v>
      </c>
      <c r="BT425" t="str">
        <f>HYPERLINK("https%3A%2F%2Fwww.webofscience.com%2Fwos%2Fwoscc%2Ffull-record%2FWOS:000675503000001","View Full Record in Web of Science")</f>
        <v>View Full Record in Web of Science</v>
      </c>
    </row>
    <row r="426" spans="1:72" x14ac:dyDescent="0.25">
      <c r="A426" t="s">
        <v>72</v>
      </c>
      <c r="B426" t="s">
        <v>7173</v>
      </c>
      <c r="C426" t="s">
        <v>74</v>
      </c>
      <c r="D426" t="s">
        <v>74</v>
      </c>
      <c r="E426" t="s">
        <v>74</v>
      </c>
      <c r="F426" t="s">
        <v>7174</v>
      </c>
      <c r="G426" t="s">
        <v>74</v>
      </c>
      <c r="H426" t="s">
        <v>74</v>
      </c>
      <c r="I426" t="s">
        <v>7175</v>
      </c>
      <c r="J426" t="s">
        <v>1834</v>
      </c>
      <c r="K426" t="s">
        <v>74</v>
      </c>
      <c r="L426" t="s">
        <v>74</v>
      </c>
      <c r="M426" t="s">
        <v>78</v>
      </c>
      <c r="N426" t="s">
        <v>1777</v>
      </c>
      <c r="O426" t="s">
        <v>7176</v>
      </c>
      <c r="P426" t="s">
        <v>7177</v>
      </c>
      <c r="Q426" t="s">
        <v>7178</v>
      </c>
      <c r="R426" t="s">
        <v>74</v>
      </c>
      <c r="S426" t="s">
        <v>74</v>
      </c>
      <c r="T426" t="s">
        <v>74</v>
      </c>
      <c r="U426" t="s">
        <v>7179</v>
      </c>
      <c r="V426" t="s">
        <v>7180</v>
      </c>
      <c r="W426" t="s">
        <v>7181</v>
      </c>
      <c r="X426" t="s">
        <v>6445</v>
      </c>
      <c r="Y426" t="s">
        <v>6446</v>
      </c>
      <c r="Z426" t="s">
        <v>7182</v>
      </c>
      <c r="AA426" t="s">
        <v>74</v>
      </c>
      <c r="AB426" t="s">
        <v>74</v>
      </c>
      <c r="AC426" t="s">
        <v>74</v>
      </c>
      <c r="AD426" t="s">
        <v>74</v>
      </c>
      <c r="AE426" t="s">
        <v>74</v>
      </c>
      <c r="AF426" t="s">
        <v>74</v>
      </c>
      <c r="AG426">
        <v>32</v>
      </c>
      <c r="AH426">
        <v>2</v>
      </c>
      <c r="AI426">
        <v>2</v>
      </c>
      <c r="AJ426">
        <v>0</v>
      </c>
      <c r="AK426">
        <v>3</v>
      </c>
      <c r="AL426" t="s">
        <v>1845</v>
      </c>
      <c r="AM426" t="s">
        <v>1846</v>
      </c>
      <c r="AN426" t="s">
        <v>1847</v>
      </c>
      <c r="AO426" t="s">
        <v>1848</v>
      </c>
      <c r="AP426" t="s">
        <v>74</v>
      </c>
      <c r="AQ426" t="s">
        <v>74</v>
      </c>
      <c r="AR426" t="s">
        <v>1849</v>
      </c>
      <c r="AS426" t="s">
        <v>1850</v>
      </c>
      <c r="AT426" t="s">
        <v>491</v>
      </c>
      <c r="AU426">
        <v>2021</v>
      </c>
      <c r="AV426">
        <v>32</v>
      </c>
      <c r="AW426">
        <v>3</v>
      </c>
      <c r="AX426" t="s">
        <v>74</v>
      </c>
      <c r="AY426" t="s">
        <v>74</v>
      </c>
      <c r="AZ426" t="s">
        <v>74</v>
      </c>
      <c r="BA426" t="s">
        <v>74</v>
      </c>
      <c r="BB426">
        <v>151</v>
      </c>
      <c r="BC426">
        <v>161</v>
      </c>
      <c r="BD426" t="s">
        <v>74</v>
      </c>
      <c r="BE426" t="s">
        <v>7183</v>
      </c>
      <c r="BF426" t="str">
        <f>HYPERLINK("http://dx.doi.org/10.7166/32-3-2626","http://dx.doi.org/10.7166/32-3-2626")</f>
        <v>http://dx.doi.org/10.7166/32-3-2626</v>
      </c>
      <c r="BG426" t="s">
        <v>74</v>
      </c>
      <c r="BH426" t="s">
        <v>74</v>
      </c>
      <c r="BI426">
        <v>11</v>
      </c>
      <c r="BJ426" t="s">
        <v>100</v>
      </c>
      <c r="BK426" t="s">
        <v>1792</v>
      </c>
      <c r="BL426" t="s">
        <v>102</v>
      </c>
      <c r="BM426" t="s">
        <v>7184</v>
      </c>
      <c r="BN426" t="s">
        <v>74</v>
      </c>
      <c r="BO426" t="s">
        <v>278</v>
      </c>
      <c r="BP426" t="s">
        <v>74</v>
      </c>
      <c r="BQ426" t="s">
        <v>74</v>
      </c>
      <c r="BR426" t="s">
        <v>104</v>
      </c>
      <c r="BS426" t="s">
        <v>7185</v>
      </c>
      <c r="BT426" t="str">
        <f>HYPERLINK("https%3A%2F%2Fwww.webofscience.com%2Fwos%2Fwoscc%2Ffull-record%2FWOS:000724715400014","View Full Record in Web of Science")</f>
        <v>View Full Record in Web of Science</v>
      </c>
    </row>
    <row r="427" spans="1:72" x14ac:dyDescent="0.25">
      <c r="A427" t="s">
        <v>72</v>
      </c>
      <c r="B427" t="s">
        <v>7186</v>
      </c>
      <c r="C427" t="s">
        <v>74</v>
      </c>
      <c r="D427" t="s">
        <v>74</v>
      </c>
      <c r="E427" t="s">
        <v>74</v>
      </c>
      <c r="F427" t="s">
        <v>7187</v>
      </c>
      <c r="G427" t="s">
        <v>74</v>
      </c>
      <c r="H427" t="s">
        <v>74</v>
      </c>
      <c r="I427" t="s">
        <v>7188</v>
      </c>
      <c r="J427" t="s">
        <v>128</v>
      </c>
      <c r="K427" t="s">
        <v>74</v>
      </c>
      <c r="L427" t="s">
        <v>74</v>
      </c>
      <c r="M427" t="s">
        <v>78</v>
      </c>
      <c r="N427" t="s">
        <v>79</v>
      </c>
      <c r="O427" t="s">
        <v>74</v>
      </c>
      <c r="P427" t="s">
        <v>74</v>
      </c>
      <c r="Q427" t="s">
        <v>74</v>
      </c>
      <c r="R427" t="s">
        <v>74</v>
      </c>
      <c r="S427" t="s">
        <v>74</v>
      </c>
      <c r="T427" t="s">
        <v>7189</v>
      </c>
      <c r="U427" t="s">
        <v>7190</v>
      </c>
      <c r="V427" t="s">
        <v>7191</v>
      </c>
      <c r="W427" t="s">
        <v>7192</v>
      </c>
      <c r="X427" t="s">
        <v>7193</v>
      </c>
      <c r="Y427" t="s">
        <v>7194</v>
      </c>
      <c r="Z427" t="s">
        <v>7195</v>
      </c>
      <c r="AA427" t="s">
        <v>7196</v>
      </c>
      <c r="AB427" t="s">
        <v>74</v>
      </c>
      <c r="AC427" t="s">
        <v>7197</v>
      </c>
      <c r="AD427" t="s">
        <v>3878</v>
      </c>
      <c r="AE427" t="s">
        <v>7198</v>
      </c>
      <c r="AF427" t="s">
        <v>74</v>
      </c>
      <c r="AG427">
        <v>35</v>
      </c>
      <c r="AH427">
        <v>45</v>
      </c>
      <c r="AI427">
        <v>47</v>
      </c>
      <c r="AJ427">
        <v>4</v>
      </c>
      <c r="AK427">
        <v>43</v>
      </c>
      <c r="AL427" t="s">
        <v>138</v>
      </c>
      <c r="AM427" t="s">
        <v>246</v>
      </c>
      <c r="AN427" t="s">
        <v>247</v>
      </c>
      <c r="AO427" t="s">
        <v>141</v>
      </c>
      <c r="AP427" t="s">
        <v>142</v>
      </c>
      <c r="AQ427" t="s">
        <v>74</v>
      </c>
      <c r="AR427" t="s">
        <v>143</v>
      </c>
      <c r="AS427" t="s">
        <v>144</v>
      </c>
      <c r="AT427" t="s">
        <v>2225</v>
      </c>
      <c r="AU427">
        <v>2019</v>
      </c>
      <c r="AV427">
        <v>188</v>
      </c>
      <c r="AW427" t="s">
        <v>74</v>
      </c>
      <c r="AX427" t="s">
        <v>74</v>
      </c>
      <c r="AY427" t="s">
        <v>74</v>
      </c>
      <c r="AZ427" t="s">
        <v>74</v>
      </c>
      <c r="BA427" t="s">
        <v>74</v>
      </c>
      <c r="BB427">
        <v>624</v>
      </c>
      <c r="BC427">
        <v>632</v>
      </c>
      <c r="BD427" t="s">
        <v>74</v>
      </c>
      <c r="BE427" t="s">
        <v>7199</v>
      </c>
      <c r="BF427" t="str">
        <f>HYPERLINK("http://dx.doi.org/10.1016/j.ress.2017.07.014","http://dx.doi.org/10.1016/j.ress.2017.07.014")</f>
        <v>http://dx.doi.org/10.1016/j.ress.2017.07.014</v>
      </c>
      <c r="BG427" t="s">
        <v>74</v>
      </c>
      <c r="BH427" t="s">
        <v>74</v>
      </c>
      <c r="BI427">
        <v>9</v>
      </c>
      <c r="BJ427" t="s">
        <v>148</v>
      </c>
      <c r="BK427" t="s">
        <v>149</v>
      </c>
      <c r="BL427" t="s">
        <v>150</v>
      </c>
      <c r="BM427" t="s">
        <v>6991</v>
      </c>
      <c r="BN427" t="s">
        <v>74</v>
      </c>
      <c r="BO427" t="s">
        <v>400</v>
      </c>
      <c r="BP427" t="s">
        <v>74</v>
      </c>
      <c r="BQ427" t="s">
        <v>74</v>
      </c>
      <c r="BR427" t="s">
        <v>104</v>
      </c>
      <c r="BS427" t="s">
        <v>7200</v>
      </c>
      <c r="BT427" t="str">
        <f>HYPERLINK("https%3A%2F%2Fwww.webofscience.com%2Fwos%2Fwoscc%2Ffull-record%2FWOS:000470341400055","View Full Record in Web of Science")</f>
        <v>View Full Record in Web of Science</v>
      </c>
    </row>
    <row r="428" spans="1:72" x14ac:dyDescent="0.25">
      <c r="A428" t="s">
        <v>72</v>
      </c>
      <c r="B428" t="s">
        <v>7201</v>
      </c>
      <c r="C428" t="s">
        <v>74</v>
      </c>
      <c r="D428" t="s">
        <v>74</v>
      </c>
      <c r="E428" t="s">
        <v>74</v>
      </c>
      <c r="F428" t="s">
        <v>7202</v>
      </c>
      <c r="G428" t="s">
        <v>74</v>
      </c>
      <c r="H428" t="s">
        <v>74</v>
      </c>
      <c r="I428" t="s">
        <v>7203</v>
      </c>
      <c r="J428" t="s">
        <v>778</v>
      </c>
      <c r="K428" t="s">
        <v>74</v>
      </c>
      <c r="L428" t="s">
        <v>74</v>
      </c>
      <c r="M428" t="s">
        <v>78</v>
      </c>
      <c r="N428" t="s">
        <v>79</v>
      </c>
      <c r="O428" t="s">
        <v>74</v>
      </c>
      <c r="P428" t="s">
        <v>74</v>
      </c>
      <c r="Q428" t="s">
        <v>74</v>
      </c>
      <c r="R428" t="s">
        <v>74</v>
      </c>
      <c r="S428" t="s">
        <v>74</v>
      </c>
      <c r="T428" t="s">
        <v>7204</v>
      </c>
      <c r="U428" t="s">
        <v>7205</v>
      </c>
      <c r="V428" t="s">
        <v>7206</v>
      </c>
      <c r="W428" t="s">
        <v>7207</v>
      </c>
      <c r="X428" t="s">
        <v>7208</v>
      </c>
      <c r="Y428" t="s">
        <v>7209</v>
      </c>
      <c r="Z428" t="s">
        <v>7210</v>
      </c>
      <c r="AA428" t="s">
        <v>7211</v>
      </c>
      <c r="AB428" t="s">
        <v>7212</v>
      </c>
      <c r="AC428" t="s">
        <v>7213</v>
      </c>
      <c r="AD428" t="s">
        <v>7214</v>
      </c>
      <c r="AE428" t="s">
        <v>7215</v>
      </c>
      <c r="AF428" t="s">
        <v>74</v>
      </c>
      <c r="AG428">
        <v>100</v>
      </c>
      <c r="AH428">
        <v>1</v>
      </c>
      <c r="AI428">
        <v>1</v>
      </c>
      <c r="AJ428">
        <v>4</v>
      </c>
      <c r="AK428">
        <v>49</v>
      </c>
      <c r="AL428" t="s">
        <v>311</v>
      </c>
      <c r="AM428" t="s">
        <v>312</v>
      </c>
      <c r="AN428" t="s">
        <v>313</v>
      </c>
      <c r="AO428" t="s">
        <v>788</v>
      </c>
      <c r="AP428" t="s">
        <v>789</v>
      </c>
      <c r="AQ428" t="s">
        <v>74</v>
      </c>
      <c r="AR428" t="s">
        <v>790</v>
      </c>
      <c r="AS428" t="s">
        <v>791</v>
      </c>
      <c r="AT428" t="s">
        <v>7216</v>
      </c>
      <c r="AU428">
        <v>2021</v>
      </c>
      <c r="AV428">
        <v>32</v>
      </c>
      <c r="AW428">
        <v>16</v>
      </c>
      <c r="AX428" t="s">
        <v>74</v>
      </c>
      <c r="AY428" t="s">
        <v>74</v>
      </c>
      <c r="AZ428" t="s">
        <v>74</v>
      </c>
      <c r="BA428" t="s">
        <v>74</v>
      </c>
      <c r="BB428">
        <v>1352</v>
      </c>
      <c r="BC428">
        <v>1367</v>
      </c>
      <c r="BD428" t="s">
        <v>74</v>
      </c>
      <c r="BE428" t="s">
        <v>7217</v>
      </c>
      <c r="BF428" t="str">
        <f>HYPERLINK("http://dx.doi.org/10.1080/09537287.2020.1815246","http://dx.doi.org/10.1080/09537287.2020.1815246")</f>
        <v>http://dx.doi.org/10.1080/09537287.2020.1815246</v>
      </c>
      <c r="BG428" t="s">
        <v>74</v>
      </c>
      <c r="BH428" t="s">
        <v>1651</v>
      </c>
      <c r="BI428">
        <v>16</v>
      </c>
      <c r="BJ428" t="s">
        <v>321</v>
      </c>
      <c r="BK428" t="s">
        <v>149</v>
      </c>
      <c r="BL428" t="s">
        <v>150</v>
      </c>
      <c r="BM428" t="s">
        <v>7218</v>
      </c>
      <c r="BN428" t="s">
        <v>74</v>
      </c>
      <c r="BO428" t="s">
        <v>74</v>
      </c>
      <c r="BP428" t="s">
        <v>74</v>
      </c>
      <c r="BQ428" t="s">
        <v>74</v>
      </c>
      <c r="BR428" t="s">
        <v>104</v>
      </c>
      <c r="BS428" t="s">
        <v>7219</v>
      </c>
      <c r="BT428" t="str">
        <f>HYPERLINK("https%3A%2F%2Fwww.webofscience.com%2Fwos%2Fwoscc%2Ffull-record%2FWOS:000568809600001","View Full Record in Web of Science")</f>
        <v>View Full Record in Web of Science</v>
      </c>
    </row>
    <row r="429" spans="1:72" x14ac:dyDescent="0.25">
      <c r="A429" t="s">
        <v>72</v>
      </c>
      <c r="B429" t="s">
        <v>7220</v>
      </c>
      <c r="C429" t="s">
        <v>74</v>
      </c>
      <c r="D429" t="s">
        <v>74</v>
      </c>
      <c r="E429" t="s">
        <v>74</v>
      </c>
      <c r="F429" t="s">
        <v>7221</v>
      </c>
      <c r="G429" t="s">
        <v>74</v>
      </c>
      <c r="H429" t="s">
        <v>74</v>
      </c>
      <c r="I429" t="s">
        <v>7222</v>
      </c>
      <c r="J429" t="s">
        <v>1557</v>
      </c>
      <c r="K429" t="s">
        <v>74</v>
      </c>
      <c r="L429" t="s">
        <v>74</v>
      </c>
      <c r="M429" t="s">
        <v>78</v>
      </c>
      <c r="N429" t="s">
        <v>79</v>
      </c>
      <c r="O429" t="s">
        <v>74</v>
      </c>
      <c r="P429" t="s">
        <v>74</v>
      </c>
      <c r="Q429" t="s">
        <v>74</v>
      </c>
      <c r="R429" t="s">
        <v>74</v>
      </c>
      <c r="S429" t="s">
        <v>74</v>
      </c>
      <c r="T429" t="s">
        <v>7223</v>
      </c>
      <c r="U429" t="s">
        <v>74</v>
      </c>
      <c r="V429" t="s">
        <v>7224</v>
      </c>
      <c r="W429" t="s">
        <v>7225</v>
      </c>
      <c r="X429" t="s">
        <v>7226</v>
      </c>
      <c r="Y429" t="s">
        <v>7227</v>
      </c>
      <c r="Z429" t="s">
        <v>7228</v>
      </c>
      <c r="AA429" t="s">
        <v>7229</v>
      </c>
      <c r="AB429" t="s">
        <v>7230</v>
      </c>
      <c r="AC429" t="s">
        <v>7231</v>
      </c>
      <c r="AD429" t="s">
        <v>7232</v>
      </c>
      <c r="AE429" t="s">
        <v>7233</v>
      </c>
      <c r="AF429" t="s">
        <v>74</v>
      </c>
      <c r="AG429">
        <v>30</v>
      </c>
      <c r="AH429">
        <v>0</v>
      </c>
      <c r="AI429">
        <v>0</v>
      </c>
      <c r="AJ429">
        <v>1</v>
      </c>
      <c r="AK429">
        <v>5</v>
      </c>
      <c r="AL429" t="s">
        <v>707</v>
      </c>
      <c r="AM429" t="s">
        <v>246</v>
      </c>
      <c r="AN429" t="s">
        <v>708</v>
      </c>
      <c r="AO429" t="s">
        <v>1569</v>
      </c>
      <c r="AP429" t="s">
        <v>1570</v>
      </c>
      <c r="AQ429" t="s">
        <v>74</v>
      </c>
      <c r="AR429" t="s">
        <v>1571</v>
      </c>
      <c r="AS429" t="s">
        <v>1572</v>
      </c>
      <c r="AT429" t="s">
        <v>7234</v>
      </c>
      <c r="AU429">
        <v>2022</v>
      </c>
      <c r="AV429">
        <v>202</v>
      </c>
      <c r="AW429" t="s">
        <v>74</v>
      </c>
      <c r="AX429" t="s">
        <v>74</v>
      </c>
      <c r="AY429" t="s">
        <v>74</v>
      </c>
      <c r="AZ429" t="s">
        <v>74</v>
      </c>
      <c r="BA429" t="s">
        <v>74</v>
      </c>
      <c r="BB429" t="s">
        <v>74</v>
      </c>
      <c r="BC429" t="s">
        <v>74</v>
      </c>
      <c r="BD429">
        <v>117204</v>
      </c>
      <c r="BE429" t="s">
        <v>7235</v>
      </c>
      <c r="BF429" t="str">
        <f>HYPERLINK("http://dx.doi.org/10.1016/j.eswa.2022.117204","http://dx.doi.org/10.1016/j.eswa.2022.117204")</f>
        <v>http://dx.doi.org/10.1016/j.eswa.2022.117204</v>
      </c>
      <c r="BG429" t="s">
        <v>74</v>
      </c>
      <c r="BH429" t="s">
        <v>250</v>
      </c>
      <c r="BI429">
        <v>8</v>
      </c>
      <c r="BJ429" t="s">
        <v>1575</v>
      </c>
      <c r="BK429" t="s">
        <v>149</v>
      </c>
      <c r="BL429" t="s">
        <v>1576</v>
      </c>
      <c r="BM429" t="s">
        <v>7236</v>
      </c>
      <c r="BN429" t="s">
        <v>74</v>
      </c>
      <c r="BO429" t="s">
        <v>74</v>
      </c>
      <c r="BP429" t="s">
        <v>74</v>
      </c>
      <c r="BQ429" t="s">
        <v>74</v>
      </c>
      <c r="BR429" t="s">
        <v>104</v>
      </c>
      <c r="BS429" t="s">
        <v>7237</v>
      </c>
      <c r="BT429" t="str">
        <f>HYPERLINK("https%3A%2F%2Fwww.webofscience.com%2Fwos%2Fwoscc%2Ffull-record%2FWOS:000830169800008","View Full Record in Web of Science")</f>
        <v>View Full Record in Web of Science</v>
      </c>
    </row>
    <row r="430" spans="1:72" x14ac:dyDescent="0.25">
      <c r="A430" t="s">
        <v>72</v>
      </c>
      <c r="B430" t="s">
        <v>7238</v>
      </c>
      <c r="C430" t="s">
        <v>74</v>
      </c>
      <c r="D430" t="s">
        <v>74</v>
      </c>
      <c r="E430" t="s">
        <v>74</v>
      </c>
      <c r="F430" t="s">
        <v>7239</v>
      </c>
      <c r="G430" t="s">
        <v>74</v>
      </c>
      <c r="H430" t="s">
        <v>74</v>
      </c>
      <c r="I430" t="s">
        <v>7240</v>
      </c>
      <c r="J430" t="s">
        <v>128</v>
      </c>
      <c r="K430" t="s">
        <v>74</v>
      </c>
      <c r="L430" t="s">
        <v>74</v>
      </c>
      <c r="M430" t="s">
        <v>78</v>
      </c>
      <c r="N430" t="s">
        <v>79</v>
      </c>
      <c r="O430" t="s">
        <v>74</v>
      </c>
      <c r="P430" t="s">
        <v>74</v>
      </c>
      <c r="Q430" t="s">
        <v>74</v>
      </c>
      <c r="R430" t="s">
        <v>74</v>
      </c>
      <c r="S430" t="s">
        <v>74</v>
      </c>
      <c r="T430" t="s">
        <v>7241</v>
      </c>
      <c r="U430" t="s">
        <v>7242</v>
      </c>
      <c r="V430" t="s">
        <v>7243</v>
      </c>
      <c r="W430" t="s">
        <v>7244</v>
      </c>
      <c r="X430" t="s">
        <v>7245</v>
      </c>
      <c r="Y430" t="s">
        <v>7246</v>
      </c>
      <c r="Z430" t="s">
        <v>7247</v>
      </c>
      <c r="AA430" t="s">
        <v>7248</v>
      </c>
      <c r="AB430" t="s">
        <v>7249</v>
      </c>
      <c r="AC430" t="s">
        <v>7250</v>
      </c>
      <c r="AD430" t="s">
        <v>7251</v>
      </c>
      <c r="AE430" t="s">
        <v>7252</v>
      </c>
      <c r="AF430" t="s">
        <v>74</v>
      </c>
      <c r="AG430">
        <v>45</v>
      </c>
      <c r="AH430">
        <v>12</v>
      </c>
      <c r="AI430">
        <v>12</v>
      </c>
      <c r="AJ430">
        <v>4</v>
      </c>
      <c r="AK430">
        <v>27</v>
      </c>
      <c r="AL430" t="s">
        <v>138</v>
      </c>
      <c r="AM430" t="s">
        <v>246</v>
      </c>
      <c r="AN430" t="s">
        <v>247</v>
      </c>
      <c r="AO430" t="s">
        <v>141</v>
      </c>
      <c r="AP430" t="s">
        <v>142</v>
      </c>
      <c r="AQ430" t="s">
        <v>74</v>
      </c>
      <c r="AR430" t="s">
        <v>143</v>
      </c>
      <c r="AS430" t="s">
        <v>144</v>
      </c>
      <c r="AT430" t="s">
        <v>1008</v>
      </c>
      <c r="AU430">
        <v>2021</v>
      </c>
      <c r="AV430">
        <v>205</v>
      </c>
      <c r="AW430" t="s">
        <v>74</v>
      </c>
      <c r="AX430" t="s">
        <v>74</v>
      </c>
      <c r="AY430" t="s">
        <v>74</v>
      </c>
      <c r="AZ430" t="s">
        <v>74</v>
      </c>
      <c r="BA430" t="s">
        <v>74</v>
      </c>
      <c r="BB430" t="s">
        <v>74</v>
      </c>
      <c r="BC430" t="s">
        <v>74</v>
      </c>
      <c r="BD430">
        <v>107253</v>
      </c>
      <c r="BE430" t="s">
        <v>7253</v>
      </c>
      <c r="BF430" t="str">
        <f>HYPERLINK("http://dx.doi.org/10.1016/j.ress.2020.107253","http://dx.doi.org/10.1016/j.ress.2020.107253")</f>
        <v>http://dx.doi.org/10.1016/j.ress.2020.107253</v>
      </c>
      <c r="BG430" t="s">
        <v>74</v>
      </c>
      <c r="BH430" t="s">
        <v>74</v>
      </c>
      <c r="BI430">
        <v>10</v>
      </c>
      <c r="BJ430" t="s">
        <v>148</v>
      </c>
      <c r="BK430" t="s">
        <v>149</v>
      </c>
      <c r="BL430" t="s">
        <v>150</v>
      </c>
      <c r="BM430" t="s">
        <v>2589</v>
      </c>
      <c r="BN430" t="s">
        <v>74</v>
      </c>
      <c r="BO430" t="s">
        <v>74</v>
      </c>
      <c r="BP430" t="s">
        <v>74</v>
      </c>
      <c r="BQ430" t="s">
        <v>74</v>
      </c>
      <c r="BR430" t="s">
        <v>104</v>
      </c>
      <c r="BS430" t="s">
        <v>7254</v>
      </c>
      <c r="BT430" t="str">
        <f>HYPERLINK("https%3A%2F%2Fwww.webofscience.com%2Fwos%2Fwoscc%2Ffull-record%2FWOS:000589091300036","View Full Record in Web of Science")</f>
        <v>View Full Record in Web of Science</v>
      </c>
    </row>
    <row r="431" spans="1:72" x14ac:dyDescent="0.25">
      <c r="A431" t="s">
        <v>72</v>
      </c>
      <c r="B431" t="s">
        <v>7255</v>
      </c>
      <c r="C431" t="s">
        <v>74</v>
      </c>
      <c r="D431" t="s">
        <v>74</v>
      </c>
      <c r="E431" t="s">
        <v>74</v>
      </c>
      <c r="F431" t="s">
        <v>7256</v>
      </c>
      <c r="G431" t="s">
        <v>74</v>
      </c>
      <c r="H431" t="s">
        <v>74</v>
      </c>
      <c r="I431" t="s">
        <v>7257</v>
      </c>
      <c r="J431" t="s">
        <v>77</v>
      </c>
      <c r="K431" t="s">
        <v>74</v>
      </c>
      <c r="L431" t="s">
        <v>74</v>
      </c>
      <c r="M431" t="s">
        <v>78</v>
      </c>
      <c r="N431" t="s">
        <v>79</v>
      </c>
      <c r="O431" t="s">
        <v>74</v>
      </c>
      <c r="P431" t="s">
        <v>74</v>
      </c>
      <c r="Q431" t="s">
        <v>74</v>
      </c>
      <c r="R431" t="s">
        <v>74</v>
      </c>
      <c r="S431" t="s">
        <v>74</v>
      </c>
      <c r="T431" t="s">
        <v>7258</v>
      </c>
      <c r="U431" t="s">
        <v>7259</v>
      </c>
      <c r="V431" t="s">
        <v>7260</v>
      </c>
      <c r="W431" t="s">
        <v>7261</v>
      </c>
      <c r="X431" t="s">
        <v>7262</v>
      </c>
      <c r="Y431" t="s">
        <v>7263</v>
      </c>
      <c r="Z431" t="s">
        <v>7264</v>
      </c>
      <c r="AA431" t="s">
        <v>7265</v>
      </c>
      <c r="AB431" t="s">
        <v>7266</v>
      </c>
      <c r="AC431" t="s">
        <v>74</v>
      </c>
      <c r="AD431" t="s">
        <v>74</v>
      </c>
      <c r="AE431" t="s">
        <v>74</v>
      </c>
      <c r="AF431" t="s">
        <v>74</v>
      </c>
      <c r="AG431">
        <v>61</v>
      </c>
      <c r="AH431">
        <v>1</v>
      </c>
      <c r="AI431">
        <v>1</v>
      </c>
      <c r="AJ431">
        <v>0</v>
      </c>
      <c r="AK431">
        <v>6</v>
      </c>
      <c r="AL431" t="s">
        <v>90</v>
      </c>
      <c r="AM431" t="s">
        <v>91</v>
      </c>
      <c r="AN431" t="s">
        <v>92</v>
      </c>
      <c r="AO431" t="s">
        <v>93</v>
      </c>
      <c r="AP431" t="s">
        <v>94</v>
      </c>
      <c r="AQ431" t="s">
        <v>74</v>
      </c>
      <c r="AR431" t="s">
        <v>95</v>
      </c>
      <c r="AS431" t="s">
        <v>96</v>
      </c>
      <c r="AT431" t="s">
        <v>7267</v>
      </c>
      <c r="AU431">
        <v>2024</v>
      </c>
      <c r="AV431">
        <v>30</v>
      </c>
      <c r="AW431">
        <v>2</v>
      </c>
      <c r="AX431" t="s">
        <v>74</v>
      </c>
      <c r="AY431" t="s">
        <v>74</v>
      </c>
      <c r="AZ431" t="s">
        <v>74</v>
      </c>
      <c r="BA431" t="s">
        <v>74</v>
      </c>
      <c r="BB431">
        <v>434</v>
      </c>
      <c r="BC431">
        <v>455</v>
      </c>
      <c r="BD431" t="s">
        <v>74</v>
      </c>
      <c r="BE431" t="s">
        <v>7268</v>
      </c>
      <c r="BF431" t="str">
        <f>HYPERLINK("http://dx.doi.org/10.1108/JQME-09-2023-0088","http://dx.doi.org/10.1108/JQME-09-2023-0088")</f>
        <v>http://dx.doi.org/10.1108/JQME-09-2023-0088</v>
      </c>
      <c r="BG431" t="s">
        <v>74</v>
      </c>
      <c r="BH431" t="s">
        <v>2072</v>
      </c>
      <c r="BI431">
        <v>22</v>
      </c>
      <c r="BJ431" t="s">
        <v>100</v>
      </c>
      <c r="BK431" t="s">
        <v>101</v>
      </c>
      <c r="BL431" t="s">
        <v>102</v>
      </c>
      <c r="BM431" t="s">
        <v>7269</v>
      </c>
      <c r="BN431" t="s">
        <v>74</v>
      </c>
      <c r="BO431" t="s">
        <v>74</v>
      </c>
      <c r="BP431" t="s">
        <v>74</v>
      </c>
      <c r="BQ431" t="s">
        <v>74</v>
      </c>
      <c r="BR431" t="s">
        <v>104</v>
      </c>
      <c r="BS431" t="s">
        <v>7270</v>
      </c>
      <c r="BT431" t="str">
        <f>HYPERLINK("https%3A%2F%2Fwww.webofscience.com%2Fwos%2Fwoscc%2Ffull-record%2FWOS:001214224700001","View Full Record in Web of Science")</f>
        <v>View Full Record in Web of Science</v>
      </c>
    </row>
    <row r="432" spans="1:72" x14ac:dyDescent="0.25">
      <c r="A432" t="s">
        <v>72</v>
      </c>
      <c r="B432" t="s">
        <v>5147</v>
      </c>
      <c r="C432" t="s">
        <v>74</v>
      </c>
      <c r="D432" t="s">
        <v>74</v>
      </c>
      <c r="E432" t="s">
        <v>74</v>
      </c>
      <c r="F432" t="s">
        <v>5148</v>
      </c>
      <c r="G432" t="s">
        <v>74</v>
      </c>
      <c r="H432" t="s">
        <v>74</v>
      </c>
      <c r="I432" t="s">
        <v>7271</v>
      </c>
      <c r="J432" t="s">
        <v>128</v>
      </c>
      <c r="K432" t="s">
        <v>74</v>
      </c>
      <c r="L432" t="s">
        <v>74</v>
      </c>
      <c r="M432" t="s">
        <v>78</v>
      </c>
      <c r="N432" t="s">
        <v>79</v>
      </c>
      <c r="O432" t="s">
        <v>74</v>
      </c>
      <c r="P432" t="s">
        <v>74</v>
      </c>
      <c r="Q432" t="s">
        <v>74</v>
      </c>
      <c r="R432" t="s">
        <v>74</v>
      </c>
      <c r="S432" t="s">
        <v>74</v>
      </c>
      <c r="T432" t="s">
        <v>7272</v>
      </c>
      <c r="U432" t="s">
        <v>920</v>
      </c>
      <c r="V432" t="s">
        <v>7273</v>
      </c>
      <c r="W432" t="s">
        <v>5153</v>
      </c>
      <c r="X432" t="s">
        <v>1785</v>
      </c>
      <c r="Y432" t="s">
        <v>5154</v>
      </c>
      <c r="Z432" t="s">
        <v>5155</v>
      </c>
      <c r="AA432" t="s">
        <v>7274</v>
      </c>
      <c r="AB432" t="s">
        <v>74</v>
      </c>
      <c r="AC432" t="s">
        <v>5157</v>
      </c>
      <c r="AD432" t="s">
        <v>5158</v>
      </c>
      <c r="AE432" t="s">
        <v>5159</v>
      </c>
      <c r="AF432" t="s">
        <v>74</v>
      </c>
      <c r="AG432">
        <v>26</v>
      </c>
      <c r="AH432">
        <v>14</v>
      </c>
      <c r="AI432">
        <v>15</v>
      </c>
      <c r="AJ432">
        <v>4</v>
      </c>
      <c r="AK432">
        <v>24</v>
      </c>
      <c r="AL432" t="s">
        <v>138</v>
      </c>
      <c r="AM432" t="s">
        <v>246</v>
      </c>
      <c r="AN432" t="s">
        <v>247</v>
      </c>
      <c r="AO432" t="s">
        <v>141</v>
      </c>
      <c r="AP432" t="s">
        <v>142</v>
      </c>
      <c r="AQ432" t="s">
        <v>74</v>
      </c>
      <c r="AR432" t="s">
        <v>143</v>
      </c>
      <c r="AS432" t="s">
        <v>144</v>
      </c>
      <c r="AT432" t="s">
        <v>205</v>
      </c>
      <c r="AU432">
        <v>2021</v>
      </c>
      <c r="AV432">
        <v>213</v>
      </c>
      <c r="AW432" t="s">
        <v>74</v>
      </c>
      <c r="AX432" t="s">
        <v>74</v>
      </c>
      <c r="AY432" t="s">
        <v>74</v>
      </c>
      <c r="AZ432" t="s">
        <v>74</v>
      </c>
      <c r="BA432" t="s">
        <v>74</v>
      </c>
      <c r="BB432" t="s">
        <v>74</v>
      </c>
      <c r="BC432" t="s">
        <v>74</v>
      </c>
      <c r="BD432">
        <v>107691</v>
      </c>
      <c r="BE432" t="s">
        <v>7275</v>
      </c>
      <c r="BF432" t="str">
        <f>HYPERLINK("http://dx.doi.org/10.1016/j.ress.2021.107691","http://dx.doi.org/10.1016/j.ress.2021.107691")</f>
        <v>http://dx.doi.org/10.1016/j.ress.2021.107691</v>
      </c>
      <c r="BG432" t="s">
        <v>74</v>
      </c>
      <c r="BH432" t="s">
        <v>714</v>
      </c>
      <c r="BI432">
        <v>11</v>
      </c>
      <c r="BJ432" t="s">
        <v>148</v>
      </c>
      <c r="BK432" t="s">
        <v>149</v>
      </c>
      <c r="BL432" t="s">
        <v>150</v>
      </c>
      <c r="BM432" t="s">
        <v>5320</v>
      </c>
      <c r="BN432" t="s">
        <v>74</v>
      </c>
      <c r="BO432" t="s">
        <v>74</v>
      </c>
      <c r="BP432" t="s">
        <v>74</v>
      </c>
      <c r="BQ432" t="s">
        <v>74</v>
      </c>
      <c r="BR432" t="s">
        <v>104</v>
      </c>
      <c r="BS432" t="s">
        <v>7276</v>
      </c>
      <c r="BT432" t="str">
        <f>HYPERLINK("https%3A%2F%2Fwww.webofscience.com%2Fwos%2Fwoscc%2Ffull-record%2FWOS:000663910500030","View Full Record in Web of Science")</f>
        <v>View Full Record in Web of Science</v>
      </c>
    </row>
    <row r="433" spans="1:72" x14ac:dyDescent="0.25">
      <c r="A433" t="s">
        <v>72</v>
      </c>
      <c r="B433" t="s">
        <v>7277</v>
      </c>
      <c r="C433" t="s">
        <v>74</v>
      </c>
      <c r="D433" t="s">
        <v>74</v>
      </c>
      <c r="E433" t="s">
        <v>74</v>
      </c>
      <c r="F433" t="s">
        <v>7278</v>
      </c>
      <c r="G433" t="s">
        <v>74</v>
      </c>
      <c r="H433" t="s">
        <v>74</v>
      </c>
      <c r="I433" t="s">
        <v>7279</v>
      </c>
      <c r="J433" t="s">
        <v>1932</v>
      </c>
      <c r="K433" t="s">
        <v>74</v>
      </c>
      <c r="L433" t="s">
        <v>74</v>
      </c>
      <c r="M433" t="s">
        <v>78</v>
      </c>
      <c r="N433" t="s">
        <v>79</v>
      </c>
      <c r="O433" t="s">
        <v>74</v>
      </c>
      <c r="P433" t="s">
        <v>74</v>
      </c>
      <c r="Q433" t="s">
        <v>74</v>
      </c>
      <c r="R433" t="s">
        <v>74</v>
      </c>
      <c r="S433" t="s">
        <v>74</v>
      </c>
      <c r="T433" t="s">
        <v>7280</v>
      </c>
      <c r="U433" t="s">
        <v>74</v>
      </c>
      <c r="V433" t="s">
        <v>7281</v>
      </c>
      <c r="W433" t="s">
        <v>7282</v>
      </c>
      <c r="X433" t="s">
        <v>7283</v>
      </c>
      <c r="Y433" t="s">
        <v>7284</v>
      </c>
      <c r="Z433" t="s">
        <v>7285</v>
      </c>
      <c r="AA433" t="s">
        <v>74</v>
      </c>
      <c r="AB433" t="s">
        <v>74</v>
      </c>
      <c r="AC433" t="s">
        <v>74</v>
      </c>
      <c r="AD433" t="s">
        <v>74</v>
      </c>
      <c r="AE433" t="s">
        <v>74</v>
      </c>
      <c r="AF433" t="s">
        <v>74</v>
      </c>
      <c r="AG433">
        <v>31</v>
      </c>
      <c r="AH433">
        <v>7</v>
      </c>
      <c r="AI433">
        <v>7</v>
      </c>
      <c r="AJ433">
        <v>4</v>
      </c>
      <c r="AK433">
        <v>34</v>
      </c>
      <c r="AL433" t="s">
        <v>311</v>
      </c>
      <c r="AM433" t="s">
        <v>312</v>
      </c>
      <c r="AN433" t="s">
        <v>313</v>
      </c>
      <c r="AO433" t="s">
        <v>1945</v>
      </c>
      <c r="AP433" t="s">
        <v>1946</v>
      </c>
      <c r="AQ433" t="s">
        <v>74</v>
      </c>
      <c r="AR433" t="s">
        <v>1947</v>
      </c>
      <c r="AS433" t="s">
        <v>1948</v>
      </c>
      <c r="AT433" t="s">
        <v>3367</v>
      </c>
      <c r="AU433">
        <v>2021</v>
      </c>
      <c r="AV433">
        <v>18</v>
      </c>
      <c r="AW433">
        <v>4</v>
      </c>
      <c r="AX433" t="s">
        <v>74</v>
      </c>
      <c r="AY433" t="s">
        <v>74</v>
      </c>
      <c r="AZ433" t="s">
        <v>74</v>
      </c>
      <c r="BA433" t="s">
        <v>74</v>
      </c>
      <c r="BB433">
        <v>484</v>
      </c>
      <c r="BC433">
        <v>504</v>
      </c>
      <c r="BD433" t="s">
        <v>74</v>
      </c>
      <c r="BE433" t="s">
        <v>7286</v>
      </c>
      <c r="BF433" t="str">
        <f>HYPERLINK("http://dx.doi.org/10.1080/16843703.2021.1910188","http://dx.doi.org/10.1080/16843703.2021.1910188")</f>
        <v>http://dx.doi.org/10.1080/16843703.2021.1910188</v>
      </c>
      <c r="BG433" t="s">
        <v>74</v>
      </c>
      <c r="BH433" t="s">
        <v>714</v>
      </c>
      <c r="BI433">
        <v>21</v>
      </c>
      <c r="BJ433" t="s">
        <v>1951</v>
      </c>
      <c r="BK433" t="s">
        <v>149</v>
      </c>
      <c r="BL433" t="s">
        <v>1952</v>
      </c>
      <c r="BM433" t="s">
        <v>7287</v>
      </c>
      <c r="BN433" t="s">
        <v>74</v>
      </c>
      <c r="BO433" t="s">
        <v>74</v>
      </c>
      <c r="BP433" t="s">
        <v>74</v>
      </c>
      <c r="BQ433" t="s">
        <v>74</v>
      </c>
      <c r="BR433" t="s">
        <v>104</v>
      </c>
      <c r="BS433" t="s">
        <v>7288</v>
      </c>
      <c r="BT433" t="str">
        <f>HYPERLINK("https%3A%2F%2Fwww.webofscience.com%2Fwos%2Fwoscc%2Ffull-record%2FWOS:000639788300001","View Full Record in Web of Science")</f>
        <v>View Full Record in Web of Science</v>
      </c>
    </row>
    <row r="434" spans="1:72" x14ac:dyDescent="0.25">
      <c r="A434" t="s">
        <v>72</v>
      </c>
      <c r="B434" t="s">
        <v>7289</v>
      </c>
      <c r="C434" t="s">
        <v>74</v>
      </c>
      <c r="D434" t="s">
        <v>74</v>
      </c>
      <c r="E434" t="s">
        <v>74</v>
      </c>
      <c r="F434" t="s">
        <v>7290</v>
      </c>
      <c r="G434" t="s">
        <v>74</v>
      </c>
      <c r="H434" t="s">
        <v>74</v>
      </c>
      <c r="I434" t="s">
        <v>7291</v>
      </c>
      <c r="J434" t="s">
        <v>128</v>
      </c>
      <c r="K434" t="s">
        <v>74</v>
      </c>
      <c r="L434" t="s">
        <v>74</v>
      </c>
      <c r="M434" t="s">
        <v>78</v>
      </c>
      <c r="N434" t="s">
        <v>79</v>
      </c>
      <c r="O434" t="s">
        <v>74</v>
      </c>
      <c r="P434" t="s">
        <v>74</v>
      </c>
      <c r="Q434" t="s">
        <v>74</v>
      </c>
      <c r="R434" t="s">
        <v>74</v>
      </c>
      <c r="S434" t="s">
        <v>74</v>
      </c>
      <c r="T434" t="s">
        <v>7292</v>
      </c>
      <c r="U434" t="s">
        <v>7293</v>
      </c>
      <c r="V434" t="s">
        <v>7294</v>
      </c>
      <c r="W434" t="s">
        <v>7295</v>
      </c>
      <c r="X434" t="s">
        <v>7296</v>
      </c>
      <c r="Y434" t="s">
        <v>7297</v>
      </c>
      <c r="Z434" t="s">
        <v>7298</v>
      </c>
      <c r="AA434" t="s">
        <v>7299</v>
      </c>
      <c r="AB434" t="s">
        <v>7300</v>
      </c>
      <c r="AC434" t="s">
        <v>74</v>
      </c>
      <c r="AD434" t="s">
        <v>74</v>
      </c>
      <c r="AE434" t="s">
        <v>74</v>
      </c>
      <c r="AF434" t="s">
        <v>74</v>
      </c>
      <c r="AG434">
        <v>40</v>
      </c>
      <c r="AH434">
        <v>16</v>
      </c>
      <c r="AI434">
        <v>17</v>
      </c>
      <c r="AJ434">
        <v>2</v>
      </c>
      <c r="AK434">
        <v>18</v>
      </c>
      <c r="AL434" t="s">
        <v>138</v>
      </c>
      <c r="AM434" t="s">
        <v>246</v>
      </c>
      <c r="AN434" t="s">
        <v>247</v>
      </c>
      <c r="AO434" t="s">
        <v>141</v>
      </c>
      <c r="AP434" t="s">
        <v>142</v>
      </c>
      <c r="AQ434" t="s">
        <v>74</v>
      </c>
      <c r="AR434" t="s">
        <v>143</v>
      </c>
      <c r="AS434" t="s">
        <v>144</v>
      </c>
      <c r="AT434" t="s">
        <v>145</v>
      </c>
      <c r="AU434">
        <v>2021</v>
      </c>
      <c r="AV434">
        <v>216</v>
      </c>
      <c r="AW434" t="s">
        <v>74</v>
      </c>
      <c r="AX434" t="s">
        <v>74</v>
      </c>
      <c r="AY434" t="s">
        <v>74</v>
      </c>
      <c r="AZ434" t="s">
        <v>74</v>
      </c>
      <c r="BA434" t="s">
        <v>74</v>
      </c>
      <c r="BB434" t="s">
        <v>74</v>
      </c>
      <c r="BC434" t="s">
        <v>74</v>
      </c>
      <c r="BD434">
        <v>107962</v>
      </c>
      <c r="BE434" t="s">
        <v>7301</v>
      </c>
      <c r="BF434" t="str">
        <f>HYPERLINK("http://dx.doi.org/10.1016/j.ress.2021.107962","http://dx.doi.org/10.1016/j.ress.2021.107962")</f>
        <v>http://dx.doi.org/10.1016/j.ress.2021.107962</v>
      </c>
      <c r="BG434" t="s">
        <v>74</v>
      </c>
      <c r="BH434" t="s">
        <v>2089</v>
      </c>
      <c r="BI434">
        <v>9</v>
      </c>
      <c r="BJ434" t="s">
        <v>148</v>
      </c>
      <c r="BK434" t="s">
        <v>149</v>
      </c>
      <c r="BL434" t="s">
        <v>150</v>
      </c>
      <c r="BM434" t="s">
        <v>2090</v>
      </c>
      <c r="BN434" t="s">
        <v>74</v>
      </c>
      <c r="BO434" t="s">
        <v>74</v>
      </c>
      <c r="BP434" t="s">
        <v>74</v>
      </c>
      <c r="BQ434" t="s">
        <v>74</v>
      </c>
      <c r="BR434" t="s">
        <v>104</v>
      </c>
      <c r="BS434" t="s">
        <v>7302</v>
      </c>
      <c r="BT434" t="str">
        <f>HYPERLINK("https%3A%2F%2Fwww.webofscience.com%2Fwos%2Fwoscc%2Ffull-record%2FWOS:000702351700046","View Full Record in Web of Science")</f>
        <v>View Full Record in Web of Science</v>
      </c>
    </row>
    <row r="435" spans="1:72" x14ac:dyDescent="0.25">
      <c r="A435" t="s">
        <v>72</v>
      </c>
      <c r="B435" t="s">
        <v>7303</v>
      </c>
      <c r="C435" t="s">
        <v>74</v>
      </c>
      <c r="D435" t="s">
        <v>74</v>
      </c>
      <c r="E435" t="s">
        <v>74</v>
      </c>
      <c r="F435" t="s">
        <v>7304</v>
      </c>
      <c r="G435" t="s">
        <v>74</v>
      </c>
      <c r="H435" t="s">
        <v>74</v>
      </c>
      <c r="I435" t="s">
        <v>7305</v>
      </c>
      <c r="J435" t="s">
        <v>1932</v>
      </c>
      <c r="K435" t="s">
        <v>74</v>
      </c>
      <c r="L435" t="s">
        <v>74</v>
      </c>
      <c r="M435" t="s">
        <v>78</v>
      </c>
      <c r="N435" t="s">
        <v>79</v>
      </c>
      <c r="O435" t="s">
        <v>74</v>
      </c>
      <c r="P435" t="s">
        <v>74</v>
      </c>
      <c r="Q435" t="s">
        <v>74</v>
      </c>
      <c r="R435" t="s">
        <v>74</v>
      </c>
      <c r="S435" t="s">
        <v>74</v>
      </c>
      <c r="T435" t="s">
        <v>7306</v>
      </c>
      <c r="U435" t="s">
        <v>7307</v>
      </c>
      <c r="V435" t="s">
        <v>7308</v>
      </c>
      <c r="W435" t="s">
        <v>7309</v>
      </c>
      <c r="X435" t="s">
        <v>7310</v>
      </c>
      <c r="Y435" t="s">
        <v>7311</v>
      </c>
      <c r="Z435" t="s">
        <v>7312</v>
      </c>
      <c r="AA435" t="s">
        <v>74</v>
      </c>
      <c r="AB435" t="s">
        <v>7313</v>
      </c>
      <c r="AC435" t="s">
        <v>7314</v>
      </c>
      <c r="AD435" t="s">
        <v>7315</v>
      </c>
      <c r="AE435" t="s">
        <v>7316</v>
      </c>
      <c r="AF435" t="s">
        <v>74</v>
      </c>
      <c r="AG435">
        <v>18</v>
      </c>
      <c r="AH435">
        <v>12</v>
      </c>
      <c r="AI435">
        <v>14</v>
      </c>
      <c r="AJ435">
        <v>2</v>
      </c>
      <c r="AK435">
        <v>17</v>
      </c>
      <c r="AL435" t="s">
        <v>311</v>
      </c>
      <c r="AM435" t="s">
        <v>312</v>
      </c>
      <c r="AN435" t="s">
        <v>313</v>
      </c>
      <c r="AO435" t="s">
        <v>1945</v>
      </c>
      <c r="AP435" t="s">
        <v>1946</v>
      </c>
      <c r="AQ435" t="s">
        <v>74</v>
      </c>
      <c r="AR435" t="s">
        <v>1947</v>
      </c>
      <c r="AS435" t="s">
        <v>1948</v>
      </c>
      <c r="AT435" t="s">
        <v>6904</v>
      </c>
      <c r="AU435">
        <v>2021</v>
      </c>
      <c r="AV435">
        <v>18</v>
      </c>
      <c r="AW435">
        <v>3</v>
      </c>
      <c r="AX435" t="s">
        <v>74</v>
      </c>
      <c r="AY435" t="s">
        <v>74</v>
      </c>
      <c r="AZ435" t="s">
        <v>74</v>
      </c>
      <c r="BA435" t="s">
        <v>74</v>
      </c>
      <c r="BB435">
        <v>285</v>
      </c>
      <c r="BC435">
        <v>297</v>
      </c>
      <c r="BD435" t="s">
        <v>74</v>
      </c>
      <c r="BE435" t="s">
        <v>7317</v>
      </c>
      <c r="BF435" t="str">
        <f>HYPERLINK("http://dx.doi.org/10.1080/16843703.2020.1796208","http://dx.doi.org/10.1080/16843703.2020.1796208")</f>
        <v>http://dx.doi.org/10.1080/16843703.2020.1796208</v>
      </c>
      <c r="BG435" t="s">
        <v>74</v>
      </c>
      <c r="BH435" t="s">
        <v>7318</v>
      </c>
      <c r="BI435">
        <v>13</v>
      </c>
      <c r="BJ435" t="s">
        <v>1951</v>
      </c>
      <c r="BK435" t="s">
        <v>149</v>
      </c>
      <c r="BL435" t="s">
        <v>1952</v>
      </c>
      <c r="BM435" t="s">
        <v>7319</v>
      </c>
      <c r="BN435" t="s">
        <v>74</v>
      </c>
      <c r="BO435" t="s">
        <v>74</v>
      </c>
      <c r="BP435" t="s">
        <v>74</v>
      </c>
      <c r="BQ435" t="s">
        <v>74</v>
      </c>
      <c r="BR435" t="s">
        <v>104</v>
      </c>
      <c r="BS435" t="s">
        <v>7320</v>
      </c>
      <c r="BT435" t="str">
        <f>HYPERLINK("https%3A%2F%2Fwww.webofscience.com%2Fwos%2Fwoscc%2Ffull-record%2FWOS:000555222200001","View Full Record in Web of Science")</f>
        <v>View Full Record in Web of Science</v>
      </c>
    </row>
    <row r="436" spans="1:72" x14ac:dyDescent="0.25">
      <c r="A436" t="s">
        <v>72</v>
      </c>
      <c r="B436" t="s">
        <v>7321</v>
      </c>
      <c r="C436" t="s">
        <v>74</v>
      </c>
      <c r="D436" t="s">
        <v>74</v>
      </c>
      <c r="E436" t="s">
        <v>74</v>
      </c>
      <c r="F436" t="s">
        <v>7322</v>
      </c>
      <c r="G436" t="s">
        <v>74</v>
      </c>
      <c r="H436" t="s">
        <v>74</v>
      </c>
      <c r="I436" t="s">
        <v>7323</v>
      </c>
      <c r="J436" t="s">
        <v>2868</v>
      </c>
      <c r="K436" t="s">
        <v>74</v>
      </c>
      <c r="L436" t="s">
        <v>74</v>
      </c>
      <c r="M436" t="s">
        <v>78</v>
      </c>
      <c r="N436" t="s">
        <v>79</v>
      </c>
      <c r="O436" t="s">
        <v>74</v>
      </c>
      <c r="P436" t="s">
        <v>74</v>
      </c>
      <c r="Q436" t="s">
        <v>74</v>
      </c>
      <c r="R436" t="s">
        <v>74</v>
      </c>
      <c r="S436" t="s">
        <v>74</v>
      </c>
      <c r="T436" t="s">
        <v>7324</v>
      </c>
      <c r="U436" t="s">
        <v>7325</v>
      </c>
      <c r="V436" t="s">
        <v>7326</v>
      </c>
      <c r="W436" t="s">
        <v>7327</v>
      </c>
      <c r="X436" t="s">
        <v>7328</v>
      </c>
      <c r="Y436" t="s">
        <v>7329</v>
      </c>
      <c r="Z436" t="s">
        <v>6159</v>
      </c>
      <c r="AA436" t="s">
        <v>74</v>
      </c>
      <c r="AB436" t="s">
        <v>74</v>
      </c>
      <c r="AC436" t="s">
        <v>7330</v>
      </c>
      <c r="AD436" t="s">
        <v>7331</v>
      </c>
      <c r="AE436" t="s">
        <v>7332</v>
      </c>
      <c r="AF436" t="s">
        <v>74</v>
      </c>
      <c r="AG436">
        <v>56</v>
      </c>
      <c r="AH436">
        <v>2</v>
      </c>
      <c r="AI436">
        <v>2</v>
      </c>
      <c r="AJ436">
        <v>12</v>
      </c>
      <c r="AK436">
        <v>13</v>
      </c>
      <c r="AL436" t="s">
        <v>2880</v>
      </c>
      <c r="AM436" t="s">
        <v>2881</v>
      </c>
      <c r="AN436" t="s">
        <v>2882</v>
      </c>
      <c r="AO436" t="s">
        <v>2883</v>
      </c>
      <c r="AP436" t="s">
        <v>2884</v>
      </c>
      <c r="AQ436" t="s">
        <v>74</v>
      </c>
      <c r="AR436" t="s">
        <v>2885</v>
      </c>
      <c r="AS436" t="s">
        <v>2886</v>
      </c>
      <c r="AT436" t="s">
        <v>205</v>
      </c>
      <c r="AU436">
        <v>2024</v>
      </c>
      <c r="AV436">
        <v>11</v>
      </c>
      <c r="AW436">
        <v>3</v>
      </c>
      <c r="AX436" t="s">
        <v>74</v>
      </c>
      <c r="AY436" t="s">
        <v>74</v>
      </c>
      <c r="AZ436" t="s">
        <v>74</v>
      </c>
      <c r="BA436" t="s">
        <v>74</v>
      </c>
      <c r="BB436">
        <v>413</v>
      </c>
      <c r="BC436">
        <v>429</v>
      </c>
      <c r="BD436" t="s">
        <v>74</v>
      </c>
      <c r="BE436" t="s">
        <v>7333</v>
      </c>
      <c r="BF436" t="str">
        <f>HYPERLINK("http://dx.doi.org/10.1007/s42524-024-3103-1","http://dx.doi.org/10.1007/s42524-024-3103-1")</f>
        <v>http://dx.doi.org/10.1007/s42524-024-3103-1</v>
      </c>
      <c r="BG436" t="s">
        <v>74</v>
      </c>
      <c r="BH436" t="s">
        <v>493</v>
      </c>
      <c r="BI436">
        <v>17</v>
      </c>
      <c r="BJ436" t="s">
        <v>100</v>
      </c>
      <c r="BK436" t="s">
        <v>101</v>
      </c>
      <c r="BL436" t="s">
        <v>102</v>
      </c>
      <c r="BM436" t="s">
        <v>5647</v>
      </c>
      <c r="BN436" t="s">
        <v>74</v>
      </c>
      <c r="BO436" t="s">
        <v>74</v>
      </c>
      <c r="BP436" t="s">
        <v>74</v>
      </c>
      <c r="BQ436" t="s">
        <v>74</v>
      </c>
      <c r="BR436" t="s">
        <v>104</v>
      </c>
      <c r="BS436" t="s">
        <v>7334</v>
      </c>
      <c r="BT436" t="str">
        <f>HYPERLINK("https%3A%2F%2Fwww.webofscience.com%2Fwos%2Fwoscc%2Ffull-record%2FWOS:001275418300003","View Full Record in Web of Science")</f>
        <v>View Full Record in Web of Science</v>
      </c>
    </row>
    <row r="437" spans="1:72" x14ac:dyDescent="0.25">
      <c r="A437" t="s">
        <v>72</v>
      </c>
      <c r="B437" t="s">
        <v>7335</v>
      </c>
      <c r="C437" t="s">
        <v>74</v>
      </c>
      <c r="D437" t="s">
        <v>74</v>
      </c>
      <c r="E437" t="s">
        <v>74</v>
      </c>
      <c r="F437" t="s">
        <v>7336</v>
      </c>
      <c r="G437" t="s">
        <v>74</v>
      </c>
      <c r="H437" t="s">
        <v>74</v>
      </c>
      <c r="I437" t="s">
        <v>7337</v>
      </c>
      <c r="J437" t="s">
        <v>697</v>
      </c>
      <c r="K437" t="s">
        <v>74</v>
      </c>
      <c r="L437" t="s">
        <v>74</v>
      </c>
      <c r="M437" t="s">
        <v>78</v>
      </c>
      <c r="N437" t="s">
        <v>79</v>
      </c>
      <c r="O437" t="s">
        <v>74</v>
      </c>
      <c r="P437" t="s">
        <v>74</v>
      </c>
      <c r="Q437" t="s">
        <v>74</v>
      </c>
      <c r="R437" t="s">
        <v>74</v>
      </c>
      <c r="S437" t="s">
        <v>74</v>
      </c>
      <c r="T437" t="s">
        <v>7338</v>
      </c>
      <c r="U437" t="s">
        <v>7339</v>
      </c>
      <c r="V437" t="s">
        <v>7340</v>
      </c>
      <c r="W437" t="s">
        <v>7341</v>
      </c>
      <c r="X437" t="s">
        <v>7342</v>
      </c>
      <c r="Y437" t="s">
        <v>7343</v>
      </c>
      <c r="Z437" t="s">
        <v>7344</v>
      </c>
      <c r="AA437" t="s">
        <v>7345</v>
      </c>
      <c r="AB437" t="s">
        <v>7346</v>
      </c>
      <c r="AC437" t="s">
        <v>74</v>
      </c>
      <c r="AD437" t="s">
        <v>74</v>
      </c>
      <c r="AE437" t="s">
        <v>74</v>
      </c>
      <c r="AF437" t="s">
        <v>74</v>
      </c>
      <c r="AG437">
        <v>55</v>
      </c>
      <c r="AH437">
        <v>1</v>
      </c>
      <c r="AI437">
        <v>1</v>
      </c>
      <c r="AJ437">
        <v>4</v>
      </c>
      <c r="AK437">
        <v>4</v>
      </c>
      <c r="AL437" t="s">
        <v>707</v>
      </c>
      <c r="AM437" t="s">
        <v>246</v>
      </c>
      <c r="AN437" t="s">
        <v>708</v>
      </c>
      <c r="AO437" t="s">
        <v>709</v>
      </c>
      <c r="AP437" t="s">
        <v>710</v>
      </c>
      <c r="AQ437" t="s">
        <v>74</v>
      </c>
      <c r="AR437" t="s">
        <v>711</v>
      </c>
      <c r="AS437" t="s">
        <v>712</v>
      </c>
      <c r="AT437" t="s">
        <v>1076</v>
      </c>
      <c r="AU437">
        <v>2024</v>
      </c>
      <c r="AV437">
        <v>196</v>
      </c>
      <c r="AW437" t="s">
        <v>74</v>
      </c>
      <c r="AX437" t="s">
        <v>74</v>
      </c>
      <c r="AY437" t="s">
        <v>74</v>
      </c>
      <c r="AZ437" t="s">
        <v>74</v>
      </c>
      <c r="BA437" t="s">
        <v>74</v>
      </c>
      <c r="BB437" t="s">
        <v>74</v>
      </c>
      <c r="BC437" t="s">
        <v>74</v>
      </c>
      <c r="BD437">
        <v>110433</v>
      </c>
      <c r="BE437" t="s">
        <v>7347</v>
      </c>
      <c r="BF437" t="str">
        <f>HYPERLINK("http://dx.doi.org/10.1016/j.cie.2024.110433","http://dx.doi.org/10.1016/j.cie.2024.110433")</f>
        <v>http://dx.doi.org/10.1016/j.cie.2024.110433</v>
      </c>
      <c r="BG437" t="s">
        <v>74</v>
      </c>
      <c r="BH437" t="s">
        <v>989</v>
      </c>
      <c r="BI437">
        <v>19</v>
      </c>
      <c r="BJ437" t="s">
        <v>715</v>
      </c>
      <c r="BK437" t="s">
        <v>149</v>
      </c>
      <c r="BL437" t="s">
        <v>716</v>
      </c>
      <c r="BM437" t="s">
        <v>7348</v>
      </c>
      <c r="BN437" t="s">
        <v>74</v>
      </c>
      <c r="BO437" t="s">
        <v>74</v>
      </c>
      <c r="BP437" t="s">
        <v>74</v>
      </c>
      <c r="BQ437" t="s">
        <v>74</v>
      </c>
      <c r="BR437" t="s">
        <v>104</v>
      </c>
      <c r="BS437" t="s">
        <v>7349</v>
      </c>
      <c r="BT437" t="str">
        <f>HYPERLINK("https%3A%2F%2Fwww.webofscience.com%2Fwos%2Fwoscc%2Ffull-record%2FWOS:001295761700001","View Full Record in Web of Science")</f>
        <v>View Full Record in Web of Science</v>
      </c>
    </row>
    <row r="438" spans="1:72" x14ac:dyDescent="0.25">
      <c r="A438" t="s">
        <v>72</v>
      </c>
      <c r="B438" t="s">
        <v>7350</v>
      </c>
      <c r="C438" t="s">
        <v>74</v>
      </c>
      <c r="D438" t="s">
        <v>74</v>
      </c>
      <c r="E438" t="s">
        <v>74</v>
      </c>
      <c r="F438" t="s">
        <v>7351</v>
      </c>
      <c r="G438" t="s">
        <v>74</v>
      </c>
      <c r="H438" t="s">
        <v>74</v>
      </c>
      <c r="I438" t="s">
        <v>7352</v>
      </c>
      <c r="J438" t="s">
        <v>603</v>
      </c>
      <c r="K438" t="s">
        <v>74</v>
      </c>
      <c r="L438" t="s">
        <v>74</v>
      </c>
      <c r="M438" t="s">
        <v>78</v>
      </c>
      <c r="N438" t="s">
        <v>79</v>
      </c>
      <c r="O438" t="s">
        <v>74</v>
      </c>
      <c r="P438" t="s">
        <v>74</v>
      </c>
      <c r="Q438" t="s">
        <v>74</v>
      </c>
      <c r="R438" t="s">
        <v>74</v>
      </c>
      <c r="S438" t="s">
        <v>74</v>
      </c>
      <c r="T438" t="s">
        <v>7353</v>
      </c>
      <c r="U438" t="s">
        <v>7354</v>
      </c>
      <c r="V438" t="s">
        <v>7355</v>
      </c>
      <c r="W438" t="s">
        <v>7356</v>
      </c>
      <c r="X438" t="s">
        <v>7357</v>
      </c>
      <c r="Y438" t="s">
        <v>7358</v>
      </c>
      <c r="Z438" t="s">
        <v>7359</v>
      </c>
      <c r="AA438" t="s">
        <v>7360</v>
      </c>
      <c r="AB438" t="s">
        <v>74</v>
      </c>
      <c r="AC438" t="s">
        <v>74</v>
      </c>
      <c r="AD438" t="s">
        <v>74</v>
      </c>
      <c r="AE438" t="s">
        <v>74</v>
      </c>
      <c r="AF438" t="s">
        <v>74</v>
      </c>
      <c r="AG438">
        <v>18</v>
      </c>
      <c r="AH438">
        <v>1</v>
      </c>
      <c r="AI438">
        <v>1</v>
      </c>
      <c r="AJ438">
        <v>1</v>
      </c>
      <c r="AK438">
        <v>3</v>
      </c>
      <c r="AL438" t="s">
        <v>613</v>
      </c>
      <c r="AM438" t="s">
        <v>614</v>
      </c>
      <c r="AN438" t="s">
        <v>615</v>
      </c>
      <c r="AO438" t="s">
        <v>616</v>
      </c>
      <c r="AP438" t="s">
        <v>617</v>
      </c>
      <c r="AQ438" t="s">
        <v>74</v>
      </c>
      <c r="AR438" t="s">
        <v>618</v>
      </c>
      <c r="AS438" t="s">
        <v>619</v>
      </c>
      <c r="AT438" t="s">
        <v>559</v>
      </c>
      <c r="AU438">
        <v>2021</v>
      </c>
      <c r="AV438">
        <v>20</v>
      </c>
      <c r="AW438">
        <v>2</v>
      </c>
      <c r="AX438" t="s">
        <v>74</v>
      </c>
      <c r="AY438" t="s">
        <v>74</v>
      </c>
      <c r="AZ438" t="s">
        <v>74</v>
      </c>
      <c r="BA438" t="s">
        <v>74</v>
      </c>
      <c r="BB438">
        <v>192</v>
      </c>
      <c r="BC438">
        <v>200</v>
      </c>
      <c r="BD438" t="s">
        <v>74</v>
      </c>
      <c r="BE438" t="s">
        <v>7361</v>
      </c>
      <c r="BF438" t="str">
        <f>HYPERLINK("http://dx.doi.org/10.7232/iems.2021.20.2.192","http://dx.doi.org/10.7232/iems.2021.20.2.192")</f>
        <v>http://dx.doi.org/10.7232/iems.2021.20.2.192</v>
      </c>
      <c r="BG438" t="s">
        <v>74</v>
      </c>
      <c r="BH438" t="s">
        <v>74</v>
      </c>
      <c r="BI438">
        <v>9</v>
      </c>
      <c r="BJ438" t="s">
        <v>100</v>
      </c>
      <c r="BK438" t="s">
        <v>101</v>
      </c>
      <c r="BL438" t="s">
        <v>102</v>
      </c>
      <c r="BM438" t="s">
        <v>7362</v>
      </c>
      <c r="BN438" t="s">
        <v>74</v>
      </c>
      <c r="BO438" t="s">
        <v>400</v>
      </c>
      <c r="BP438" t="s">
        <v>74</v>
      </c>
      <c r="BQ438" t="s">
        <v>74</v>
      </c>
      <c r="BR438" t="s">
        <v>104</v>
      </c>
      <c r="BS438" t="s">
        <v>7363</v>
      </c>
      <c r="BT438" t="str">
        <f>HYPERLINK("https%3A%2F%2Fwww.webofscience.com%2Fwos%2Fwoscc%2Ffull-record%2FWOS:000670211400011","View Full Record in Web of Science")</f>
        <v>View Full Record in Web of Science</v>
      </c>
    </row>
    <row r="439" spans="1:72" x14ac:dyDescent="0.25">
      <c r="A439" t="s">
        <v>72</v>
      </c>
      <c r="B439" t="s">
        <v>7364</v>
      </c>
      <c r="C439" t="s">
        <v>74</v>
      </c>
      <c r="D439" t="s">
        <v>74</v>
      </c>
      <c r="E439" t="s">
        <v>74</v>
      </c>
      <c r="F439" t="s">
        <v>7365</v>
      </c>
      <c r="G439" t="s">
        <v>74</v>
      </c>
      <c r="H439" t="s">
        <v>74</v>
      </c>
      <c r="I439" t="s">
        <v>7366</v>
      </c>
      <c r="J439" t="s">
        <v>128</v>
      </c>
      <c r="K439" t="s">
        <v>74</v>
      </c>
      <c r="L439" t="s">
        <v>74</v>
      </c>
      <c r="M439" t="s">
        <v>78</v>
      </c>
      <c r="N439" t="s">
        <v>79</v>
      </c>
      <c r="O439" t="s">
        <v>74</v>
      </c>
      <c r="P439" t="s">
        <v>74</v>
      </c>
      <c r="Q439" t="s">
        <v>74</v>
      </c>
      <c r="R439" t="s">
        <v>74</v>
      </c>
      <c r="S439" t="s">
        <v>74</v>
      </c>
      <c r="T439" t="s">
        <v>7367</v>
      </c>
      <c r="U439" t="s">
        <v>7368</v>
      </c>
      <c r="V439" t="s">
        <v>7369</v>
      </c>
      <c r="W439" t="s">
        <v>7370</v>
      </c>
      <c r="X439" t="s">
        <v>7371</v>
      </c>
      <c r="Y439" t="s">
        <v>7372</v>
      </c>
      <c r="Z439" t="s">
        <v>7373</v>
      </c>
      <c r="AA439" t="s">
        <v>7374</v>
      </c>
      <c r="AB439" t="s">
        <v>7375</v>
      </c>
      <c r="AC439" t="s">
        <v>7376</v>
      </c>
      <c r="AD439" t="s">
        <v>7377</v>
      </c>
      <c r="AE439" t="s">
        <v>7378</v>
      </c>
      <c r="AF439" t="s">
        <v>74</v>
      </c>
      <c r="AG439">
        <v>44</v>
      </c>
      <c r="AH439">
        <v>8</v>
      </c>
      <c r="AI439">
        <v>9</v>
      </c>
      <c r="AJ439">
        <v>7</v>
      </c>
      <c r="AK439">
        <v>25</v>
      </c>
      <c r="AL439" t="s">
        <v>138</v>
      </c>
      <c r="AM439" t="s">
        <v>246</v>
      </c>
      <c r="AN439" t="s">
        <v>247</v>
      </c>
      <c r="AO439" t="s">
        <v>141</v>
      </c>
      <c r="AP439" t="s">
        <v>142</v>
      </c>
      <c r="AQ439" t="s">
        <v>74</v>
      </c>
      <c r="AR439" t="s">
        <v>143</v>
      </c>
      <c r="AS439" t="s">
        <v>144</v>
      </c>
      <c r="AT439" t="s">
        <v>1076</v>
      </c>
      <c r="AU439">
        <v>2022</v>
      </c>
      <c r="AV439">
        <v>226</v>
      </c>
      <c r="AW439" t="s">
        <v>74</v>
      </c>
      <c r="AX439" t="s">
        <v>74</v>
      </c>
      <c r="AY439" t="s">
        <v>74</v>
      </c>
      <c r="AZ439" t="s">
        <v>74</v>
      </c>
      <c r="BA439" t="s">
        <v>74</v>
      </c>
      <c r="BB439" t="s">
        <v>74</v>
      </c>
      <c r="BC439" t="s">
        <v>74</v>
      </c>
      <c r="BD439">
        <v>108678</v>
      </c>
      <c r="BE439" t="s">
        <v>7379</v>
      </c>
      <c r="BF439" t="str">
        <f>HYPERLINK("http://dx.doi.org/10.1016/j.ress.2022.108678","http://dx.doi.org/10.1016/j.ress.2022.108678")</f>
        <v>http://dx.doi.org/10.1016/j.ress.2022.108678</v>
      </c>
      <c r="BG439" t="s">
        <v>74</v>
      </c>
      <c r="BH439" t="s">
        <v>3597</v>
      </c>
      <c r="BI439">
        <v>17</v>
      </c>
      <c r="BJ439" t="s">
        <v>148</v>
      </c>
      <c r="BK439" t="s">
        <v>149</v>
      </c>
      <c r="BL439" t="s">
        <v>150</v>
      </c>
      <c r="BM439" t="s">
        <v>7380</v>
      </c>
      <c r="BN439" t="s">
        <v>74</v>
      </c>
      <c r="BO439" t="s">
        <v>1578</v>
      </c>
      <c r="BP439" t="s">
        <v>74</v>
      </c>
      <c r="BQ439" t="s">
        <v>74</v>
      </c>
      <c r="BR439" t="s">
        <v>104</v>
      </c>
      <c r="BS439" t="s">
        <v>7381</v>
      </c>
      <c r="BT439" t="str">
        <f>HYPERLINK("https%3A%2F%2Fwww.webofscience.com%2Fwos%2Fwoscc%2Ffull-record%2FWOS:000829043000003","View Full Record in Web of Science")</f>
        <v>View Full Record in Web of Science</v>
      </c>
    </row>
    <row r="440" spans="1:72" x14ac:dyDescent="0.25">
      <c r="A440" t="s">
        <v>72</v>
      </c>
      <c r="B440" t="s">
        <v>7382</v>
      </c>
      <c r="C440" t="s">
        <v>74</v>
      </c>
      <c r="D440" t="s">
        <v>74</v>
      </c>
      <c r="E440" t="s">
        <v>74</v>
      </c>
      <c r="F440" t="s">
        <v>7383</v>
      </c>
      <c r="G440" t="s">
        <v>74</v>
      </c>
      <c r="H440" t="s">
        <v>74</v>
      </c>
      <c r="I440" t="s">
        <v>7384</v>
      </c>
      <c r="J440" t="s">
        <v>778</v>
      </c>
      <c r="K440" t="s">
        <v>74</v>
      </c>
      <c r="L440" t="s">
        <v>74</v>
      </c>
      <c r="M440" t="s">
        <v>78</v>
      </c>
      <c r="N440" t="s">
        <v>79</v>
      </c>
      <c r="O440" t="s">
        <v>74</v>
      </c>
      <c r="P440" t="s">
        <v>74</v>
      </c>
      <c r="Q440" t="s">
        <v>74</v>
      </c>
      <c r="R440" t="s">
        <v>74</v>
      </c>
      <c r="S440" t="s">
        <v>74</v>
      </c>
      <c r="T440" t="s">
        <v>7385</v>
      </c>
      <c r="U440" t="s">
        <v>7386</v>
      </c>
      <c r="V440" t="s">
        <v>7387</v>
      </c>
      <c r="W440" t="s">
        <v>7388</v>
      </c>
      <c r="X440" t="s">
        <v>7389</v>
      </c>
      <c r="Y440" t="s">
        <v>7390</v>
      </c>
      <c r="Z440" t="s">
        <v>7391</v>
      </c>
      <c r="AA440" t="s">
        <v>7392</v>
      </c>
      <c r="AB440" t="s">
        <v>7393</v>
      </c>
      <c r="AC440" t="s">
        <v>7394</v>
      </c>
      <c r="AD440" t="s">
        <v>7395</v>
      </c>
      <c r="AE440" t="s">
        <v>7396</v>
      </c>
      <c r="AF440" t="s">
        <v>74</v>
      </c>
      <c r="AG440">
        <v>85</v>
      </c>
      <c r="AH440">
        <v>15</v>
      </c>
      <c r="AI440">
        <v>15</v>
      </c>
      <c r="AJ440">
        <v>3</v>
      </c>
      <c r="AK440">
        <v>33</v>
      </c>
      <c r="AL440" t="s">
        <v>311</v>
      </c>
      <c r="AM440" t="s">
        <v>312</v>
      </c>
      <c r="AN440" t="s">
        <v>313</v>
      </c>
      <c r="AO440" t="s">
        <v>788</v>
      </c>
      <c r="AP440" t="s">
        <v>789</v>
      </c>
      <c r="AQ440" t="s">
        <v>74</v>
      </c>
      <c r="AR440" t="s">
        <v>790</v>
      </c>
      <c r="AS440" t="s">
        <v>791</v>
      </c>
      <c r="AT440" t="s">
        <v>7397</v>
      </c>
      <c r="AU440">
        <v>2023</v>
      </c>
      <c r="AV440">
        <v>34</v>
      </c>
      <c r="AW440">
        <v>15</v>
      </c>
      <c r="AX440" t="s">
        <v>74</v>
      </c>
      <c r="AY440" t="s">
        <v>74</v>
      </c>
      <c r="AZ440" t="s">
        <v>74</v>
      </c>
      <c r="BA440" t="s">
        <v>74</v>
      </c>
      <c r="BB440">
        <v>1497</v>
      </c>
      <c r="BC440">
        <v>1512</v>
      </c>
      <c r="BD440" t="s">
        <v>74</v>
      </c>
      <c r="BE440" t="s">
        <v>7398</v>
      </c>
      <c r="BF440" t="str">
        <f>HYPERLINK("http://dx.doi.org/10.1080/09537287.2022.2026672","http://dx.doi.org/10.1080/09537287.2022.2026672")</f>
        <v>http://dx.doi.org/10.1080/09537287.2022.2026672</v>
      </c>
      <c r="BG440" t="s">
        <v>74</v>
      </c>
      <c r="BH440" t="s">
        <v>1971</v>
      </c>
      <c r="BI440">
        <v>16</v>
      </c>
      <c r="BJ440" t="s">
        <v>321</v>
      </c>
      <c r="BK440" t="s">
        <v>149</v>
      </c>
      <c r="BL440" t="s">
        <v>150</v>
      </c>
      <c r="BM440" t="s">
        <v>7399</v>
      </c>
      <c r="BN440" t="s">
        <v>74</v>
      </c>
      <c r="BO440" t="s">
        <v>74</v>
      </c>
      <c r="BP440" t="s">
        <v>74</v>
      </c>
      <c r="BQ440" t="s">
        <v>74</v>
      </c>
      <c r="BR440" t="s">
        <v>104</v>
      </c>
      <c r="BS440" t="s">
        <v>7400</v>
      </c>
      <c r="BT440" t="str">
        <f>HYPERLINK("https%3A%2F%2Fwww.webofscience.com%2Fwos%2Fwoscc%2Ffull-record%2FWOS:000750738700001","View Full Record in Web of Science")</f>
        <v>View Full Record in Web of Science</v>
      </c>
    </row>
    <row r="441" spans="1:72" x14ac:dyDescent="0.25">
      <c r="A441" t="s">
        <v>72</v>
      </c>
      <c r="B441" t="s">
        <v>7401</v>
      </c>
      <c r="C441" t="s">
        <v>74</v>
      </c>
      <c r="D441" t="s">
        <v>74</v>
      </c>
      <c r="E441" t="s">
        <v>74</v>
      </c>
      <c r="F441" t="s">
        <v>7402</v>
      </c>
      <c r="G441" t="s">
        <v>74</v>
      </c>
      <c r="H441" t="s">
        <v>74</v>
      </c>
      <c r="I441" t="s">
        <v>7403</v>
      </c>
      <c r="J441" t="s">
        <v>697</v>
      </c>
      <c r="K441" t="s">
        <v>74</v>
      </c>
      <c r="L441" t="s">
        <v>74</v>
      </c>
      <c r="M441" t="s">
        <v>78</v>
      </c>
      <c r="N441" t="s">
        <v>79</v>
      </c>
      <c r="O441" t="s">
        <v>74</v>
      </c>
      <c r="P441" t="s">
        <v>74</v>
      </c>
      <c r="Q441" t="s">
        <v>74</v>
      </c>
      <c r="R441" t="s">
        <v>74</v>
      </c>
      <c r="S441" t="s">
        <v>74</v>
      </c>
      <c r="T441" t="s">
        <v>7404</v>
      </c>
      <c r="U441" t="s">
        <v>7405</v>
      </c>
      <c r="V441" t="s">
        <v>7406</v>
      </c>
      <c r="W441" t="s">
        <v>7407</v>
      </c>
      <c r="X441" t="s">
        <v>7408</v>
      </c>
      <c r="Y441" t="s">
        <v>3824</v>
      </c>
      <c r="Z441" t="s">
        <v>3825</v>
      </c>
      <c r="AA441" t="s">
        <v>74</v>
      </c>
      <c r="AB441" t="s">
        <v>3826</v>
      </c>
      <c r="AC441" t="s">
        <v>7409</v>
      </c>
      <c r="AD441" t="s">
        <v>7410</v>
      </c>
      <c r="AE441" t="s">
        <v>7411</v>
      </c>
      <c r="AF441" t="s">
        <v>74</v>
      </c>
      <c r="AG441">
        <v>43</v>
      </c>
      <c r="AH441">
        <v>1</v>
      </c>
      <c r="AI441">
        <v>1</v>
      </c>
      <c r="AJ441">
        <v>11</v>
      </c>
      <c r="AK441">
        <v>17</v>
      </c>
      <c r="AL441" t="s">
        <v>707</v>
      </c>
      <c r="AM441" t="s">
        <v>246</v>
      </c>
      <c r="AN441" t="s">
        <v>708</v>
      </c>
      <c r="AO441" t="s">
        <v>709</v>
      </c>
      <c r="AP441" t="s">
        <v>710</v>
      </c>
      <c r="AQ441" t="s">
        <v>74</v>
      </c>
      <c r="AR441" t="s">
        <v>711</v>
      </c>
      <c r="AS441" t="s">
        <v>712</v>
      </c>
      <c r="AT441" t="s">
        <v>491</v>
      </c>
      <c r="AU441">
        <v>2023</v>
      </c>
      <c r="AV441">
        <v>185</v>
      </c>
      <c r="AW441" t="s">
        <v>74</v>
      </c>
      <c r="AX441" t="s">
        <v>74</v>
      </c>
      <c r="AY441" t="s">
        <v>74</v>
      </c>
      <c r="AZ441" t="s">
        <v>74</v>
      </c>
      <c r="BA441" t="s">
        <v>74</v>
      </c>
      <c r="BB441" t="s">
        <v>74</v>
      </c>
      <c r="BC441" t="s">
        <v>74</v>
      </c>
      <c r="BD441">
        <v>109626</v>
      </c>
      <c r="BE441" t="s">
        <v>7412</v>
      </c>
      <c r="BF441" t="str">
        <f>HYPERLINK("http://dx.doi.org/10.1016/j.cie.2023.109626","http://dx.doi.org/10.1016/j.cie.2023.109626")</f>
        <v>http://dx.doi.org/10.1016/j.cie.2023.109626</v>
      </c>
      <c r="BG441" t="s">
        <v>74</v>
      </c>
      <c r="BH441" t="s">
        <v>846</v>
      </c>
      <c r="BI441">
        <v>19</v>
      </c>
      <c r="BJ441" t="s">
        <v>715</v>
      </c>
      <c r="BK441" t="s">
        <v>149</v>
      </c>
      <c r="BL441" t="s">
        <v>716</v>
      </c>
      <c r="BM441" t="s">
        <v>7413</v>
      </c>
      <c r="BN441" t="s">
        <v>74</v>
      </c>
      <c r="BO441" t="s">
        <v>74</v>
      </c>
      <c r="BP441" t="s">
        <v>74</v>
      </c>
      <c r="BQ441" t="s">
        <v>74</v>
      </c>
      <c r="BR441" t="s">
        <v>104</v>
      </c>
      <c r="BS441" t="s">
        <v>7414</v>
      </c>
      <c r="BT441" t="str">
        <f>HYPERLINK("https%3A%2F%2Fwww.webofscience.com%2Fwos%2Fwoscc%2Ffull-record%2FWOS:001096667500001","View Full Record in Web of Science")</f>
        <v>View Full Record in Web of Science</v>
      </c>
    </row>
    <row r="442" spans="1:72" x14ac:dyDescent="0.25">
      <c r="A442" t="s">
        <v>72</v>
      </c>
      <c r="B442" t="s">
        <v>7415</v>
      </c>
      <c r="C442" t="s">
        <v>74</v>
      </c>
      <c r="D442" t="s">
        <v>74</v>
      </c>
      <c r="E442" t="s">
        <v>74</v>
      </c>
      <c r="F442" t="s">
        <v>7416</v>
      </c>
      <c r="G442" t="s">
        <v>74</v>
      </c>
      <c r="H442" t="s">
        <v>74</v>
      </c>
      <c r="I442" t="s">
        <v>7417</v>
      </c>
      <c r="J442" t="s">
        <v>7418</v>
      </c>
      <c r="K442" t="s">
        <v>74</v>
      </c>
      <c r="L442" t="s">
        <v>74</v>
      </c>
      <c r="M442" t="s">
        <v>78</v>
      </c>
      <c r="N442" t="s">
        <v>79</v>
      </c>
      <c r="O442" t="s">
        <v>74</v>
      </c>
      <c r="P442" t="s">
        <v>74</v>
      </c>
      <c r="Q442" t="s">
        <v>74</v>
      </c>
      <c r="R442" t="s">
        <v>74</v>
      </c>
      <c r="S442" t="s">
        <v>74</v>
      </c>
      <c r="T442" t="s">
        <v>7419</v>
      </c>
      <c r="U442" t="s">
        <v>7420</v>
      </c>
      <c r="V442" t="s">
        <v>7421</v>
      </c>
      <c r="W442" t="s">
        <v>7422</v>
      </c>
      <c r="X442" t="s">
        <v>7423</v>
      </c>
      <c r="Y442" t="s">
        <v>7424</v>
      </c>
      <c r="Z442" t="s">
        <v>7425</v>
      </c>
      <c r="AA442" t="s">
        <v>7426</v>
      </c>
      <c r="AB442" t="s">
        <v>7427</v>
      </c>
      <c r="AC442" t="s">
        <v>7428</v>
      </c>
      <c r="AD442" t="s">
        <v>7428</v>
      </c>
      <c r="AE442" t="s">
        <v>7429</v>
      </c>
      <c r="AF442" t="s">
        <v>74</v>
      </c>
      <c r="AG442">
        <v>44</v>
      </c>
      <c r="AH442">
        <v>1</v>
      </c>
      <c r="AI442">
        <v>1</v>
      </c>
      <c r="AJ442">
        <v>1</v>
      </c>
      <c r="AK442">
        <v>10</v>
      </c>
      <c r="AL442" t="s">
        <v>7430</v>
      </c>
      <c r="AM442" t="s">
        <v>7431</v>
      </c>
      <c r="AN442" t="s">
        <v>7432</v>
      </c>
      <c r="AO442" t="s">
        <v>7433</v>
      </c>
      <c r="AP442" t="s">
        <v>7434</v>
      </c>
      <c r="AQ442" t="s">
        <v>74</v>
      </c>
      <c r="AR442" t="s">
        <v>7435</v>
      </c>
      <c r="AS442" t="s">
        <v>7436</v>
      </c>
      <c r="AT442" t="s">
        <v>74</v>
      </c>
      <c r="AU442">
        <v>2021</v>
      </c>
      <c r="AV442">
        <v>70</v>
      </c>
      <c r="AW442">
        <v>2</v>
      </c>
      <c r="AX442" t="s">
        <v>74</v>
      </c>
      <c r="AY442" t="s">
        <v>74</v>
      </c>
      <c r="AZ442" t="s">
        <v>74</v>
      </c>
      <c r="BA442" t="s">
        <v>74</v>
      </c>
      <c r="BB442">
        <v>172</v>
      </c>
      <c r="BC442">
        <v>189</v>
      </c>
      <c r="BD442" t="s">
        <v>74</v>
      </c>
      <c r="BE442" t="s">
        <v>7437</v>
      </c>
      <c r="BF442" t="str">
        <f>HYPERLINK("http://dx.doi.org/10.3176/proc.2021.2.07","http://dx.doi.org/10.3176/proc.2021.2.07")</f>
        <v>http://dx.doi.org/10.3176/proc.2021.2.07</v>
      </c>
      <c r="BG442" t="s">
        <v>74</v>
      </c>
      <c r="BH442" t="s">
        <v>74</v>
      </c>
      <c r="BI442">
        <v>18</v>
      </c>
      <c r="BJ442" t="s">
        <v>517</v>
      </c>
      <c r="BK442" t="s">
        <v>149</v>
      </c>
      <c r="BL442" t="s">
        <v>518</v>
      </c>
      <c r="BM442" t="s">
        <v>7438</v>
      </c>
      <c r="BN442" t="s">
        <v>74</v>
      </c>
      <c r="BO442" t="s">
        <v>520</v>
      </c>
      <c r="BP442" t="s">
        <v>74</v>
      </c>
      <c r="BQ442" t="s">
        <v>74</v>
      </c>
      <c r="BR442" t="s">
        <v>104</v>
      </c>
      <c r="BS442" t="s">
        <v>7439</v>
      </c>
      <c r="BT442" t="str">
        <f>HYPERLINK("https%3A%2F%2Fwww.webofscience.com%2Fwos%2Fwoscc%2Ffull-record%2FWOS:000668180800005","View Full Record in Web of Science")</f>
        <v>View Full Record in Web of Science</v>
      </c>
    </row>
    <row r="443" spans="1:72" x14ac:dyDescent="0.25">
      <c r="A443" t="s">
        <v>72</v>
      </c>
      <c r="B443" t="s">
        <v>7440</v>
      </c>
      <c r="C443" t="s">
        <v>74</v>
      </c>
      <c r="D443" t="s">
        <v>74</v>
      </c>
      <c r="E443" t="s">
        <v>74</v>
      </c>
      <c r="F443" t="s">
        <v>7441</v>
      </c>
      <c r="G443" t="s">
        <v>74</v>
      </c>
      <c r="H443" t="s">
        <v>74</v>
      </c>
      <c r="I443" t="s">
        <v>7442</v>
      </c>
      <c r="J443" t="s">
        <v>472</v>
      </c>
      <c r="K443" t="s">
        <v>74</v>
      </c>
      <c r="L443" t="s">
        <v>74</v>
      </c>
      <c r="M443" t="s">
        <v>78</v>
      </c>
      <c r="N443" t="s">
        <v>79</v>
      </c>
      <c r="O443" t="s">
        <v>74</v>
      </c>
      <c r="P443" t="s">
        <v>74</v>
      </c>
      <c r="Q443" t="s">
        <v>74</v>
      </c>
      <c r="R443" t="s">
        <v>74</v>
      </c>
      <c r="S443" t="s">
        <v>74</v>
      </c>
      <c r="T443" t="s">
        <v>7443</v>
      </c>
      <c r="U443" t="s">
        <v>7444</v>
      </c>
      <c r="V443" t="s">
        <v>7445</v>
      </c>
      <c r="W443" t="s">
        <v>7446</v>
      </c>
      <c r="X443" t="s">
        <v>1313</v>
      </c>
      <c r="Y443" t="s">
        <v>7447</v>
      </c>
      <c r="Z443" t="s">
        <v>7448</v>
      </c>
      <c r="AA443" t="s">
        <v>7449</v>
      </c>
      <c r="AB443" t="s">
        <v>7450</v>
      </c>
      <c r="AC443" t="s">
        <v>7451</v>
      </c>
      <c r="AD443" t="s">
        <v>7452</v>
      </c>
      <c r="AE443" t="s">
        <v>7453</v>
      </c>
      <c r="AF443" t="s">
        <v>74</v>
      </c>
      <c r="AG443">
        <v>60</v>
      </c>
      <c r="AH443">
        <v>1</v>
      </c>
      <c r="AI443">
        <v>1</v>
      </c>
      <c r="AJ443">
        <v>5</v>
      </c>
      <c r="AK443">
        <v>9</v>
      </c>
      <c r="AL443" t="s">
        <v>484</v>
      </c>
      <c r="AM443" t="s">
        <v>485</v>
      </c>
      <c r="AN443" t="s">
        <v>486</v>
      </c>
      <c r="AO443" t="s">
        <v>487</v>
      </c>
      <c r="AP443" t="s">
        <v>488</v>
      </c>
      <c r="AQ443" t="s">
        <v>74</v>
      </c>
      <c r="AR443" t="s">
        <v>489</v>
      </c>
      <c r="AS443" t="s">
        <v>490</v>
      </c>
      <c r="AT443" t="s">
        <v>1076</v>
      </c>
      <c r="AU443">
        <v>2024</v>
      </c>
      <c r="AV443">
        <v>40</v>
      </c>
      <c r="AW443">
        <v>6</v>
      </c>
      <c r="AX443" t="s">
        <v>74</v>
      </c>
      <c r="AY443" t="s">
        <v>74</v>
      </c>
      <c r="AZ443" t="s">
        <v>74</v>
      </c>
      <c r="BA443" t="s">
        <v>74</v>
      </c>
      <c r="BB443">
        <v>3487</v>
      </c>
      <c r="BC443">
        <v>3516</v>
      </c>
      <c r="BD443" t="s">
        <v>74</v>
      </c>
      <c r="BE443" t="s">
        <v>7454</v>
      </c>
      <c r="BF443" t="str">
        <f>HYPERLINK("http://dx.doi.org/10.1002/qre.3595","http://dx.doi.org/10.1002/qre.3595")</f>
        <v>http://dx.doi.org/10.1002/qre.3595</v>
      </c>
      <c r="BG443" t="s">
        <v>74</v>
      </c>
      <c r="BH443" t="s">
        <v>2072</v>
      </c>
      <c r="BI443">
        <v>30</v>
      </c>
      <c r="BJ443" t="s">
        <v>494</v>
      </c>
      <c r="BK443" t="s">
        <v>149</v>
      </c>
      <c r="BL443" t="s">
        <v>150</v>
      </c>
      <c r="BM443" t="s">
        <v>7455</v>
      </c>
      <c r="BN443" t="s">
        <v>74</v>
      </c>
      <c r="BO443" t="s">
        <v>74</v>
      </c>
      <c r="BP443" t="s">
        <v>74</v>
      </c>
      <c r="BQ443" t="s">
        <v>74</v>
      </c>
      <c r="BR443" t="s">
        <v>104</v>
      </c>
      <c r="BS443" t="s">
        <v>7456</v>
      </c>
      <c r="BT443" t="str">
        <f>HYPERLINK("https%3A%2F%2Fwww.webofscience.com%2Fwos%2Fwoscc%2Ffull-record%2FWOS:001235265500001","View Full Record in Web of Science")</f>
        <v>View Full Record in Web of Science</v>
      </c>
    </row>
    <row r="444" spans="1:72" x14ac:dyDescent="0.25">
      <c r="A444" t="s">
        <v>72</v>
      </c>
      <c r="B444" t="s">
        <v>7457</v>
      </c>
      <c r="C444" t="s">
        <v>74</v>
      </c>
      <c r="D444" t="s">
        <v>74</v>
      </c>
      <c r="E444" t="s">
        <v>74</v>
      </c>
      <c r="F444" t="s">
        <v>7458</v>
      </c>
      <c r="G444" t="s">
        <v>74</v>
      </c>
      <c r="H444" t="s">
        <v>74</v>
      </c>
      <c r="I444" t="s">
        <v>7459</v>
      </c>
      <c r="J444" t="s">
        <v>329</v>
      </c>
      <c r="K444" t="s">
        <v>74</v>
      </c>
      <c r="L444" t="s">
        <v>74</v>
      </c>
      <c r="M444" t="s">
        <v>78</v>
      </c>
      <c r="N444" t="s">
        <v>79</v>
      </c>
      <c r="O444" t="s">
        <v>74</v>
      </c>
      <c r="P444" t="s">
        <v>74</v>
      </c>
      <c r="Q444" t="s">
        <v>74</v>
      </c>
      <c r="R444" t="s">
        <v>74</v>
      </c>
      <c r="S444" t="s">
        <v>74</v>
      </c>
      <c r="T444" t="s">
        <v>74</v>
      </c>
      <c r="U444" t="s">
        <v>7460</v>
      </c>
      <c r="V444" t="s">
        <v>7461</v>
      </c>
      <c r="W444" t="s">
        <v>7462</v>
      </c>
      <c r="X444" t="s">
        <v>7463</v>
      </c>
      <c r="Y444" t="s">
        <v>7464</v>
      </c>
      <c r="Z444" t="s">
        <v>7465</v>
      </c>
      <c r="AA444" t="s">
        <v>7466</v>
      </c>
      <c r="AB444" t="s">
        <v>7467</v>
      </c>
      <c r="AC444" t="s">
        <v>74</v>
      </c>
      <c r="AD444" t="s">
        <v>74</v>
      </c>
      <c r="AE444" t="s">
        <v>74</v>
      </c>
      <c r="AF444" t="s">
        <v>74</v>
      </c>
      <c r="AG444">
        <v>67</v>
      </c>
      <c r="AH444">
        <v>4</v>
      </c>
      <c r="AI444">
        <v>4</v>
      </c>
      <c r="AJ444">
        <v>4</v>
      </c>
      <c r="AK444">
        <v>17</v>
      </c>
      <c r="AL444" t="s">
        <v>339</v>
      </c>
      <c r="AM444" t="s">
        <v>340</v>
      </c>
      <c r="AN444" t="s">
        <v>341</v>
      </c>
      <c r="AO444" t="s">
        <v>342</v>
      </c>
      <c r="AP444" t="s">
        <v>343</v>
      </c>
      <c r="AQ444" t="s">
        <v>74</v>
      </c>
      <c r="AR444" t="s">
        <v>344</v>
      </c>
      <c r="AS444" t="s">
        <v>345</v>
      </c>
      <c r="AT444" t="s">
        <v>6805</v>
      </c>
      <c r="AU444">
        <v>2023</v>
      </c>
      <c r="AV444">
        <v>39</v>
      </c>
      <c r="AW444">
        <v>5</v>
      </c>
      <c r="AX444" t="s">
        <v>74</v>
      </c>
      <c r="AY444" t="s">
        <v>74</v>
      </c>
      <c r="AZ444" t="s">
        <v>74</v>
      </c>
      <c r="BA444" t="s">
        <v>74</v>
      </c>
      <c r="BB444" t="s">
        <v>74</v>
      </c>
      <c r="BC444" t="s">
        <v>74</v>
      </c>
      <c r="BD444">
        <v>4023027</v>
      </c>
      <c r="BE444" t="s">
        <v>7468</v>
      </c>
      <c r="BF444" t="str">
        <f>HYPERLINK("http://dx.doi.org/10.1061/JMENEA.MEENG-5265","http://dx.doi.org/10.1061/JMENEA.MEENG-5265")</f>
        <v>http://dx.doi.org/10.1061/JMENEA.MEENG-5265</v>
      </c>
      <c r="BG444" t="s">
        <v>74</v>
      </c>
      <c r="BH444" t="s">
        <v>74</v>
      </c>
      <c r="BI444">
        <v>11</v>
      </c>
      <c r="BJ444" t="s">
        <v>348</v>
      </c>
      <c r="BK444" t="s">
        <v>149</v>
      </c>
      <c r="BL444" t="s">
        <v>102</v>
      </c>
      <c r="BM444" t="s">
        <v>7469</v>
      </c>
      <c r="BN444" t="s">
        <v>74</v>
      </c>
      <c r="BO444" t="s">
        <v>123</v>
      </c>
      <c r="BP444" t="s">
        <v>74</v>
      </c>
      <c r="BQ444" t="s">
        <v>74</v>
      </c>
      <c r="BR444" t="s">
        <v>104</v>
      </c>
      <c r="BS444" t="s">
        <v>7470</v>
      </c>
      <c r="BT444" t="str">
        <f>HYPERLINK("https%3A%2F%2Fwww.webofscience.com%2Fwos%2Fwoscc%2Ffull-record%2FWOS:001030367700010","View Full Record in Web of Science")</f>
        <v>View Full Record in Web of Science</v>
      </c>
    </row>
    <row r="445" spans="1:72" x14ac:dyDescent="0.25">
      <c r="A445" t="s">
        <v>72</v>
      </c>
      <c r="B445" t="s">
        <v>7471</v>
      </c>
      <c r="C445" t="s">
        <v>74</v>
      </c>
      <c r="D445" t="s">
        <v>74</v>
      </c>
      <c r="E445" t="s">
        <v>74</v>
      </c>
      <c r="F445" t="s">
        <v>7472</v>
      </c>
      <c r="G445" t="s">
        <v>74</v>
      </c>
      <c r="H445" t="s">
        <v>74</v>
      </c>
      <c r="I445" t="s">
        <v>7473</v>
      </c>
      <c r="J445" t="s">
        <v>472</v>
      </c>
      <c r="K445" t="s">
        <v>74</v>
      </c>
      <c r="L445" t="s">
        <v>74</v>
      </c>
      <c r="M445" t="s">
        <v>78</v>
      </c>
      <c r="N445" t="s">
        <v>79</v>
      </c>
      <c r="O445" t="s">
        <v>74</v>
      </c>
      <c r="P445" t="s">
        <v>74</v>
      </c>
      <c r="Q445" t="s">
        <v>74</v>
      </c>
      <c r="R445" t="s">
        <v>74</v>
      </c>
      <c r="S445" t="s">
        <v>74</v>
      </c>
      <c r="T445" t="s">
        <v>7474</v>
      </c>
      <c r="U445" t="s">
        <v>7475</v>
      </c>
      <c r="V445" t="s">
        <v>7476</v>
      </c>
      <c r="W445" t="s">
        <v>7477</v>
      </c>
      <c r="X445" t="s">
        <v>7478</v>
      </c>
      <c r="Y445" t="s">
        <v>7479</v>
      </c>
      <c r="Z445" t="s">
        <v>7480</v>
      </c>
      <c r="AA445" t="s">
        <v>7481</v>
      </c>
      <c r="AB445" t="s">
        <v>7482</v>
      </c>
      <c r="AC445" t="s">
        <v>7483</v>
      </c>
      <c r="AD445" t="s">
        <v>7484</v>
      </c>
      <c r="AE445" t="s">
        <v>7485</v>
      </c>
      <c r="AF445" t="s">
        <v>74</v>
      </c>
      <c r="AG445">
        <v>77</v>
      </c>
      <c r="AH445">
        <v>2</v>
      </c>
      <c r="AI445">
        <v>3</v>
      </c>
      <c r="AJ445">
        <v>8</v>
      </c>
      <c r="AK445">
        <v>27</v>
      </c>
      <c r="AL445" t="s">
        <v>484</v>
      </c>
      <c r="AM445" t="s">
        <v>485</v>
      </c>
      <c r="AN445" t="s">
        <v>486</v>
      </c>
      <c r="AO445" t="s">
        <v>487</v>
      </c>
      <c r="AP445" t="s">
        <v>488</v>
      </c>
      <c r="AQ445" t="s">
        <v>74</v>
      </c>
      <c r="AR445" t="s">
        <v>489</v>
      </c>
      <c r="AS445" t="s">
        <v>490</v>
      </c>
      <c r="AT445" t="s">
        <v>275</v>
      </c>
      <c r="AU445">
        <v>2024</v>
      </c>
      <c r="AV445">
        <v>40</v>
      </c>
      <c r="AW445">
        <v>2</v>
      </c>
      <c r="AX445" t="s">
        <v>74</v>
      </c>
      <c r="AY445" t="s">
        <v>74</v>
      </c>
      <c r="AZ445" t="s">
        <v>74</v>
      </c>
      <c r="BA445" t="s">
        <v>74</v>
      </c>
      <c r="BB445">
        <v>970</v>
      </c>
      <c r="BC445">
        <v>1001</v>
      </c>
      <c r="BD445" t="s">
        <v>74</v>
      </c>
      <c r="BE445" t="s">
        <v>7486</v>
      </c>
      <c r="BF445" t="str">
        <f>HYPERLINK("http://dx.doi.org/10.1002/qre.3447","http://dx.doi.org/10.1002/qre.3447")</f>
        <v>http://dx.doi.org/10.1002/qre.3447</v>
      </c>
      <c r="BG445" t="s">
        <v>74</v>
      </c>
      <c r="BH445" t="s">
        <v>147</v>
      </c>
      <c r="BI445">
        <v>32</v>
      </c>
      <c r="BJ445" t="s">
        <v>494</v>
      </c>
      <c r="BK445" t="s">
        <v>149</v>
      </c>
      <c r="BL445" t="s">
        <v>150</v>
      </c>
      <c r="BM445" t="s">
        <v>7487</v>
      </c>
      <c r="BN445" t="s">
        <v>74</v>
      </c>
      <c r="BO445" t="s">
        <v>641</v>
      </c>
      <c r="BP445" t="s">
        <v>74</v>
      </c>
      <c r="BQ445" t="s">
        <v>74</v>
      </c>
      <c r="BR445" t="s">
        <v>104</v>
      </c>
      <c r="BS445" t="s">
        <v>7488</v>
      </c>
      <c r="BT445" t="str">
        <f>HYPERLINK("https%3A%2F%2Fwww.webofscience.com%2Fwos%2Fwoscc%2Ffull-record%2FWOS:001077510900001","View Full Record in Web of Science")</f>
        <v>View Full Record in Web of Science</v>
      </c>
    </row>
    <row r="446" spans="1:72" x14ac:dyDescent="0.25">
      <c r="A446" t="s">
        <v>72</v>
      </c>
      <c r="B446" t="s">
        <v>7489</v>
      </c>
      <c r="C446" t="s">
        <v>74</v>
      </c>
      <c r="D446" t="s">
        <v>74</v>
      </c>
      <c r="E446" t="s">
        <v>74</v>
      </c>
      <c r="F446" t="s">
        <v>7490</v>
      </c>
      <c r="G446" t="s">
        <v>74</v>
      </c>
      <c r="H446" t="s">
        <v>74</v>
      </c>
      <c r="I446" t="s">
        <v>7491</v>
      </c>
      <c r="J446" t="s">
        <v>1814</v>
      </c>
      <c r="K446" t="s">
        <v>74</v>
      </c>
      <c r="L446" t="s">
        <v>74</v>
      </c>
      <c r="M446" t="s">
        <v>78</v>
      </c>
      <c r="N446" t="s">
        <v>79</v>
      </c>
      <c r="O446" t="s">
        <v>74</v>
      </c>
      <c r="P446" t="s">
        <v>74</v>
      </c>
      <c r="Q446" t="s">
        <v>74</v>
      </c>
      <c r="R446" t="s">
        <v>74</v>
      </c>
      <c r="S446" t="s">
        <v>74</v>
      </c>
      <c r="T446" t="s">
        <v>7492</v>
      </c>
      <c r="U446" t="s">
        <v>7493</v>
      </c>
      <c r="V446" t="s">
        <v>7494</v>
      </c>
      <c r="W446" t="s">
        <v>7495</v>
      </c>
      <c r="X446" t="s">
        <v>7496</v>
      </c>
      <c r="Y446" t="s">
        <v>7497</v>
      </c>
      <c r="Z446" t="s">
        <v>7498</v>
      </c>
      <c r="AA446" t="s">
        <v>7499</v>
      </c>
      <c r="AB446" t="s">
        <v>74</v>
      </c>
      <c r="AC446" t="s">
        <v>74</v>
      </c>
      <c r="AD446" t="s">
        <v>74</v>
      </c>
      <c r="AE446" t="s">
        <v>74</v>
      </c>
      <c r="AF446" t="s">
        <v>74</v>
      </c>
      <c r="AG446">
        <v>38</v>
      </c>
      <c r="AH446">
        <v>0</v>
      </c>
      <c r="AI446">
        <v>0</v>
      </c>
      <c r="AJ446">
        <v>3</v>
      </c>
      <c r="AK446">
        <v>5</v>
      </c>
      <c r="AL446" t="s">
        <v>509</v>
      </c>
      <c r="AM446" t="s">
        <v>510</v>
      </c>
      <c r="AN446" t="s">
        <v>511</v>
      </c>
      <c r="AO446" t="s">
        <v>1824</v>
      </c>
      <c r="AP446" t="s">
        <v>1825</v>
      </c>
      <c r="AQ446" t="s">
        <v>74</v>
      </c>
      <c r="AR446" t="s">
        <v>1826</v>
      </c>
      <c r="AS446" t="s">
        <v>1827</v>
      </c>
      <c r="AT446" t="s">
        <v>205</v>
      </c>
      <c r="AU446">
        <v>2024</v>
      </c>
      <c r="AV446">
        <v>275</v>
      </c>
      <c r="AW446" t="s">
        <v>74</v>
      </c>
      <c r="AX446" t="s">
        <v>74</v>
      </c>
      <c r="AY446" t="s">
        <v>74</v>
      </c>
      <c r="AZ446" t="s">
        <v>74</v>
      </c>
      <c r="BA446" t="s">
        <v>74</v>
      </c>
      <c r="BB446" t="s">
        <v>74</v>
      </c>
      <c r="BC446" t="s">
        <v>74</v>
      </c>
      <c r="BD446">
        <v>109344</v>
      </c>
      <c r="BE446" t="s">
        <v>7500</v>
      </c>
      <c r="BF446" t="str">
        <f>HYPERLINK("http://dx.doi.org/10.1016/j.ijpe.2024.109344","http://dx.doi.org/10.1016/j.ijpe.2024.109344")</f>
        <v>http://dx.doi.org/10.1016/j.ijpe.2024.109344</v>
      </c>
      <c r="BG446" t="s">
        <v>74</v>
      </c>
      <c r="BH446" t="s">
        <v>493</v>
      </c>
      <c r="BI446">
        <v>12</v>
      </c>
      <c r="BJ446" t="s">
        <v>321</v>
      </c>
      <c r="BK446" t="s">
        <v>149</v>
      </c>
      <c r="BL446" t="s">
        <v>150</v>
      </c>
      <c r="BM446" t="s">
        <v>7501</v>
      </c>
      <c r="BN446" t="s">
        <v>74</v>
      </c>
      <c r="BO446" t="s">
        <v>74</v>
      </c>
      <c r="BP446" t="s">
        <v>74</v>
      </c>
      <c r="BQ446" t="s">
        <v>74</v>
      </c>
      <c r="BR446" t="s">
        <v>104</v>
      </c>
      <c r="BS446" t="s">
        <v>7502</v>
      </c>
      <c r="BT446" t="str">
        <f>HYPERLINK("https%3A%2F%2Fwww.webofscience.com%2Fwos%2Fwoscc%2Ffull-record%2FWOS:001279198900001","View Full Record in Web of Science")</f>
        <v>View Full Record in Web of Science</v>
      </c>
    </row>
    <row r="447" spans="1:72" x14ac:dyDescent="0.25">
      <c r="A447" t="s">
        <v>72</v>
      </c>
      <c r="B447" t="s">
        <v>7503</v>
      </c>
      <c r="C447" t="s">
        <v>74</v>
      </c>
      <c r="D447" t="s">
        <v>74</v>
      </c>
      <c r="E447" t="s">
        <v>74</v>
      </c>
      <c r="F447" t="s">
        <v>7504</v>
      </c>
      <c r="G447" t="s">
        <v>74</v>
      </c>
      <c r="H447" t="s">
        <v>74</v>
      </c>
      <c r="I447" t="s">
        <v>7505</v>
      </c>
      <c r="J447" t="s">
        <v>2408</v>
      </c>
      <c r="K447" t="s">
        <v>74</v>
      </c>
      <c r="L447" t="s">
        <v>74</v>
      </c>
      <c r="M447" t="s">
        <v>78</v>
      </c>
      <c r="N447" t="s">
        <v>79</v>
      </c>
      <c r="O447" t="s">
        <v>74</v>
      </c>
      <c r="P447" t="s">
        <v>74</v>
      </c>
      <c r="Q447" t="s">
        <v>74</v>
      </c>
      <c r="R447" t="s">
        <v>74</v>
      </c>
      <c r="S447" t="s">
        <v>74</v>
      </c>
      <c r="T447" t="s">
        <v>7506</v>
      </c>
      <c r="U447" t="s">
        <v>7507</v>
      </c>
      <c r="V447" t="s">
        <v>7508</v>
      </c>
      <c r="W447" t="s">
        <v>7509</v>
      </c>
      <c r="X447" t="s">
        <v>2564</v>
      </c>
      <c r="Y447" t="s">
        <v>7510</v>
      </c>
      <c r="Z447" t="s">
        <v>2584</v>
      </c>
      <c r="AA447" t="s">
        <v>74</v>
      </c>
      <c r="AB447" t="s">
        <v>2514</v>
      </c>
      <c r="AC447" t="s">
        <v>7511</v>
      </c>
      <c r="AD447" t="s">
        <v>7512</v>
      </c>
      <c r="AE447" t="s">
        <v>7513</v>
      </c>
      <c r="AF447" t="s">
        <v>74</v>
      </c>
      <c r="AG447">
        <v>38</v>
      </c>
      <c r="AH447">
        <v>46</v>
      </c>
      <c r="AI447">
        <v>46</v>
      </c>
      <c r="AJ447">
        <v>4</v>
      </c>
      <c r="AK447">
        <v>62</v>
      </c>
      <c r="AL447" t="s">
        <v>2421</v>
      </c>
      <c r="AM447" t="s">
        <v>2422</v>
      </c>
      <c r="AN447" t="s">
        <v>2423</v>
      </c>
      <c r="AO447" t="s">
        <v>2424</v>
      </c>
      <c r="AP447" t="s">
        <v>2425</v>
      </c>
      <c r="AQ447" t="s">
        <v>74</v>
      </c>
      <c r="AR447" t="s">
        <v>2426</v>
      </c>
      <c r="AS447" t="s">
        <v>2427</v>
      </c>
      <c r="AT447" t="s">
        <v>1867</v>
      </c>
      <c r="AU447">
        <v>2019</v>
      </c>
      <c r="AV447">
        <v>30</v>
      </c>
      <c r="AW447">
        <v>4</v>
      </c>
      <c r="AX447" t="s">
        <v>74</v>
      </c>
      <c r="AY447" t="s">
        <v>74</v>
      </c>
      <c r="AZ447" t="s">
        <v>74</v>
      </c>
      <c r="BA447" t="s">
        <v>74</v>
      </c>
      <c r="BB447">
        <v>1659</v>
      </c>
      <c r="BC447">
        <v>1672</v>
      </c>
      <c r="BD447" t="s">
        <v>74</v>
      </c>
      <c r="BE447" t="s">
        <v>7514</v>
      </c>
      <c r="BF447" t="str">
        <f>HYPERLINK("http://dx.doi.org/10.1007/s10845-017-1342-2","http://dx.doi.org/10.1007/s10845-017-1342-2")</f>
        <v>http://dx.doi.org/10.1007/s10845-017-1342-2</v>
      </c>
      <c r="BG447" t="s">
        <v>74</v>
      </c>
      <c r="BH447" t="s">
        <v>74</v>
      </c>
      <c r="BI447">
        <v>14</v>
      </c>
      <c r="BJ447" t="s">
        <v>2429</v>
      </c>
      <c r="BK447" t="s">
        <v>149</v>
      </c>
      <c r="BL447" t="s">
        <v>716</v>
      </c>
      <c r="BM447" t="s">
        <v>7515</v>
      </c>
      <c r="BN447" t="s">
        <v>74</v>
      </c>
      <c r="BO447" t="s">
        <v>74</v>
      </c>
      <c r="BP447" t="s">
        <v>74</v>
      </c>
      <c r="BQ447" t="s">
        <v>74</v>
      </c>
      <c r="BR447" t="s">
        <v>104</v>
      </c>
      <c r="BS447" t="s">
        <v>7516</v>
      </c>
      <c r="BT447" t="str">
        <f>HYPERLINK("https%3A%2F%2Fwww.webofscience.com%2Fwos%2Fwoscc%2Ffull-record%2FWOS:000462014200010","View Full Record in Web of Science")</f>
        <v>View Full Record in Web of Science</v>
      </c>
    </row>
    <row r="448" spans="1:72" x14ac:dyDescent="0.25">
      <c r="A448" t="s">
        <v>72</v>
      </c>
      <c r="B448" t="s">
        <v>7517</v>
      </c>
      <c r="C448" t="s">
        <v>74</v>
      </c>
      <c r="D448" t="s">
        <v>74</v>
      </c>
      <c r="E448" t="s">
        <v>74</v>
      </c>
      <c r="F448" t="s">
        <v>7518</v>
      </c>
      <c r="G448" t="s">
        <v>74</v>
      </c>
      <c r="H448" t="s">
        <v>74</v>
      </c>
      <c r="I448" t="s">
        <v>7519</v>
      </c>
      <c r="J448" t="s">
        <v>256</v>
      </c>
      <c r="K448" t="s">
        <v>74</v>
      </c>
      <c r="L448" t="s">
        <v>74</v>
      </c>
      <c r="M448" t="s">
        <v>78</v>
      </c>
      <c r="N448" t="s">
        <v>79</v>
      </c>
      <c r="O448" t="s">
        <v>74</v>
      </c>
      <c r="P448" t="s">
        <v>74</v>
      </c>
      <c r="Q448" t="s">
        <v>74</v>
      </c>
      <c r="R448" t="s">
        <v>74</v>
      </c>
      <c r="S448" t="s">
        <v>74</v>
      </c>
      <c r="T448" t="s">
        <v>7520</v>
      </c>
      <c r="U448" t="s">
        <v>7521</v>
      </c>
      <c r="V448" t="s">
        <v>7522</v>
      </c>
      <c r="W448" t="s">
        <v>7523</v>
      </c>
      <c r="X448" t="s">
        <v>7524</v>
      </c>
      <c r="Y448" t="s">
        <v>7525</v>
      </c>
      <c r="Z448" t="s">
        <v>7526</v>
      </c>
      <c r="AA448" t="s">
        <v>74</v>
      </c>
      <c r="AB448" t="s">
        <v>74</v>
      </c>
      <c r="AC448" t="s">
        <v>74</v>
      </c>
      <c r="AD448" t="s">
        <v>74</v>
      </c>
      <c r="AE448" t="s">
        <v>74</v>
      </c>
      <c r="AF448" t="s">
        <v>74</v>
      </c>
      <c r="AG448">
        <v>11</v>
      </c>
      <c r="AH448">
        <v>5</v>
      </c>
      <c r="AI448">
        <v>5</v>
      </c>
      <c r="AJ448">
        <v>3</v>
      </c>
      <c r="AK448">
        <v>10</v>
      </c>
      <c r="AL448" t="s">
        <v>268</v>
      </c>
      <c r="AM448" t="s">
        <v>269</v>
      </c>
      <c r="AN448" t="s">
        <v>270</v>
      </c>
      <c r="AO448" t="s">
        <v>271</v>
      </c>
      <c r="AP448" t="s">
        <v>272</v>
      </c>
      <c r="AQ448" t="s">
        <v>74</v>
      </c>
      <c r="AR448" t="s">
        <v>273</v>
      </c>
      <c r="AS448" t="s">
        <v>274</v>
      </c>
      <c r="AT448" t="s">
        <v>559</v>
      </c>
      <c r="AU448">
        <v>2023</v>
      </c>
      <c r="AV448">
        <v>14</v>
      </c>
      <c r="AW448">
        <v>2</v>
      </c>
      <c r="AX448" t="s">
        <v>74</v>
      </c>
      <c r="AY448" t="s">
        <v>74</v>
      </c>
      <c r="AZ448" t="s">
        <v>74</v>
      </c>
      <c r="BA448" t="s">
        <v>74</v>
      </c>
      <c r="BB448">
        <v>122</v>
      </c>
      <c r="BC448">
        <v>137</v>
      </c>
      <c r="BD448" t="s">
        <v>74</v>
      </c>
      <c r="BE448" t="s">
        <v>7527</v>
      </c>
      <c r="BF448" t="str">
        <f>HYPERLINK("http://dx.doi.org/10.24867/IJIEM-2023-2-328","http://dx.doi.org/10.24867/IJIEM-2023-2-328")</f>
        <v>http://dx.doi.org/10.24867/IJIEM-2023-2-328</v>
      </c>
      <c r="BG448" t="s">
        <v>74</v>
      </c>
      <c r="BH448" t="s">
        <v>74</v>
      </c>
      <c r="BI448">
        <v>16</v>
      </c>
      <c r="BJ448" t="s">
        <v>100</v>
      </c>
      <c r="BK448" t="s">
        <v>101</v>
      </c>
      <c r="BL448" t="s">
        <v>102</v>
      </c>
      <c r="BM448" t="s">
        <v>7528</v>
      </c>
      <c r="BN448" t="s">
        <v>74</v>
      </c>
      <c r="BO448" t="s">
        <v>208</v>
      </c>
      <c r="BP448" t="s">
        <v>74</v>
      </c>
      <c r="BQ448" t="s">
        <v>74</v>
      </c>
      <c r="BR448" t="s">
        <v>104</v>
      </c>
      <c r="BS448" t="s">
        <v>7529</v>
      </c>
      <c r="BT448" t="str">
        <f>HYPERLINK("https%3A%2F%2Fwww.webofscience.com%2Fwos%2Fwoscc%2Ffull-record%2FWOS:001004739700003","View Full Record in Web of Science")</f>
        <v>View Full Record in Web of Science</v>
      </c>
    </row>
    <row r="449" spans="1:72" x14ac:dyDescent="0.25">
      <c r="A449" t="s">
        <v>72</v>
      </c>
      <c r="B449" t="s">
        <v>7530</v>
      </c>
      <c r="C449" t="s">
        <v>74</v>
      </c>
      <c r="D449" t="s">
        <v>74</v>
      </c>
      <c r="E449" t="s">
        <v>74</v>
      </c>
      <c r="F449" t="s">
        <v>7531</v>
      </c>
      <c r="G449" t="s">
        <v>74</v>
      </c>
      <c r="H449" t="s">
        <v>74</v>
      </c>
      <c r="I449" t="s">
        <v>7532</v>
      </c>
      <c r="J449" t="s">
        <v>128</v>
      </c>
      <c r="K449" t="s">
        <v>74</v>
      </c>
      <c r="L449" t="s">
        <v>74</v>
      </c>
      <c r="M449" t="s">
        <v>78</v>
      </c>
      <c r="N449" t="s">
        <v>79</v>
      </c>
      <c r="O449" t="s">
        <v>74</v>
      </c>
      <c r="P449" t="s">
        <v>74</v>
      </c>
      <c r="Q449" t="s">
        <v>74</v>
      </c>
      <c r="R449" t="s">
        <v>74</v>
      </c>
      <c r="S449" t="s">
        <v>74</v>
      </c>
      <c r="T449" t="s">
        <v>7533</v>
      </c>
      <c r="U449" t="s">
        <v>7534</v>
      </c>
      <c r="V449" t="s">
        <v>7535</v>
      </c>
      <c r="W449" t="s">
        <v>7536</v>
      </c>
      <c r="X449" t="s">
        <v>7537</v>
      </c>
      <c r="Y449" t="s">
        <v>7538</v>
      </c>
      <c r="Z449" t="s">
        <v>7539</v>
      </c>
      <c r="AA449" t="s">
        <v>7540</v>
      </c>
      <c r="AB449" t="s">
        <v>7541</v>
      </c>
      <c r="AC449" t="s">
        <v>7542</v>
      </c>
      <c r="AD449" t="s">
        <v>7543</v>
      </c>
      <c r="AE449" t="s">
        <v>7544</v>
      </c>
      <c r="AF449" t="s">
        <v>74</v>
      </c>
      <c r="AG449">
        <v>92</v>
      </c>
      <c r="AH449">
        <v>36</v>
      </c>
      <c r="AI449">
        <v>36</v>
      </c>
      <c r="AJ449">
        <v>1</v>
      </c>
      <c r="AK449">
        <v>10</v>
      </c>
      <c r="AL449" t="s">
        <v>138</v>
      </c>
      <c r="AM449" t="s">
        <v>139</v>
      </c>
      <c r="AN449" t="s">
        <v>140</v>
      </c>
      <c r="AO449" t="s">
        <v>141</v>
      </c>
      <c r="AP449" t="s">
        <v>142</v>
      </c>
      <c r="AQ449" t="s">
        <v>74</v>
      </c>
      <c r="AR449" t="s">
        <v>143</v>
      </c>
      <c r="AS449" t="s">
        <v>144</v>
      </c>
      <c r="AT449" t="s">
        <v>491</v>
      </c>
      <c r="AU449">
        <v>2021</v>
      </c>
      <c r="AV449">
        <v>215</v>
      </c>
      <c r="AW449" t="s">
        <v>74</v>
      </c>
      <c r="AX449" t="s">
        <v>74</v>
      </c>
      <c r="AY449" t="s">
        <v>74</v>
      </c>
      <c r="AZ449" t="s">
        <v>74</v>
      </c>
      <c r="BA449" t="s">
        <v>74</v>
      </c>
      <c r="BB449" t="s">
        <v>74</v>
      </c>
      <c r="BC449" t="s">
        <v>74</v>
      </c>
      <c r="BD449">
        <v>107891</v>
      </c>
      <c r="BE449" t="s">
        <v>7545</v>
      </c>
      <c r="BF449" t="str">
        <f>HYPERLINK("http://dx.doi.org/10.1016/j.ress.2021.107891","http://dx.doi.org/10.1016/j.ress.2021.107891")</f>
        <v>http://dx.doi.org/10.1016/j.ress.2021.107891</v>
      </c>
      <c r="BG449" t="s">
        <v>74</v>
      </c>
      <c r="BH449" t="s">
        <v>1059</v>
      </c>
      <c r="BI449">
        <v>18</v>
      </c>
      <c r="BJ449" t="s">
        <v>148</v>
      </c>
      <c r="BK449" t="s">
        <v>149</v>
      </c>
      <c r="BL449" t="s">
        <v>150</v>
      </c>
      <c r="BM449" t="s">
        <v>2260</v>
      </c>
      <c r="BN449" t="s">
        <v>74</v>
      </c>
      <c r="BO449" t="s">
        <v>758</v>
      </c>
      <c r="BP449" t="s">
        <v>74</v>
      </c>
      <c r="BQ449" t="s">
        <v>74</v>
      </c>
      <c r="BR449" t="s">
        <v>104</v>
      </c>
      <c r="BS449" t="s">
        <v>7546</v>
      </c>
      <c r="BT449" t="str">
        <f>HYPERLINK("https%3A%2F%2Fwww.webofscience.com%2Fwos%2Fwoscc%2Ffull-record%2FWOS:000690283800077","View Full Record in Web of Science")</f>
        <v>View Full Record in Web of Science</v>
      </c>
    </row>
    <row r="450" spans="1:72" x14ac:dyDescent="0.25">
      <c r="A450" t="s">
        <v>72</v>
      </c>
      <c r="B450" t="s">
        <v>7547</v>
      </c>
      <c r="C450" t="s">
        <v>74</v>
      </c>
      <c r="D450" t="s">
        <v>74</v>
      </c>
      <c r="E450" t="s">
        <v>74</v>
      </c>
      <c r="F450" t="s">
        <v>7548</v>
      </c>
      <c r="G450" t="s">
        <v>74</v>
      </c>
      <c r="H450" t="s">
        <v>74</v>
      </c>
      <c r="I450" t="s">
        <v>7549</v>
      </c>
      <c r="J450" t="s">
        <v>1814</v>
      </c>
      <c r="K450" t="s">
        <v>74</v>
      </c>
      <c r="L450" t="s">
        <v>74</v>
      </c>
      <c r="M450" t="s">
        <v>78</v>
      </c>
      <c r="N450" t="s">
        <v>79</v>
      </c>
      <c r="O450" t="s">
        <v>74</v>
      </c>
      <c r="P450" t="s">
        <v>74</v>
      </c>
      <c r="Q450" t="s">
        <v>74</v>
      </c>
      <c r="R450" t="s">
        <v>74</v>
      </c>
      <c r="S450" t="s">
        <v>74</v>
      </c>
      <c r="T450" t="s">
        <v>7550</v>
      </c>
      <c r="U450" t="s">
        <v>7551</v>
      </c>
      <c r="V450" t="s">
        <v>7552</v>
      </c>
      <c r="W450" t="s">
        <v>7553</v>
      </c>
      <c r="X450" t="s">
        <v>7554</v>
      </c>
      <c r="Y450" t="s">
        <v>7555</v>
      </c>
      <c r="Z450" t="s">
        <v>7556</v>
      </c>
      <c r="AA450" t="s">
        <v>7557</v>
      </c>
      <c r="AB450" t="s">
        <v>7558</v>
      </c>
      <c r="AC450" t="s">
        <v>7559</v>
      </c>
      <c r="AD450" t="s">
        <v>7560</v>
      </c>
      <c r="AE450" t="s">
        <v>7561</v>
      </c>
      <c r="AF450" t="s">
        <v>74</v>
      </c>
      <c r="AG450">
        <v>94</v>
      </c>
      <c r="AH450">
        <v>20</v>
      </c>
      <c r="AI450">
        <v>22</v>
      </c>
      <c r="AJ450">
        <v>5</v>
      </c>
      <c r="AK450">
        <v>32</v>
      </c>
      <c r="AL450" t="s">
        <v>509</v>
      </c>
      <c r="AM450" t="s">
        <v>510</v>
      </c>
      <c r="AN450" t="s">
        <v>511</v>
      </c>
      <c r="AO450" t="s">
        <v>1824</v>
      </c>
      <c r="AP450" t="s">
        <v>1825</v>
      </c>
      <c r="AQ450" t="s">
        <v>74</v>
      </c>
      <c r="AR450" t="s">
        <v>1826</v>
      </c>
      <c r="AS450" t="s">
        <v>1827</v>
      </c>
      <c r="AT450" t="s">
        <v>533</v>
      </c>
      <c r="AU450">
        <v>2021</v>
      </c>
      <c r="AV450">
        <v>232</v>
      </c>
      <c r="AW450" t="s">
        <v>74</v>
      </c>
      <c r="AX450" t="s">
        <v>74</v>
      </c>
      <c r="AY450" t="s">
        <v>74</v>
      </c>
      <c r="AZ450" t="s">
        <v>74</v>
      </c>
      <c r="BA450" t="s">
        <v>74</v>
      </c>
      <c r="BB450" t="s">
        <v>74</v>
      </c>
      <c r="BC450" t="s">
        <v>74</v>
      </c>
      <c r="BD450">
        <v>107937</v>
      </c>
      <c r="BE450" t="s">
        <v>7562</v>
      </c>
      <c r="BF450" t="str">
        <f>HYPERLINK("http://dx.doi.org/10.1016/j.ijpe.2020.107937","http://dx.doi.org/10.1016/j.ijpe.2020.107937")</f>
        <v>http://dx.doi.org/10.1016/j.ijpe.2020.107937</v>
      </c>
      <c r="BG450" t="s">
        <v>74</v>
      </c>
      <c r="BH450" t="s">
        <v>74</v>
      </c>
      <c r="BI450">
        <v>18</v>
      </c>
      <c r="BJ450" t="s">
        <v>321</v>
      </c>
      <c r="BK450" t="s">
        <v>149</v>
      </c>
      <c r="BL450" t="s">
        <v>150</v>
      </c>
      <c r="BM450" t="s">
        <v>7563</v>
      </c>
      <c r="BN450" t="s">
        <v>74</v>
      </c>
      <c r="BO450" t="s">
        <v>74</v>
      </c>
      <c r="BP450" t="s">
        <v>74</v>
      </c>
      <c r="BQ450" t="s">
        <v>74</v>
      </c>
      <c r="BR450" t="s">
        <v>104</v>
      </c>
      <c r="BS450" t="s">
        <v>7564</v>
      </c>
      <c r="BT450" t="str">
        <f>HYPERLINK("https%3A%2F%2Fwww.webofscience.com%2Fwos%2Fwoscc%2Ffull-record%2FWOS:000843365000001","View Full Record in Web of Science")</f>
        <v>View Full Record in Web of Science</v>
      </c>
    </row>
    <row r="451" spans="1:72" x14ac:dyDescent="0.25">
      <c r="A451" t="s">
        <v>72</v>
      </c>
      <c r="B451" t="s">
        <v>7565</v>
      </c>
      <c r="C451" t="s">
        <v>74</v>
      </c>
      <c r="D451" t="s">
        <v>74</v>
      </c>
      <c r="E451" t="s">
        <v>74</v>
      </c>
      <c r="F451" t="s">
        <v>7566</v>
      </c>
      <c r="G451" t="s">
        <v>74</v>
      </c>
      <c r="H451" t="s">
        <v>74</v>
      </c>
      <c r="I451" t="s">
        <v>7567</v>
      </c>
      <c r="J451" t="s">
        <v>1932</v>
      </c>
      <c r="K451" t="s">
        <v>74</v>
      </c>
      <c r="L451" t="s">
        <v>74</v>
      </c>
      <c r="M451" t="s">
        <v>78</v>
      </c>
      <c r="N451" t="s">
        <v>79</v>
      </c>
      <c r="O451" t="s">
        <v>74</v>
      </c>
      <c r="P451" t="s">
        <v>74</v>
      </c>
      <c r="Q451" t="s">
        <v>74</v>
      </c>
      <c r="R451" t="s">
        <v>74</v>
      </c>
      <c r="S451" t="s">
        <v>74</v>
      </c>
      <c r="T451" t="s">
        <v>7568</v>
      </c>
      <c r="U451" t="s">
        <v>7569</v>
      </c>
      <c r="V451" t="s">
        <v>7570</v>
      </c>
      <c r="W451" t="s">
        <v>7571</v>
      </c>
      <c r="X451" t="s">
        <v>7572</v>
      </c>
      <c r="Y451" t="s">
        <v>7573</v>
      </c>
      <c r="Z451" t="s">
        <v>7574</v>
      </c>
      <c r="AA451" t="s">
        <v>74</v>
      </c>
      <c r="AB451" t="s">
        <v>7575</v>
      </c>
      <c r="AC451" t="s">
        <v>7576</v>
      </c>
      <c r="AD451" t="s">
        <v>7577</v>
      </c>
      <c r="AE451" t="s">
        <v>7578</v>
      </c>
      <c r="AF451" t="s">
        <v>74</v>
      </c>
      <c r="AG451">
        <v>27</v>
      </c>
      <c r="AH451">
        <v>13</v>
      </c>
      <c r="AI451">
        <v>13</v>
      </c>
      <c r="AJ451">
        <v>1</v>
      </c>
      <c r="AK451">
        <v>20</v>
      </c>
      <c r="AL451" t="s">
        <v>1942</v>
      </c>
      <c r="AM451" t="s">
        <v>1943</v>
      </c>
      <c r="AN451" t="s">
        <v>1944</v>
      </c>
      <c r="AO451" t="s">
        <v>1945</v>
      </c>
      <c r="AP451" t="s">
        <v>1946</v>
      </c>
      <c r="AQ451" t="s">
        <v>74</v>
      </c>
      <c r="AR451" t="s">
        <v>1947</v>
      </c>
      <c r="AS451" t="s">
        <v>1948</v>
      </c>
      <c r="AT451" t="s">
        <v>3013</v>
      </c>
      <c r="AU451">
        <v>2019</v>
      </c>
      <c r="AV451">
        <v>16</v>
      </c>
      <c r="AW451">
        <v>2</v>
      </c>
      <c r="AX451" t="s">
        <v>74</v>
      </c>
      <c r="AY451" t="s">
        <v>74</v>
      </c>
      <c r="AZ451" t="s">
        <v>74</v>
      </c>
      <c r="BA451" t="s">
        <v>74</v>
      </c>
      <c r="BB451">
        <v>140</v>
      </c>
      <c r="BC451">
        <v>153</v>
      </c>
      <c r="BD451" t="s">
        <v>74</v>
      </c>
      <c r="BE451" t="s">
        <v>7579</v>
      </c>
      <c r="BF451" t="str">
        <f>HYPERLINK("http://dx.doi.org/10.1080/16843703.2017.1383550","http://dx.doi.org/10.1080/16843703.2017.1383550")</f>
        <v>http://dx.doi.org/10.1080/16843703.2017.1383550</v>
      </c>
      <c r="BG451" t="s">
        <v>74</v>
      </c>
      <c r="BH451" t="s">
        <v>74</v>
      </c>
      <c r="BI451">
        <v>14</v>
      </c>
      <c r="BJ451" t="s">
        <v>1951</v>
      </c>
      <c r="BK451" t="s">
        <v>149</v>
      </c>
      <c r="BL451" t="s">
        <v>1952</v>
      </c>
      <c r="BM451" t="s">
        <v>7580</v>
      </c>
      <c r="BN451" t="s">
        <v>74</v>
      </c>
      <c r="BO451" t="s">
        <v>74</v>
      </c>
      <c r="BP451" t="s">
        <v>74</v>
      </c>
      <c r="BQ451" t="s">
        <v>74</v>
      </c>
      <c r="BR451" t="s">
        <v>104</v>
      </c>
      <c r="BS451" t="s">
        <v>7581</v>
      </c>
      <c r="BT451" t="str">
        <f>HYPERLINK("https%3A%2F%2Fwww.webofscience.com%2Fwos%2Fwoscc%2Ffull-record%2FWOS:000458920200002","View Full Record in Web of Science")</f>
        <v>View Full Record in Web of Science</v>
      </c>
    </row>
    <row r="452" spans="1:72" x14ac:dyDescent="0.25">
      <c r="A452" t="s">
        <v>72</v>
      </c>
      <c r="B452" t="s">
        <v>7582</v>
      </c>
      <c r="C452" t="s">
        <v>74</v>
      </c>
      <c r="D452" t="s">
        <v>74</v>
      </c>
      <c r="E452" t="s">
        <v>74</v>
      </c>
      <c r="F452" t="s">
        <v>7583</v>
      </c>
      <c r="G452" t="s">
        <v>74</v>
      </c>
      <c r="H452" t="s">
        <v>74</v>
      </c>
      <c r="I452" t="s">
        <v>7584</v>
      </c>
      <c r="J452" t="s">
        <v>778</v>
      </c>
      <c r="K452" t="s">
        <v>74</v>
      </c>
      <c r="L452" t="s">
        <v>74</v>
      </c>
      <c r="M452" t="s">
        <v>78</v>
      </c>
      <c r="N452" t="s">
        <v>79</v>
      </c>
      <c r="O452" t="s">
        <v>74</v>
      </c>
      <c r="P452" t="s">
        <v>74</v>
      </c>
      <c r="Q452" t="s">
        <v>74</v>
      </c>
      <c r="R452" t="s">
        <v>74</v>
      </c>
      <c r="S452" t="s">
        <v>74</v>
      </c>
      <c r="T452" t="s">
        <v>7585</v>
      </c>
      <c r="U452" t="s">
        <v>7586</v>
      </c>
      <c r="V452" t="s">
        <v>7587</v>
      </c>
      <c r="W452" t="s">
        <v>7588</v>
      </c>
      <c r="X452" t="s">
        <v>7589</v>
      </c>
      <c r="Y452" t="s">
        <v>7590</v>
      </c>
      <c r="Z452" t="s">
        <v>7591</v>
      </c>
      <c r="AA452" t="s">
        <v>7499</v>
      </c>
      <c r="AB452" t="s">
        <v>74</v>
      </c>
      <c r="AC452" t="s">
        <v>74</v>
      </c>
      <c r="AD452" t="s">
        <v>74</v>
      </c>
      <c r="AE452" t="s">
        <v>74</v>
      </c>
      <c r="AF452" t="s">
        <v>74</v>
      </c>
      <c r="AG452">
        <v>58</v>
      </c>
      <c r="AH452">
        <v>0</v>
      </c>
      <c r="AI452">
        <v>0</v>
      </c>
      <c r="AJ452">
        <v>3</v>
      </c>
      <c r="AK452">
        <v>18</v>
      </c>
      <c r="AL452" t="s">
        <v>311</v>
      </c>
      <c r="AM452" t="s">
        <v>312</v>
      </c>
      <c r="AN452" t="s">
        <v>313</v>
      </c>
      <c r="AO452" t="s">
        <v>788</v>
      </c>
      <c r="AP452" t="s">
        <v>789</v>
      </c>
      <c r="AQ452" t="s">
        <v>74</v>
      </c>
      <c r="AR452" t="s">
        <v>790</v>
      </c>
      <c r="AS452" t="s">
        <v>791</v>
      </c>
      <c r="AT452" t="s">
        <v>7592</v>
      </c>
      <c r="AU452">
        <v>2024</v>
      </c>
      <c r="AV452">
        <v>35</v>
      </c>
      <c r="AW452">
        <v>8</v>
      </c>
      <c r="AX452" t="s">
        <v>74</v>
      </c>
      <c r="AY452" t="s">
        <v>74</v>
      </c>
      <c r="AZ452" t="s">
        <v>74</v>
      </c>
      <c r="BA452" t="s">
        <v>74</v>
      </c>
      <c r="BB452">
        <v>808</v>
      </c>
      <c r="BC452">
        <v>823</v>
      </c>
      <c r="BD452" t="s">
        <v>74</v>
      </c>
      <c r="BE452" t="s">
        <v>7593</v>
      </c>
      <c r="BF452" t="str">
        <f>HYPERLINK("http://dx.doi.org/10.1080/09537287.2022.2136549","http://dx.doi.org/10.1080/09537287.2022.2136549")</f>
        <v>http://dx.doi.org/10.1080/09537287.2022.2136549</v>
      </c>
      <c r="BG452" t="s">
        <v>74</v>
      </c>
      <c r="BH452" t="s">
        <v>1285</v>
      </c>
      <c r="BI452">
        <v>16</v>
      </c>
      <c r="BJ452" t="s">
        <v>321</v>
      </c>
      <c r="BK452" t="s">
        <v>149</v>
      </c>
      <c r="BL452" t="s">
        <v>150</v>
      </c>
      <c r="BM452" t="s">
        <v>7594</v>
      </c>
      <c r="BN452" t="s">
        <v>74</v>
      </c>
      <c r="BO452" t="s">
        <v>74</v>
      </c>
      <c r="BP452" t="s">
        <v>74</v>
      </c>
      <c r="BQ452" t="s">
        <v>74</v>
      </c>
      <c r="BR452" t="s">
        <v>104</v>
      </c>
      <c r="BS452" t="s">
        <v>7595</v>
      </c>
      <c r="BT452" t="str">
        <f>HYPERLINK("https%3A%2F%2Fwww.webofscience.com%2Fwos%2Fwoscc%2Ffull-record%2FWOS:000871797300001","View Full Record in Web of Science")</f>
        <v>View Full Record in Web of Science</v>
      </c>
    </row>
    <row r="453" spans="1:72" x14ac:dyDescent="0.25">
      <c r="A453" t="s">
        <v>72</v>
      </c>
      <c r="B453" t="s">
        <v>7596</v>
      </c>
      <c r="C453" t="s">
        <v>74</v>
      </c>
      <c r="D453" t="s">
        <v>74</v>
      </c>
      <c r="E453" t="s">
        <v>74</v>
      </c>
      <c r="F453" t="s">
        <v>7597</v>
      </c>
      <c r="G453" t="s">
        <v>74</v>
      </c>
      <c r="H453" t="s">
        <v>74</v>
      </c>
      <c r="I453" t="s">
        <v>7598</v>
      </c>
      <c r="J453" t="s">
        <v>128</v>
      </c>
      <c r="K453" t="s">
        <v>74</v>
      </c>
      <c r="L453" t="s">
        <v>74</v>
      </c>
      <c r="M453" t="s">
        <v>78</v>
      </c>
      <c r="N453" t="s">
        <v>79</v>
      </c>
      <c r="O453" t="s">
        <v>74</v>
      </c>
      <c r="P453" t="s">
        <v>74</v>
      </c>
      <c r="Q453" t="s">
        <v>74</v>
      </c>
      <c r="R453" t="s">
        <v>74</v>
      </c>
      <c r="S453" t="s">
        <v>74</v>
      </c>
      <c r="T453" t="s">
        <v>7599</v>
      </c>
      <c r="U453" t="s">
        <v>7600</v>
      </c>
      <c r="V453" t="s">
        <v>7601</v>
      </c>
      <c r="W453" t="s">
        <v>7602</v>
      </c>
      <c r="X453" t="s">
        <v>7603</v>
      </c>
      <c r="Y453" t="s">
        <v>2613</v>
      </c>
      <c r="Z453" t="s">
        <v>2614</v>
      </c>
      <c r="AA453" t="s">
        <v>7604</v>
      </c>
      <c r="AB453" t="s">
        <v>74</v>
      </c>
      <c r="AC453" t="s">
        <v>7605</v>
      </c>
      <c r="AD453" t="s">
        <v>7606</v>
      </c>
      <c r="AE453" t="s">
        <v>7607</v>
      </c>
      <c r="AF453" t="s">
        <v>74</v>
      </c>
      <c r="AG453">
        <v>37</v>
      </c>
      <c r="AH453">
        <v>0</v>
      </c>
      <c r="AI453">
        <v>0</v>
      </c>
      <c r="AJ453">
        <v>8</v>
      </c>
      <c r="AK453">
        <v>8</v>
      </c>
      <c r="AL453" t="s">
        <v>138</v>
      </c>
      <c r="AM453" t="s">
        <v>139</v>
      </c>
      <c r="AN453" t="s">
        <v>140</v>
      </c>
      <c r="AO453" t="s">
        <v>141</v>
      </c>
      <c r="AP453" t="s">
        <v>142</v>
      </c>
      <c r="AQ453" t="s">
        <v>74</v>
      </c>
      <c r="AR453" t="s">
        <v>143</v>
      </c>
      <c r="AS453" t="s">
        <v>144</v>
      </c>
      <c r="AT453" t="s">
        <v>1867</v>
      </c>
      <c r="AU453">
        <v>2025</v>
      </c>
      <c r="AV453">
        <v>256</v>
      </c>
      <c r="AW453" t="s">
        <v>74</v>
      </c>
      <c r="AX453" t="s">
        <v>74</v>
      </c>
      <c r="AY453" t="s">
        <v>74</v>
      </c>
      <c r="AZ453" t="s">
        <v>74</v>
      </c>
      <c r="BA453" t="s">
        <v>74</v>
      </c>
      <c r="BB453" t="s">
        <v>74</v>
      </c>
      <c r="BC453" t="s">
        <v>74</v>
      </c>
      <c r="BD453">
        <v>110710</v>
      </c>
      <c r="BE453" t="s">
        <v>7608</v>
      </c>
      <c r="BF453" t="str">
        <f>HYPERLINK("http://dx.doi.org/10.1016/j.ress.2024.110710","http://dx.doi.org/10.1016/j.ress.2024.110710")</f>
        <v>http://dx.doi.org/10.1016/j.ress.2024.110710</v>
      </c>
      <c r="BG453" t="s">
        <v>74</v>
      </c>
      <c r="BH453" t="s">
        <v>1869</v>
      </c>
      <c r="BI453">
        <v>15</v>
      </c>
      <c r="BJ453" t="s">
        <v>148</v>
      </c>
      <c r="BK453" t="s">
        <v>149</v>
      </c>
      <c r="BL453" t="s">
        <v>150</v>
      </c>
      <c r="BM453" t="s">
        <v>7609</v>
      </c>
      <c r="BN453" t="s">
        <v>74</v>
      </c>
      <c r="BO453" t="s">
        <v>74</v>
      </c>
      <c r="BP453" t="s">
        <v>74</v>
      </c>
      <c r="BQ453" t="s">
        <v>74</v>
      </c>
      <c r="BR453" t="s">
        <v>104</v>
      </c>
      <c r="BS453" t="s">
        <v>7610</v>
      </c>
      <c r="BT453" t="str">
        <f>HYPERLINK("https%3A%2F%2Fwww.webofscience.com%2Fwos%2Fwoscc%2Ffull-record%2FWOS:001385734300001","View Full Record in Web of Science")</f>
        <v>View Full Record in Web of Science</v>
      </c>
    </row>
    <row r="454" spans="1:72" x14ac:dyDescent="0.25">
      <c r="A454" t="s">
        <v>72</v>
      </c>
      <c r="B454" t="s">
        <v>7611</v>
      </c>
      <c r="C454" t="s">
        <v>74</v>
      </c>
      <c r="D454" t="s">
        <v>74</v>
      </c>
      <c r="E454" t="s">
        <v>74</v>
      </c>
      <c r="F454" t="s">
        <v>7612</v>
      </c>
      <c r="G454" t="s">
        <v>74</v>
      </c>
      <c r="H454" t="s">
        <v>74</v>
      </c>
      <c r="I454" t="s">
        <v>7613</v>
      </c>
      <c r="J454" t="s">
        <v>7614</v>
      </c>
      <c r="K454" t="s">
        <v>74</v>
      </c>
      <c r="L454" t="s">
        <v>74</v>
      </c>
      <c r="M454" t="s">
        <v>78</v>
      </c>
      <c r="N454" t="s">
        <v>79</v>
      </c>
      <c r="O454" t="s">
        <v>74</v>
      </c>
      <c r="P454" t="s">
        <v>74</v>
      </c>
      <c r="Q454" t="s">
        <v>74</v>
      </c>
      <c r="R454" t="s">
        <v>74</v>
      </c>
      <c r="S454" t="s">
        <v>74</v>
      </c>
      <c r="T454" t="s">
        <v>7615</v>
      </c>
      <c r="U454" t="s">
        <v>7616</v>
      </c>
      <c r="V454" t="s">
        <v>7617</v>
      </c>
      <c r="W454" t="s">
        <v>7618</v>
      </c>
      <c r="X454" t="s">
        <v>7619</v>
      </c>
      <c r="Y454" t="s">
        <v>7620</v>
      </c>
      <c r="Z454" t="s">
        <v>7621</v>
      </c>
      <c r="AA454" t="s">
        <v>136</v>
      </c>
      <c r="AB454" t="s">
        <v>7622</v>
      </c>
      <c r="AC454" t="s">
        <v>74</v>
      </c>
      <c r="AD454" t="s">
        <v>74</v>
      </c>
      <c r="AE454" t="s">
        <v>74</v>
      </c>
      <c r="AF454" t="s">
        <v>74</v>
      </c>
      <c r="AG454">
        <v>42</v>
      </c>
      <c r="AH454">
        <v>3</v>
      </c>
      <c r="AI454">
        <v>3</v>
      </c>
      <c r="AJ454">
        <v>3</v>
      </c>
      <c r="AK454">
        <v>12</v>
      </c>
      <c r="AL454" t="s">
        <v>1415</v>
      </c>
      <c r="AM454" t="s">
        <v>1416</v>
      </c>
      <c r="AN454" t="s">
        <v>1417</v>
      </c>
      <c r="AO454" t="s">
        <v>7623</v>
      </c>
      <c r="AP454" t="s">
        <v>7624</v>
      </c>
      <c r="AQ454" t="s">
        <v>74</v>
      </c>
      <c r="AR454" t="s">
        <v>7625</v>
      </c>
      <c r="AS454" t="s">
        <v>7626</v>
      </c>
      <c r="AT454" t="s">
        <v>7627</v>
      </c>
      <c r="AU454">
        <v>2023</v>
      </c>
      <c r="AV454">
        <v>35</v>
      </c>
      <c r="AW454">
        <v>4</v>
      </c>
      <c r="AX454" t="s">
        <v>74</v>
      </c>
      <c r="AY454" t="s">
        <v>74</v>
      </c>
      <c r="AZ454" t="s">
        <v>74</v>
      </c>
      <c r="BA454" t="s">
        <v>74</v>
      </c>
      <c r="BB454">
        <v>584</v>
      </c>
      <c r="BC454">
        <v>599</v>
      </c>
      <c r="BD454" t="s">
        <v>74</v>
      </c>
      <c r="BE454" t="s">
        <v>7628</v>
      </c>
      <c r="BF454" t="str">
        <f>HYPERLINK("http://dx.doi.org/10.1080/08982112.2022.2163179","http://dx.doi.org/10.1080/08982112.2022.2163179")</f>
        <v>http://dx.doi.org/10.1080/08982112.2022.2163179</v>
      </c>
      <c r="BG454" t="s">
        <v>74</v>
      </c>
      <c r="BH454" t="s">
        <v>396</v>
      </c>
      <c r="BI454">
        <v>16</v>
      </c>
      <c r="BJ454" t="s">
        <v>7629</v>
      </c>
      <c r="BK454" t="s">
        <v>149</v>
      </c>
      <c r="BL454" t="s">
        <v>7630</v>
      </c>
      <c r="BM454" t="s">
        <v>7631</v>
      </c>
      <c r="BN454" t="s">
        <v>74</v>
      </c>
      <c r="BO454" t="s">
        <v>7632</v>
      </c>
      <c r="BP454" t="s">
        <v>74</v>
      </c>
      <c r="BQ454" t="s">
        <v>74</v>
      </c>
      <c r="BR454" t="s">
        <v>104</v>
      </c>
      <c r="BS454" t="s">
        <v>7633</v>
      </c>
      <c r="BT454" t="str">
        <f>HYPERLINK("https%3A%2F%2Fwww.webofscience.com%2Fwos%2Fwoscc%2Ffull-record%2FWOS:000922525000001","View Full Record in Web of Science")</f>
        <v>View Full Record in Web of Science</v>
      </c>
    </row>
    <row r="455" spans="1:72" x14ac:dyDescent="0.25">
      <c r="A455" t="s">
        <v>72</v>
      </c>
      <c r="B455" t="s">
        <v>7634</v>
      </c>
      <c r="C455" t="s">
        <v>74</v>
      </c>
      <c r="D455" t="s">
        <v>74</v>
      </c>
      <c r="E455" t="s">
        <v>74</v>
      </c>
      <c r="F455" t="s">
        <v>7635</v>
      </c>
      <c r="G455" t="s">
        <v>74</v>
      </c>
      <c r="H455" t="s">
        <v>74</v>
      </c>
      <c r="I455" t="s">
        <v>7636</v>
      </c>
      <c r="J455" t="s">
        <v>542</v>
      </c>
      <c r="K455" t="s">
        <v>74</v>
      </c>
      <c r="L455" t="s">
        <v>74</v>
      </c>
      <c r="M455" t="s">
        <v>78</v>
      </c>
      <c r="N455" t="s">
        <v>79</v>
      </c>
      <c r="O455" t="s">
        <v>74</v>
      </c>
      <c r="P455" t="s">
        <v>74</v>
      </c>
      <c r="Q455" t="s">
        <v>74</v>
      </c>
      <c r="R455" t="s">
        <v>74</v>
      </c>
      <c r="S455" t="s">
        <v>74</v>
      </c>
      <c r="T455" t="s">
        <v>7637</v>
      </c>
      <c r="U455" t="s">
        <v>7638</v>
      </c>
      <c r="V455" t="s">
        <v>7639</v>
      </c>
      <c r="W455" t="s">
        <v>7640</v>
      </c>
      <c r="X455" t="s">
        <v>409</v>
      </c>
      <c r="Y455" t="s">
        <v>7641</v>
      </c>
      <c r="Z455" t="s">
        <v>7642</v>
      </c>
      <c r="AA455" t="s">
        <v>7643</v>
      </c>
      <c r="AB455" t="s">
        <v>7644</v>
      </c>
      <c r="AC455" t="s">
        <v>7645</v>
      </c>
      <c r="AD455" t="s">
        <v>7646</v>
      </c>
      <c r="AE455" t="s">
        <v>7647</v>
      </c>
      <c r="AF455" t="s">
        <v>74</v>
      </c>
      <c r="AG455">
        <v>45</v>
      </c>
      <c r="AH455">
        <v>4</v>
      </c>
      <c r="AI455">
        <v>4</v>
      </c>
      <c r="AJ455">
        <v>2</v>
      </c>
      <c r="AK455">
        <v>11</v>
      </c>
      <c r="AL455" t="s">
        <v>552</v>
      </c>
      <c r="AM455" t="s">
        <v>553</v>
      </c>
      <c r="AN455" t="s">
        <v>554</v>
      </c>
      <c r="AO455" t="s">
        <v>555</v>
      </c>
      <c r="AP455" t="s">
        <v>556</v>
      </c>
      <c r="AQ455" t="s">
        <v>74</v>
      </c>
      <c r="AR455" t="s">
        <v>557</v>
      </c>
      <c r="AS455" t="s">
        <v>558</v>
      </c>
      <c r="AT455" t="s">
        <v>1076</v>
      </c>
      <c r="AU455">
        <v>2022</v>
      </c>
      <c r="AV455">
        <v>236</v>
      </c>
      <c r="AW455">
        <v>5</v>
      </c>
      <c r="AX455" t="s">
        <v>74</v>
      </c>
      <c r="AY455" t="s">
        <v>74</v>
      </c>
      <c r="AZ455" t="s">
        <v>74</v>
      </c>
      <c r="BA455" t="s">
        <v>74</v>
      </c>
      <c r="BB455">
        <v>879</v>
      </c>
      <c r="BC455">
        <v>892</v>
      </c>
      <c r="BD455" t="s">
        <v>7648</v>
      </c>
      <c r="BE455" t="s">
        <v>7649</v>
      </c>
      <c r="BF455" t="str">
        <f>HYPERLINK("http://dx.doi.org/10.1177/1748006X211034650","http://dx.doi.org/10.1177/1748006X211034650")</f>
        <v>http://dx.doi.org/10.1177/1748006X211034650</v>
      </c>
      <c r="BG455" t="s">
        <v>74</v>
      </c>
      <c r="BH455" t="s">
        <v>1059</v>
      </c>
      <c r="BI455">
        <v>14</v>
      </c>
      <c r="BJ455" t="s">
        <v>494</v>
      </c>
      <c r="BK455" t="s">
        <v>149</v>
      </c>
      <c r="BL455" t="s">
        <v>150</v>
      </c>
      <c r="BM455" t="s">
        <v>7650</v>
      </c>
      <c r="BN455" t="s">
        <v>74</v>
      </c>
      <c r="BO455" t="s">
        <v>74</v>
      </c>
      <c r="BP455" t="s">
        <v>74</v>
      </c>
      <c r="BQ455" t="s">
        <v>74</v>
      </c>
      <c r="BR455" t="s">
        <v>104</v>
      </c>
      <c r="BS455" t="s">
        <v>7651</v>
      </c>
      <c r="BT455" t="str">
        <f>HYPERLINK("https%3A%2F%2Fwww.webofscience.com%2Fwos%2Fwoscc%2Ffull-record%2FWOS:000679139400001","View Full Record in Web of Science")</f>
        <v>View Full Record in Web of Science</v>
      </c>
    </row>
    <row r="456" spans="1:72" x14ac:dyDescent="0.25">
      <c r="A456" t="s">
        <v>72</v>
      </c>
      <c r="B456" t="s">
        <v>7652</v>
      </c>
      <c r="C456" t="s">
        <v>74</v>
      </c>
      <c r="D456" t="s">
        <v>74</v>
      </c>
      <c r="E456" t="s">
        <v>74</v>
      </c>
      <c r="F456" t="s">
        <v>7653</v>
      </c>
      <c r="G456" t="s">
        <v>74</v>
      </c>
      <c r="H456" t="s">
        <v>74</v>
      </c>
      <c r="I456" t="s">
        <v>7654</v>
      </c>
      <c r="J456" t="s">
        <v>542</v>
      </c>
      <c r="K456" t="s">
        <v>74</v>
      </c>
      <c r="L456" t="s">
        <v>74</v>
      </c>
      <c r="M456" t="s">
        <v>78</v>
      </c>
      <c r="N456" t="s">
        <v>79</v>
      </c>
      <c r="O456" t="s">
        <v>74</v>
      </c>
      <c r="P456" t="s">
        <v>74</v>
      </c>
      <c r="Q456" t="s">
        <v>74</v>
      </c>
      <c r="R456" t="s">
        <v>74</v>
      </c>
      <c r="S456" t="s">
        <v>74</v>
      </c>
      <c r="T456" t="s">
        <v>7655</v>
      </c>
      <c r="U456" t="s">
        <v>7656</v>
      </c>
      <c r="V456" t="s">
        <v>7657</v>
      </c>
      <c r="W456" t="s">
        <v>7658</v>
      </c>
      <c r="X456" t="s">
        <v>7659</v>
      </c>
      <c r="Y456" t="s">
        <v>7660</v>
      </c>
      <c r="Z456" t="s">
        <v>7661</v>
      </c>
      <c r="AA456" t="s">
        <v>3857</v>
      </c>
      <c r="AB456" t="s">
        <v>3858</v>
      </c>
      <c r="AC456" t="s">
        <v>7662</v>
      </c>
      <c r="AD456" t="s">
        <v>7663</v>
      </c>
      <c r="AE456" t="s">
        <v>7664</v>
      </c>
      <c r="AF456" t="s">
        <v>74</v>
      </c>
      <c r="AG456">
        <v>46</v>
      </c>
      <c r="AH456">
        <v>1</v>
      </c>
      <c r="AI456">
        <v>1</v>
      </c>
      <c r="AJ456">
        <v>14</v>
      </c>
      <c r="AK456">
        <v>37</v>
      </c>
      <c r="AL456" t="s">
        <v>552</v>
      </c>
      <c r="AM456" t="s">
        <v>553</v>
      </c>
      <c r="AN456" t="s">
        <v>554</v>
      </c>
      <c r="AO456" t="s">
        <v>555</v>
      </c>
      <c r="AP456" t="s">
        <v>556</v>
      </c>
      <c r="AQ456" t="s">
        <v>74</v>
      </c>
      <c r="AR456" t="s">
        <v>557</v>
      </c>
      <c r="AS456" t="s">
        <v>558</v>
      </c>
      <c r="AT456" t="s">
        <v>533</v>
      </c>
      <c r="AU456">
        <v>2025</v>
      </c>
      <c r="AV456">
        <v>239</v>
      </c>
      <c r="AW456">
        <v>1</v>
      </c>
      <c r="AX456" t="s">
        <v>74</v>
      </c>
      <c r="AY456" t="s">
        <v>74</v>
      </c>
      <c r="AZ456" t="s">
        <v>74</v>
      </c>
      <c r="BA456" t="s">
        <v>74</v>
      </c>
      <c r="BB456">
        <v>79</v>
      </c>
      <c r="BC456">
        <v>96</v>
      </c>
      <c r="BD456" t="s">
        <v>74</v>
      </c>
      <c r="BE456" t="s">
        <v>7665</v>
      </c>
      <c r="BF456" t="str">
        <f>HYPERLINK("http://dx.doi.org/10.1177/1748006X231219728","http://dx.doi.org/10.1177/1748006X231219728")</f>
        <v>http://dx.doi.org/10.1177/1748006X231219728</v>
      </c>
      <c r="BG456" t="s">
        <v>74</v>
      </c>
      <c r="BH456" t="s">
        <v>3894</v>
      </c>
      <c r="BI456">
        <v>18</v>
      </c>
      <c r="BJ456" t="s">
        <v>494</v>
      </c>
      <c r="BK456" t="s">
        <v>149</v>
      </c>
      <c r="BL456" t="s">
        <v>150</v>
      </c>
      <c r="BM456" t="s">
        <v>3895</v>
      </c>
      <c r="BN456" t="s">
        <v>74</v>
      </c>
      <c r="BO456" t="s">
        <v>74</v>
      </c>
      <c r="BP456" t="s">
        <v>74</v>
      </c>
      <c r="BQ456" t="s">
        <v>74</v>
      </c>
      <c r="BR456" t="s">
        <v>104</v>
      </c>
      <c r="BS456" t="s">
        <v>7666</v>
      </c>
      <c r="BT456" t="str">
        <f>HYPERLINK("https%3A%2F%2Fwww.webofscience.com%2Fwos%2Fwoscc%2Ffull-record%2FWOS:001145694100001","View Full Record in Web of Science")</f>
        <v>View Full Record in Web of Science</v>
      </c>
    </row>
    <row r="457" spans="1:72" x14ac:dyDescent="0.25">
      <c r="A457" t="s">
        <v>72</v>
      </c>
      <c r="B457" t="s">
        <v>7667</v>
      </c>
      <c r="C457" t="s">
        <v>74</v>
      </c>
      <c r="D457" t="s">
        <v>74</v>
      </c>
      <c r="E457" t="s">
        <v>74</v>
      </c>
      <c r="F457" t="s">
        <v>7668</v>
      </c>
      <c r="G457" t="s">
        <v>74</v>
      </c>
      <c r="H457" t="s">
        <v>74</v>
      </c>
      <c r="I457" t="s">
        <v>7669</v>
      </c>
      <c r="J457" t="s">
        <v>128</v>
      </c>
      <c r="K457" t="s">
        <v>74</v>
      </c>
      <c r="L457" t="s">
        <v>74</v>
      </c>
      <c r="M457" t="s">
        <v>78</v>
      </c>
      <c r="N457" t="s">
        <v>79</v>
      </c>
      <c r="O457" t="s">
        <v>74</v>
      </c>
      <c r="P457" t="s">
        <v>74</v>
      </c>
      <c r="Q457" t="s">
        <v>74</v>
      </c>
      <c r="R457" t="s">
        <v>74</v>
      </c>
      <c r="S457" t="s">
        <v>74</v>
      </c>
      <c r="T457" t="s">
        <v>7670</v>
      </c>
      <c r="U457" t="s">
        <v>7671</v>
      </c>
      <c r="V457" t="s">
        <v>7672</v>
      </c>
      <c r="W457" t="s">
        <v>7673</v>
      </c>
      <c r="X457" t="s">
        <v>7674</v>
      </c>
      <c r="Y457" t="s">
        <v>7675</v>
      </c>
      <c r="Z457" t="s">
        <v>7676</v>
      </c>
      <c r="AA457" t="s">
        <v>74</v>
      </c>
      <c r="AB457" t="s">
        <v>7677</v>
      </c>
      <c r="AC457" t="s">
        <v>7678</v>
      </c>
      <c r="AD457" t="s">
        <v>7679</v>
      </c>
      <c r="AE457" t="s">
        <v>7680</v>
      </c>
      <c r="AF457" t="s">
        <v>74</v>
      </c>
      <c r="AG457">
        <v>46</v>
      </c>
      <c r="AH457">
        <v>3</v>
      </c>
      <c r="AI457">
        <v>3</v>
      </c>
      <c r="AJ457">
        <v>17</v>
      </c>
      <c r="AK457">
        <v>17</v>
      </c>
      <c r="AL457" t="s">
        <v>138</v>
      </c>
      <c r="AM457" t="s">
        <v>139</v>
      </c>
      <c r="AN457" t="s">
        <v>140</v>
      </c>
      <c r="AO457" t="s">
        <v>141</v>
      </c>
      <c r="AP457" t="s">
        <v>142</v>
      </c>
      <c r="AQ457" t="s">
        <v>74</v>
      </c>
      <c r="AR457" t="s">
        <v>143</v>
      </c>
      <c r="AS457" t="s">
        <v>144</v>
      </c>
      <c r="AT457" t="s">
        <v>1008</v>
      </c>
      <c r="AU457">
        <v>2025</v>
      </c>
      <c r="AV457">
        <v>253</v>
      </c>
      <c r="AW457" t="s">
        <v>74</v>
      </c>
      <c r="AX457" t="s">
        <v>74</v>
      </c>
      <c r="AY457" t="s">
        <v>74</v>
      </c>
      <c r="AZ457" t="s">
        <v>74</v>
      </c>
      <c r="BA457" t="s">
        <v>74</v>
      </c>
      <c r="BB457" t="s">
        <v>74</v>
      </c>
      <c r="BC457" t="s">
        <v>74</v>
      </c>
      <c r="BD457">
        <v>110546</v>
      </c>
      <c r="BE457" t="s">
        <v>7681</v>
      </c>
      <c r="BF457" t="str">
        <f>HYPERLINK("http://dx.doi.org/10.1016/j.ress.2024.110546","http://dx.doi.org/10.1016/j.ress.2024.110546")</f>
        <v>http://dx.doi.org/10.1016/j.ress.2024.110546</v>
      </c>
      <c r="BG457" t="s">
        <v>74</v>
      </c>
      <c r="BH457" t="s">
        <v>415</v>
      </c>
      <c r="BI457">
        <v>13</v>
      </c>
      <c r="BJ457" t="s">
        <v>148</v>
      </c>
      <c r="BK457" t="s">
        <v>149</v>
      </c>
      <c r="BL457" t="s">
        <v>150</v>
      </c>
      <c r="BM457" t="s">
        <v>7682</v>
      </c>
      <c r="BN457" t="s">
        <v>74</v>
      </c>
      <c r="BO457" t="s">
        <v>74</v>
      </c>
      <c r="BP457" t="s">
        <v>74</v>
      </c>
      <c r="BQ457" t="s">
        <v>74</v>
      </c>
      <c r="BR457" t="s">
        <v>104</v>
      </c>
      <c r="BS457" t="s">
        <v>7683</v>
      </c>
      <c r="BT457" t="str">
        <f>HYPERLINK("https%3A%2F%2Fwww.webofscience.com%2Fwos%2Fwoscc%2Ffull-record%2FWOS:001336426300001","View Full Record in Web of Science")</f>
        <v>View Full Record in Web of Science</v>
      </c>
    </row>
    <row r="458" spans="1:72" x14ac:dyDescent="0.25">
      <c r="A458" t="s">
        <v>72</v>
      </c>
      <c r="B458" t="s">
        <v>7684</v>
      </c>
      <c r="C458" t="s">
        <v>74</v>
      </c>
      <c r="D458" t="s">
        <v>74</v>
      </c>
      <c r="E458" t="s">
        <v>74</v>
      </c>
      <c r="F458" t="s">
        <v>7685</v>
      </c>
      <c r="G458" t="s">
        <v>74</v>
      </c>
      <c r="H458" t="s">
        <v>74</v>
      </c>
      <c r="I458" t="s">
        <v>7686</v>
      </c>
      <c r="J458" t="s">
        <v>128</v>
      </c>
      <c r="K458" t="s">
        <v>74</v>
      </c>
      <c r="L458" t="s">
        <v>74</v>
      </c>
      <c r="M458" t="s">
        <v>78</v>
      </c>
      <c r="N458" t="s">
        <v>79</v>
      </c>
      <c r="O458" t="s">
        <v>74</v>
      </c>
      <c r="P458" t="s">
        <v>74</v>
      </c>
      <c r="Q458" t="s">
        <v>74</v>
      </c>
      <c r="R458" t="s">
        <v>74</v>
      </c>
      <c r="S458" t="s">
        <v>74</v>
      </c>
      <c r="T458" t="s">
        <v>7687</v>
      </c>
      <c r="U458" t="s">
        <v>7688</v>
      </c>
      <c r="V458" t="s">
        <v>7689</v>
      </c>
      <c r="W458" t="s">
        <v>7690</v>
      </c>
      <c r="X458" t="s">
        <v>7691</v>
      </c>
      <c r="Y458" t="s">
        <v>7692</v>
      </c>
      <c r="Z458" t="s">
        <v>7693</v>
      </c>
      <c r="AA458" t="s">
        <v>7694</v>
      </c>
      <c r="AB458" t="s">
        <v>7695</v>
      </c>
      <c r="AC458" t="s">
        <v>7696</v>
      </c>
      <c r="AD458" t="s">
        <v>7697</v>
      </c>
      <c r="AE458" t="s">
        <v>7698</v>
      </c>
      <c r="AF458" t="s">
        <v>74</v>
      </c>
      <c r="AG458">
        <v>56</v>
      </c>
      <c r="AH458">
        <v>6</v>
      </c>
      <c r="AI458">
        <v>6</v>
      </c>
      <c r="AJ458">
        <v>8</v>
      </c>
      <c r="AK458">
        <v>21</v>
      </c>
      <c r="AL458" t="s">
        <v>138</v>
      </c>
      <c r="AM458" t="s">
        <v>246</v>
      </c>
      <c r="AN458" t="s">
        <v>247</v>
      </c>
      <c r="AO458" t="s">
        <v>141</v>
      </c>
      <c r="AP458" t="s">
        <v>142</v>
      </c>
      <c r="AQ458" t="s">
        <v>74</v>
      </c>
      <c r="AR458" t="s">
        <v>143</v>
      </c>
      <c r="AS458" t="s">
        <v>144</v>
      </c>
      <c r="AT458" t="s">
        <v>1076</v>
      </c>
      <c r="AU458">
        <v>2022</v>
      </c>
      <c r="AV458">
        <v>226</v>
      </c>
      <c r="AW458" t="s">
        <v>74</v>
      </c>
      <c r="AX458" t="s">
        <v>74</v>
      </c>
      <c r="AY458" t="s">
        <v>74</v>
      </c>
      <c r="AZ458" t="s">
        <v>74</v>
      </c>
      <c r="BA458" t="s">
        <v>74</v>
      </c>
      <c r="BB458" t="s">
        <v>74</v>
      </c>
      <c r="BC458" t="s">
        <v>74</v>
      </c>
      <c r="BD458">
        <v>108668</v>
      </c>
      <c r="BE458" t="s">
        <v>7699</v>
      </c>
      <c r="BF458" t="str">
        <f>HYPERLINK("http://dx.doi.org/10.1016/j.ress.2022.108668","http://dx.doi.org/10.1016/j.ress.2022.108668")</f>
        <v>http://dx.doi.org/10.1016/j.ress.2022.108668</v>
      </c>
      <c r="BG458" t="s">
        <v>74</v>
      </c>
      <c r="BH458" t="s">
        <v>168</v>
      </c>
      <c r="BI458">
        <v>14</v>
      </c>
      <c r="BJ458" t="s">
        <v>148</v>
      </c>
      <c r="BK458" t="s">
        <v>149</v>
      </c>
      <c r="BL458" t="s">
        <v>150</v>
      </c>
      <c r="BM458" t="s">
        <v>7700</v>
      </c>
      <c r="BN458" t="s">
        <v>74</v>
      </c>
      <c r="BO458" t="s">
        <v>74</v>
      </c>
      <c r="BP458" t="s">
        <v>74</v>
      </c>
      <c r="BQ458" t="s">
        <v>74</v>
      </c>
      <c r="BR458" t="s">
        <v>104</v>
      </c>
      <c r="BS458" t="s">
        <v>7701</v>
      </c>
      <c r="BT458" t="str">
        <f>HYPERLINK("https%3A%2F%2Fwww.webofscience.com%2Fwos%2Fwoscc%2Ffull-record%2FWOS:000829043700002","View Full Record in Web of Science")</f>
        <v>View Full Record in Web of Science</v>
      </c>
    </row>
    <row r="459" spans="1:72" x14ac:dyDescent="0.25">
      <c r="A459" t="s">
        <v>72</v>
      </c>
      <c r="B459" t="s">
        <v>7702</v>
      </c>
      <c r="C459" t="s">
        <v>74</v>
      </c>
      <c r="D459" t="s">
        <v>74</v>
      </c>
      <c r="E459" t="s">
        <v>74</v>
      </c>
      <c r="F459" t="s">
        <v>7703</v>
      </c>
      <c r="G459" t="s">
        <v>74</v>
      </c>
      <c r="H459" t="s">
        <v>74</v>
      </c>
      <c r="I459" t="s">
        <v>7704</v>
      </c>
      <c r="J459" t="s">
        <v>77</v>
      </c>
      <c r="K459" t="s">
        <v>74</v>
      </c>
      <c r="L459" t="s">
        <v>74</v>
      </c>
      <c r="M459" t="s">
        <v>78</v>
      </c>
      <c r="N459" t="s">
        <v>79</v>
      </c>
      <c r="O459" t="s">
        <v>74</v>
      </c>
      <c r="P459" t="s">
        <v>74</v>
      </c>
      <c r="Q459" t="s">
        <v>74</v>
      </c>
      <c r="R459" t="s">
        <v>74</v>
      </c>
      <c r="S459" t="s">
        <v>74</v>
      </c>
      <c r="T459" t="s">
        <v>7705</v>
      </c>
      <c r="U459" t="s">
        <v>7706</v>
      </c>
      <c r="V459" t="s">
        <v>7707</v>
      </c>
      <c r="W459" t="s">
        <v>7708</v>
      </c>
      <c r="X459" t="s">
        <v>999</v>
      </c>
      <c r="Y459" t="s">
        <v>7709</v>
      </c>
      <c r="Z459" t="s">
        <v>7710</v>
      </c>
      <c r="AA459" t="s">
        <v>7711</v>
      </c>
      <c r="AB459" t="s">
        <v>74</v>
      </c>
      <c r="AC459" t="s">
        <v>74</v>
      </c>
      <c r="AD459" t="s">
        <v>74</v>
      </c>
      <c r="AE459" t="s">
        <v>74</v>
      </c>
      <c r="AF459" t="s">
        <v>74</v>
      </c>
      <c r="AG459">
        <v>44</v>
      </c>
      <c r="AH459">
        <v>8</v>
      </c>
      <c r="AI459">
        <v>8</v>
      </c>
      <c r="AJ459">
        <v>2</v>
      </c>
      <c r="AK459">
        <v>14</v>
      </c>
      <c r="AL459" t="s">
        <v>90</v>
      </c>
      <c r="AM459" t="s">
        <v>118</v>
      </c>
      <c r="AN459" t="s">
        <v>119</v>
      </c>
      <c r="AO459" t="s">
        <v>93</v>
      </c>
      <c r="AP459" t="s">
        <v>94</v>
      </c>
      <c r="AQ459" t="s">
        <v>74</v>
      </c>
      <c r="AR459" t="s">
        <v>95</v>
      </c>
      <c r="AS459" t="s">
        <v>96</v>
      </c>
      <c r="AT459" t="s">
        <v>1436</v>
      </c>
      <c r="AU459">
        <v>2020</v>
      </c>
      <c r="AV459">
        <v>26</v>
      </c>
      <c r="AW459">
        <v>3</v>
      </c>
      <c r="AX459" t="s">
        <v>74</v>
      </c>
      <c r="AY459" t="s">
        <v>74</v>
      </c>
      <c r="AZ459" t="s">
        <v>74</v>
      </c>
      <c r="BA459" t="s">
        <v>74</v>
      </c>
      <c r="BB459">
        <v>349</v>
      </c>
      <c r="BC459">
        <v>368</v>
      </c>
      <c r="BD459" t="s">
        <v>74</v>
      </c>
      <c r="BE459" t="s">
        <v>7712</v>
      </c>
      <c r="BF459" t="str">
        <f>HYPERLINK("http://dx.doi.org/10.1108/JQME-07-2018-0058","http://dx.doi.org/10.1108/JQME-07-2018-0058")</f>
        <v>http://dx.doi.org/10.1108/JQME-07-2018-0058</v>
      </c>
      <c r="BG459" t="s">
        <v>74</v>
      </c>
      <c r="BH459" t="s">
        <v>74</v>
      </c>
      <c r="BI459">
        <v>20</v>
      </c>
      <c r="BJ459" t="s">
        <v>100</v>
      </c>
      <c r="BK459" t="s">
        <v>101</v>
      </c>
      <c r="BL459" t="s">
        <v>102</v>
      </c>
      <c r="BM459" t="s">
        <v>1438</v>
      </c>
      <c r="BN459" t="s">
        <v>74</v>
      </c>
      <c r="BO459" t="s">
        <v>74</v>
      </c>
      <c r="BP459" t="s">
        <v>74</v>
      </c>
      <c r="BQ459" t="s">
        <v>74</v>
      </c>
      <c r="BR459" t="s">
        <v>104</v>
      </c>
      <c r="BS459" t="s">
        <v>7713</v>
      </c>
      <c r="BT459" t="str">
        <f>HYPERLINK("https%3A%2F%2Fwww.webofscience.com%2Fwos%2Fwoscc%2Ffull-record%2FWOS:000546970600001","View Full Record in Web of Science")</f>
        <v>View Full Record in Web of Science</v>
      </c>
    </row>
    <row r="460" spans="1:72" x14ac:dyDescent="0.25">
      <c r="A460" t="s">
        <v>72</v>
      </c>
      <c r="B460" t="s">
        <v>7714</v>
      </c>
      <c r="C460" t="s">
        <v>74</v>
      </c>
      <c r="D460" t="s">
        <v>74</v>
      </c>
      <c r="E460" t="s">
        <v>74</v>
      </c>
      <c r="F460" t="s">
        <v>7715</v>
      </c>
      <c r="G460" t="s">
        <v>74</v>
      </c>
      <c r="H460" t="s">
        <v>74</v>
      </c>
      <c r="I460" t="s">
        <v>7716</v>
      </c>
      <c r="J460" t="s">
        <v>1402</v>
      </c>
      <c r="K460" t="s">
        <v>74</v>
      </c>
      <c r="L460" t="s">
        <v>74</v>
      </c>
      <c r="M460" t="s">
        <v>78</v>
      </c>
      <c r="N460" t="s">
        <v>79</v>
      </c>
      <c r="O460" t="s">
        <v>74</v>
      </c>
      <c r="P460" t="s">
        <v>74</v>
      </c>
      <c r="Q460" t="s">
        <v>74</v>
      </c>
      <c r="R460" t="s">
        <v>74</v>
      </c>
      <c r="S460" t="s">
        <v>74</v>
      </c>
      <c r="T460" t="s">
        <v>7717</v>
      </c>
      <c r="U460" t="s">
        <v>7718</v>
      </c>
      <c r="V460" t="s">
        <v>7719</v>
      </c>
      <c r="W460" t="s">
        <v>7720</v>
      </c>
      <c r="X460" t="s">
        <v>7721</v>
      </c>
      <c r="Y460" t="s">
        <v>7722</v>
      </c>
      <c r="Z460" t="s">
        <v>7723</v>
      </c>
      <c r="AA460" t="s">
        <v>7724</v>
      </c>
      <c r="AB460" t="s">
        <v>2615</v>
      </c>
      <c r="AC460" t="s">
        <v>7725</v>
      </c>
      <c r="AD460" t="s">
        <v>7726</v>
      </c>
      <c r="AE460" t="s">
        <v>7727</v>
      </c>
      <c r="AF460" t="s">
        <v>74</v>
      </c>
      <c r="AG460">
        <v>42</v>
      </c>
      <c r="AH460">
        <v>55</v>
      </c>
      <c r="AI460">
        <v>55</v>
      </c>
      <c r="AJ460">
        <v>2</v>
      </c>
      <c r="AK460">
        <v>43</v>
      </c>
      <c r="AL460" t="s">
        <v>1415</v>
      </c>
      <c r="AM460" t="s">
        <v>1416</v>
      </c>
      <c r="AN460" t="s">
        <v>1417</v>
      </c>
      <c r="AO460" t="s">
        <v>1418</v>
      </c>
      <c r="AP460" t="s">
        <v>1419</v>
      </c>
      <c r="AQ460" t="s">
        <v>74</v>
      </c>
      <c r="AR460" t="s">
        <v>1420</v>
      </c>
      <c r="AS460" t="s">
        <v>1421</v>
      </c>
      <c r="AT460" t="s">
        <v>74</v>
      </c>
      <c r="AU460">
        <v>2019</v>
      </c>
      <c r="AV460">
        <v>51</v>
      </c>
      <c r="AW460">
        <v>3</v>
      </c>
      <c r="AX460" t="s">
        <v>74</v>
      </c>
      <c r="AY460" t="s">
        <v>74</v>
      </c>
      <c r="AZ460" t="s">
        <v>74</v>
      </c>
      <c r="BA460" t="s">
        <v>74</v>
      </c>
      <c r="BB460">
        <v>322</v>
      </c>
      <c r="BC460">
        <v>336</v>
      </c>
      <c r="BD460" t="s">
        <v>74</v>
      </c>
      <c r="BE460" t="s">
        <v>7728</v>
      </c>
      <c r="BF460" t="str">
        <f>HYPERLINK("http://dx.doi.org/10.1080/24725854.2018.1488308","http://dx.doi.org/10.1080/24725854.2018.1488308")</f>
        <v>http://dx.doi.org/10.1080/24725854.2018.1488308</v>
      </c>
      <c r="BG460" t="s">
        <v>74</v>
      </c>
      <c r="BH460" t="s">
        <v>74</v>
      </c>
      <c r="BI460">
        <v>15</v>
      </c>
      <c r="BJ460" t="s">
        <v>148</v>
      </c>
      <c r="BK460" t="s">
        <v>149</v>
      </c>
      <c r="BL460" t="s">
        <v>150</v>
      </c>
      <c r="BM460" t="s">
        <v>7729</v>
      </c>
      <c r="BN460" t="s">
        <v>74</v>
      </c>
      <c r="BO460" t="s">
        <v>74</v>
      </c>
      <c r="BP460" t="s">
        <v>74</v>
      </c>
      <c r="BQ460" t="s">
        <v>74</v>
      </c>
      <c r="BR460" t="s">
        <v>104</v>
      </c>
      <c r="BS460" t="s">
        <v>7730</v>
      </c>
      <c r="BT460" t="str">
        <f>HYPERLINK("https%3A%2F%2Fwww.webofscience.com%2Fwos%2Fwoscc%2Ffull-record%2FWOS:000468240500007","View Full Record in Web of Science")</f>
        <v>View Full Record in Web of Science</v>
      </c>
    </row>
    <row r="461" spans="1:72" x14ac:dyDescent="0.25">
      <c r="A461" t="s">
        <v>72</v>
      </c>
      <c r="B461" t="s">
        <v>7731</v>
      </c>
      <c r="C461" t="s">
        <v>74</v>
      </c>
      <c r="D461" t="s">
        <v>74</v>
      </c>
      <c r="E461" t="s">
        <v>74</v>
      </c>
      <c r="F461" t="s">
        <v>7732</v>
      </c>
      <c r="G461" t="s">
        <v>74</v>
      </c>
      <c r="H461" t="s">
        <v>74</v>
      </c>
      <c r="I461" t="s">
        <v>7733</v>
      </c>
      <c r="J461" t="s">
        <v>128</v>
      </c>
      <c r="K461" t="s">
        <v>74</v>
      </c>
      <c r="L461" t="s">
        <v>74</v>
      </c>
      <c r="M461" t="s">
        <v>78</v>
      </c>
      <c r="N461" t="s">
        <v>79</v>
      </c>
      <c r="O461" t="s">
        <v>74</v>
      </c>
      <c r="P461" t="s">
        <v>74</v>
      </c>
      <c r="Q461" t="s">
        <v>74</v>
      </c>
      <c r="R461" t="s">
        <v>74</v>
      </c>
      <c r="S461" t="s">
        <v>74</v>
      </c>
      <c r="T461" t="s">
        <v>7734</v>
      </c>
      <c r="U461" t="s">
        <v>7735</v>
      </c>
      <c r="V461" t="s">
        <v>7736</v>
      </c>
      <c r="W461" t="s">
        <v>7737</v>
      </c>
      <c r="X461" t="s">
        <v>6157</v>
      </c>
      <c r="Y461" t="s">
        <v>7329</v>
      </c>
      <c r="Z461" t="s">
        <v>6159</v>
      </c>
      <c r="AA461" t="s">
        <v>74</v>
      </c>
      <c r="AB461" t="s">
        <v>74</v>
      </c>
      <c r="AC461" t="s">
        <v>7738</v>
      </c>
      <c r="AD461" t="s">
        <v>7739</v>
      </c>
      <c r="AE461" t="s">
        <v>7740</v>
      </c>
      <c r="AF461" t="s">
        <v>74</v>
      </c>
      <c r="AG461">
        <v>48</v>
      </c>
      <c r="AH461">
        <v>1</v>
      </c>
      <c r="AI461">
        <v>1</v>
      </c>
      <c r="AJ461">
        <v>25</v>
      </c>
      <c r="AK461">
        <v>25</v>
      </c>
      <c r="AL461" t="s">
        <v>138</v>
      </c>
      <c r="AM461" t="s">
        <v>139</v>
      </c>
      <c r="AN461" t="s">
        <v>140</v>
      </c>
      <c r="AO461" t="s">
        <v>141</v>
      </c>
      <c r="AP461" t="s">
        <v>142</v>
      </c>
      <c r="AQ461" t="s">
        <v>74</v>
      </c>
      <c r="AR461" t="s">
        <v>143</v>
      </c>
      <c r="AS461" t="s">
        <v>144</v>
      </c>
      <c r="AT461" t="s">
        <v>1008</v>
      </c>
      <c r="AU461">
        <v>2025</v>
      </c>
      <c r="AV461">
        <v>253</v>
      </c>
      <c r="AW461" t="s">
        <v>74</v>
      </c>
      <c r="AX461" t="s">
        <v>74</v>
      </c>
      <c r="AY461" t="s">
        <v>74</v>
      </c>
      <c r="AZ461" t="s">
        <v>74</v>
      </c>
      <c r="BA461" t="s">
        <v>74</v>
      </c>
      <c r="BB461" t="s">
        <v>74</v>
      </c>
      <c r="BC461" t="s">
        <v>74</v>
      </c>
      <c r="BD461">
        <v>110490</v>
      </c>
      <c r="BE461" t="s">
        <v>7741</v>
      </c>
      <c r="BF461" t="str">
        <f>HYPERLINK("http://dx.doi.org/10.1016/j.ress.2024.110490","http://dx.doi.org/10.1016/j.ress.2024.110490")</f>
        <v>http://dx.doi.org/10.1016/j.ress.2024.110490</v>
      </c>
      <c r="BG461" t="s">
        <v>74</v>
      </c>
      <c r="BH461" t="s">
        <v>516</v>
      </c>
      <c r="BI461">
        <v>10</v>
      </c>
      <c r="BJ461" t="s">
        <v>148</v>
      </c>
      <c r="BK461" t="s">
        <v>149</v>
      </c>
      <c r="BL461" t="s">
        <v>150</v>
      </c>
      <c r="BM461" t="s">
        <v>7742</v>
      </c>
      <c r="BN461" t="s">
        <v>74</v>
      </c>
      <c r="BO461" t="s">
        <v>74</v>
      </c>
      <c r="BP461" t="s">
        <v>74</v>
      </c>
      <c r="BQ461" t="s">
        <v>74</v>
      </c>
      <c r="BR461" t="s">
        <v>104</v>
      </c>
      <c r="BS461" t="s">
        <v>7743</v>
      </c>
      <c r="BT461" t="str">
        <f>HYPERLINK("https%3A%2F%2Fwww.webofscience.com%2Fwos%2Fwoscc%2Ffull-record%2FWOS:001318906800001","View Full Record in Web of Science")</f>
        <v>View Full Record in Web of Science</v>
      </c>
    </row>
    <row r="462" spans="1:72" x14ac:dyDescent="0.25">
      <c r="A462" t="s">
        <v>72</v>
      </c>
      <c r="B462" t="s">
        <v>3725</v>
      </c>
      <c r="C462" t="s">
        <v>74</v>
      </c>
      <c r="D462" t="s">
        <v>74</v>
      </c>
      <c r="E462" t="s">
        <v>74</v>
      </c>
      <c r="F462" t="s">
        <v>3726</v>
      </c>
      <c r="G462" t="s">
        <v>74</v>
      </c>
      <c r="H462" t="s">
        <v>74</v>
      </c>
      <c r="I462" t="s">
        <v>7744</v>
      </c>
      <c r="J462" t="s">
        <v>128</v>
      </c>
      <c r="K462" t="s">
        <v>74</v>
      </c>
      <c r="L462" t="s">
        <v>74</v>
      </c>
      <c r="M462" t="s">
        <v>78</v>
      </c>
      <c r="N462" t="s">
        <v>79</v>
      </c>
      <c r="O462" t="s">
        <v>74</v>
      </c>
      <c r="P462" t="s">
        <v>74</v>
      </c>
      <c r="Q462" t="s">
        <v>74</v>
      </c>
      <c r="R462" t="s">
        <v>74</v>
      </c>
      <c r="S462" t="s">
        <v>74</v>
      </c>
      <c r="T462" t="s">
        <v>7745</v>
      </c>
      <c r="U462" t="s">
        <v>7746</v>
      </c>
      <c r="V462" t="s">
        <v>7747</v>
      </c>
      <c r="W462" t="s">
        <v>7748</v>
      </c>
      <c r="X462" t="s">
        <v>3732</v>
      </c>
      <c r="Y462" t="s">
        <v>7749</v>
      </c>
      <c r="Z462" t="s">
        <v>2811</v>
      </c>
      <c r="AA462" t="s">
        <v>3733</v>
      </c>
      <c r="AB462" t="s">
        <v>3734</v>
      </c>
      <c r="AC462" t="s">
        <v>3253</v>
      </c>
      <c r="AD462" t="s">
        <v>482</v>
      </c>
      <c r="AE462" t="s">
        <v>7750</v>
      </c>
      <c r="AF462" t="s">
        <v>74</v>
      </c>
      <c r="AG462">
        <v>46</v>
      </c>
      <c r="AH462">
        <v>5</v>
      </c>
      <c r="AI462">
        <v>5</v>
      </c>
      <c r="AJ462">
        <v>11</v>
      </c>
      <c r="AK462">
        <v>40</v>
      </c>
      <c r="AL462" t="s">
        <v>138</v>
      </c>
      <c r="AM462" t="s">
        <v>139</v>
      </c>
      <c r="AN462" t="s">
        <v>140</v>
      </c>
      <c r="AO462" t="s">
        <v>141</v>
      </c>
      <c r="AP462" t="s">
        <v>142</v>
      </c>
      <c r="AQ462" t="s">
        <v>74</v>
      </c>
      <c r="AR462" t="s">
        <v>143</v>
      </c>
      <c r="AS462" t="s">
        <v>144</v>
      </c>
      <c r="AT462" t="s">
        <v>205</v>
      </c>
      <c r="AU462">
        <v>2023</v>
      </c>
      <c r="AV462">
        <v>237</v>
      </c>
      <c r="AW462" t="s">
        <v>74</v>
      </c>
      <c r="AX462" t="s">
        <v>74</v>
      </c>
      <c r="AY462" t="s">
        <v>74</v>
      </c>
      <c r="AZ462" t="s">
        <v>74</v>
      </c>
      <c r="BA462" t="s">
        <v>74</v>
      </c>
      <c r="BB462" t="s">
        <v>74</v>
      </c>
      <c r="BC462" t="s">
        <v>74</v>
      </c>
      <c r="BD462">
        <v>109342</v>
      </c>
      <c r="BE462" t="s">
        <v>7751</v>
      </c>
      <c r="BF462" t="str">
        <f>HYPERLINK("http://dx.doi.org/10.1016/j.ress.2023.109342","http://dx.doi.org/10.1016/j.ress.2023.109342")</f>
        <v>http://dx.doi.org/10.1016/j.ress.2023.109342</v>
      </c>
      <c r="BG462" t="s">
        <v>74</v>
      </c>
      <c r="BH462" t="s">
        <v>2390</v>
      </c>
      <c r="BI462">
        <v>12</v>
      </c>
      <c r="BJ462" t="s">
        <v>148</v>
      </c>
      <c r="BK462" t="s">
        <v>149</v>
      </c>
      <c r="BL462" t="s">
        <v>150</v>
      </c>
      <c r="BM462" t="s">
        <v>7752</v>
      </c>
      <c r="BN462" t="s">
        <v>74</v>
      </c>
      <c r="BO462" t="s">
        <v>74</v>
      </c>
      <c r="BP462" t="s">
        <v>74</v>
      </c>
      <c r="BQ462" t="s">
        <v>74</v>
      </c>
      <c r="BR462" t="s">
        <v>104</v>
      </c>
      <c r="BS462" t="s">
        <v>7753</v>
      </c>
      <c r="BT462" t="str">
        <f>HYPERLINK("https%3A%2F%2Fwww.webofscience.com%2Fwos%2Fwoscc%2Ffull-record%2FWOS:001016224100001","View Full Record in Web of Science")</f>
        <v>View Full Record in Web of Science</v>
      </c>
    </row>
    <row r="463" spans="1:72" x14ac:dyDescent="0.25">
      <c r="A463" t="s">
        <v>72</v>
      </c>
      <c r="B463" t="s">
        <v>7754</v>
      </c>
      <c r="C463" t="s">
        <v>74</v>
      </c>
      <c r="D463" t="s">
        <v>74</v>
      </c>
      <c r="E463" t="s">
        <v>74</v>
      </c>
      <c r="F463" t="s">
        <v>7755</v>
      </c>
      <c r="G463" t="s">
        <v>74</v>
      </c>
      <c r="H463" t="s">
        <v>74</v>
      </c>
      <c r="I463" t="s">
        <v>7756</v>
      </c>
      <c r="J463" t="s">
        <v>6832</v>
      </c>
      <c r="K463" t="s">
        <v>74</v>
      </c>
      <c r="L463" t="s">
        <v>74</v>
      </c>
      <c r="M463" t="s">
        <v>78</v>
      </c>
      <c r="N463" t="s">
        <v>79</v>
      </c>
      <c r="O463" t="s">
        <v>74</v>
      </c>
      <c r="P463" t="s">
        <v>74</v>
      </c>
      <c r="Q463" t="s">
        <v>74</v>
      </c>
      <c r="R463" t="s">
        <v>74</v>
      </c>
      <c r="S463" t="s">
        <v>74</v>
      </c>
      <c r="T463" t="s">
        <v>7757</v>
      </c>
      <c r="U463" t="s">
        <v>74</v>
      </c>
      <c r="V463" t="s">
        <v>7758</v>
      </c>
      <c r="W463" t="s">
        <v>7759</v>
      </c>
      <c r="X463" t="s">
        <v>7760</v>
      </c>
      <c r="Y463" t="s">
        <v>7761</v>
      </c>
      <c r="Z463" t="s">
        <v>7762</v>
      </c>
      <c r="AA463" t="s">
        <v>7763</v>
      </c>
      <c r="AB463" t="s">
        <v>7764</v>
      </c>
      <c r="AC463" t="s">
        <v>7765</v>
      </c>
      <c r="AD463" t="s">
        <v>7765</v>
      </c>
      <c r="AE463" t="s">
        <v>7766</v>
      </c>
      <c r="AF463" t="s">
        <v>74</v>
      </c>
      <c r="AG463">
        <v>21</v>
      </c>
      <c r="AH463">
        <v>2</v>
      </c>
      <c r="AI463">
        <v>2</v>
      </c>
      <c r="AJ463">
        <v>0</v>
      </c>
      <c r="AK463">
        <v>15</v>
      </c>
      <c r="AL463" t="s">
        <v>484</v>
      </c>
      <c r="AM463" t="s">
        <v>485</v>
      </c>
      <c r="AN463" t="s">
        <v>486</v>
      </c>
      <c r="AO463" t="s">
        <v>6841</v>
      </c>
      <c r="AP463" t="s">
        <v>6842</v>
      </c>
      <c r="AQ463" t="s">
        <v>74</v>
      </c>
      <c r="AR463" t="s">
        <v>6843</v>
      </c>
      <c r="AS463" t="s">
        <v>6844</v>
      </c>
      <c r="AT463" t="s">
        <v>145</v>
      </c>
      <c r="AU463">
        <v>2019</v>
      </c>
      <c r="AV463">
        <v>36</v>
      </c>
      <c r="AW463">
        <v>6</v>
      </c>
      <c r="AX463" t="s">
        <v>74</v>
      </c>
      <c r="AY463" t="s">
        <v>74</v>
      </c>
      <c r="AZ463" t="s">
        <v>74</v>
      </c>
      <c r="BA463" t="s">
        <v>74</v>
      </c>
      <c r="BB463" t="s">
        <v>74</v>
      </c>
      <c r="BC463" t="s">
        <v>74</v>
      </c>
      <c r="BD463" t="s">
        <v>7767</v>
      </c>
      <c r="BE463" t="s">
        <v>7768</v>
      </c>
      <c r="BF463" t="str">
        <f>HYPERLINK("http://dx.doi.org/10.1111/exsy.12463","http://dx.doi.org/10.1111/exsy.12463")</f>
        <v>http://dx.doi.org/10.1111/exsy.12463</v>
      </c>
      <c r="BG463" t="s">
        <v>74</v>
      </c>
      <c r="BH463" t="s">
        <v>7769</v>
      </c>
      <c r="BI463">
        <v>11</v>
      </c>
      <c r="BJ463" t="s">
        <v>6847</v>
      </c>
      <c r="BK463" t="s">
        <v>149</v>
      </c>
      <c r="BL463" t="s">
        <v>1228</v>
      </c>
      <c r="BM463" t="s">
        <v>7770</v>
      </c>
      <c r="BN463" t="s">
        <v>74</v>
      </c>
      <c r="BO463" t="s">
        <v>74</v>
      </c>
      <c r="BP463" t="s">
        <v>74</v>
      </c>
      <c r="BQ463" t="s">
        <v>74</v>
      </c>
      <c r="BR463" t="s">
        <v>104</v>
      </c>
      <c r="BS463" t="s">
        <v>7771</v>
      </c>
      <c r="BT463" t="str">
        <f>HYPERLINK("https%3A%2F%2Fwww.webofscience.com%2Fwos%2Fwoscc%2Ffull-record%2FWOS:000479633800001","View Full Record in Web of Science")</f>
        <v>View Full Record in Web of Science</v>
      </c>
    </row>
    <row r="464" spans="1:72" x14ac:dyDescent="0.25">
      <c r="A464" t="s">
        <v>72</v>
      </c>
      <c r="B464" t="s">
        <v>7772</v>
      </c>
      <c r="C464" t="s">
        <v>74</v>
      </c>
      <c r="D464" t="s">
        <v>74</v>
      </c>
      <c r="E464" t="s">
        <v>74</v>
      </c>
      <c r="F464" t="s">
        <v>7773</v>
      </c>
      <c r="G464" t="s">
        <v>74</v>
      </c>
      <c r="H464" t="s">
        <v>74</v>
      </c>
      <c r="I464" t="s">
        <v>7774</v>
      </c>
      <c r="J464" t="s">
        <v>2782</v>
      </c>
      <c r="K464" t="s">
        <v>74</v>
      </c>
      <c r="L464" t="s">
        <v>74</v>
      </c>
      <c r="M464" t="s">
        <v>78</v>
      </c>
      <c r="N464" t="s">
        <v>79</v>
      </c>
      <c r="O464" t="s">
        <v>74</v>
      </c>
      <c r="P464" t="s">
        <v>74</v>
      </c>
      <c r="Q464" t="s">
        <v>74</v>
      </c>
      <c r="R464" t="s">
        <v>74</v>
      </c>
      <c r="S464" t="s">
        <v>74</v>
      </c>
      <c r="T464" t="s">
        <v>7775</v>
      </c>
      <c r="U464" t="s">
        <v>7776</v>
      </c>
      <c r="V464" t="s">
        <v>7777</v>
      </c>
      <c r="W464" t="s">
        <v>7778</v>
      </c>
      <c r="X464" t="s">
        <v>7779</v>
      </c>
      <c r="Y464" t="s">
        <v>7780</v>
      </c>
      <c r="Z464" t="s">
        <v>7781</v>
      </c>
      <c r="AA464" t="s">
        <v>74</v>
      </c>
      <c r="AB464" t="s">
        <v>74</v>
      </c>
      <c r="AC464" t="s">
        <v>7782</v>
      </c>
      <c r="AD464" t="s">
        <v>7782</v>
      </c>
      <c r="AE464" t="s">
        <v>7783</v>
      </c>
      <c r="AF464" t="s">
        <v>74</v>
      </c>
      <c r="AG464">
        <v>53</v>
      </c>
      <c r="AH464">
        <v>3</v>
      </c>
      <c r="AI464">
        <v>3</v>
      </c>
      <c r="AJ464">
        <v>2</v>
      </c>
      <c r="AK464">
        <v>18</v>
      </c>
      <c r="AL464" t="s">
        <v>311</v>
      </c>
      <c r="AM464" t="s">
        <v>312</v>
      </c>
      <c r="AN464" t="s">
        <v>313</v>
      </c>
      <c r="AO464" t="s">
        <v>2792</v>
      </c>
      <c r="AP464" t="s">
        <v>2793</v>
      </c>
      <c r="AQ464" t="s">
        <v>74</v>
      </c>
      <c r="AR464" t="s">
        <v>2794</v>
      </c>
      <c r="AS464" t="s">
        <v>2795</v>
      </c>
      <c r="AT464" t="s">
        <v>1649</v>
      </c>
      <c r="AU464">
        <v>2022</v>
      </c>
      <c r="AV464">
        <v>36</v>
      </c>
      <c r="AW464">
        <v>1</v>
      </c>
      <c r="AX464" t="s">
        <v>74</v>
      </c>
      <c r="AY464" t="s">
        <v>74</v>
      </c>
      <c r="AZ464" t="s">
        <v>74</v>
      </c>
      <c r="BA464" t="s">
        <v>74</v>
      </c>
      <c r="BB464">
        <v>46</v>
      </c>
      <c r="BC464">
        <v>67</v>
      </c>
      <c r="BD464" t="s">
        <v>74</v>
      </c>
      <c r="BE464" t="s">
        <v>7784</v>
      </c>
      <c r="BF464" t="str">
        <f>HYPERLINK("http://dx.doi.org/10.1080/17480930.2021.1953316","http://dx.doi.org/10.1080/17480930.2021.1953316")</f>
        <v>http://dx.doi.org/10.1080/17480930.2021.1953316</v>
      </c>
      <c r="BG464" t="s">
        <v>74</v>
      </c>
      <c r="BH464" t="s">
        <v>2573</v>
      </c>
      <c r="BI464">
        <v>22</v>
      </c>
      <c r="BJ464" t="s">
        <v>2798</v>
      </c>
      <c r="BK464" t="s">
        <v>149</v>
      </c>
      <c r="BL464" t="s">
        <v>2799</v>
      </c>
      <c r="BM464" t="s">
        <v>7785</v>
      </c>
      <c r="BN464" t="s">
        <v>74</v>
      </c>
      <c r="BO464" t="s">
        <v>74</v>
      </c>
      <c r="BP464" t="s">
        <v>74</v>
      </c>
      <c r="BQ464" t="s">
        <v>74</v>
      </c>
      <c r="BR464" t="s">
        <v>104</v>
      </c>
      <c r="BS464" t="s">
        <v>7786</v>
      </c>
      <c r="BT464" t="str">
        <f>HYPERLINK("https%3A%2F%2Fwww.webofscience.com%2Fwos%2Fwoscc%2Ffull-record%2FWOS:000680330700001","View Full Record in Web of Science")</f>
        <v>View Full Record in Web of Science</v>
      </c>
    </row>
    <row r="465" spans="1:72" x14ac:dyDescent="0.25">
      <c r="A465" t="s">
        <v>72</v>
      </c>
      <c r="B465" t="s">
        <v>7787</v>
      </c>
      <c r="C465" t="s">
        <v>74</v>
      </c>
      <c r="D465" t="s">
        <v>74</v>
      </c>
      <c r="E465" t="s">
        <v>74</v>
      </c>
      <c r="F465" t="s">
        <v>7788</v>
      </c>
      <c r="G465" t="s">
        <v>74</v>
      </c>
      <c r="H465" t="s">
        <v>74</v>
      </c>
      <c r="I465" t="s">
        <v>7789</v>
      </c>
      <c r="J465" t="s">
        <v>697</v>
      </c>
      <c r="K465" t="s">
        <v>74</v>
      </c>
      <c r="L465" t="s">
        <v>74</v>
      </c>
      <c r="M465" t="s">
        <v>78</v>
      </c>
      <c r="N465" t="s">
        <v>79</v>
      </c>
      <c r="O465" t="s">
        <v>74</v>
      </c>
      <c r="P465" t="s">
        <v>74</v>
      </c>
      <c r="Q465" t="s">
        <v>74</v>
      </c>
      <c r="R465" t="s">
        <v>74</v>
      </c>
      <c r="S465" t="s">
        <v>74</v>
      </c>
      <c r="T465" t="s">
        <v>7790</v>
      </c>
      <c r="U465" t="s">
        <v>7791</v>
      </c>
      <c r="V465" t="s">
        <v>7792</v>
      </c>
      <c r="W465" t="s">
        <v>7793</v>
      </c>
      <c r="X465" t="s">
        <v>7794</v>
      </c>
      <c r="Y465" t="s">
        <v>7795</v>
      </c>
      <c r="Z465" t="s">
        <v>7796</v>
      </c>
      <c r="AA465" t="s">
        <v>7797</v>
      </c>
      <c r="AB465" t="s">
        <v>7798</v>
      </c>
      <c r="AC465" t="s">
        <v>74</v>
      </c>
      <c r="AD465" t="s">
        <v>74</v>
      </c>
      <c r="AE465" t="s">
        <v>74</v>
      </c>
      <c r="AF465" t="s">
        <v>74</v>
      </c>
      <c r="AG465">
        <v>50</v>
      </c>
      <c r="AH465">
        <v>15</v>
      </c>
      <c r="AI465">
        <v>15</v>
      </c>
      <c r="AJ465">
        <v>2</v>
      </c>
      <c r="AK465">
        <v>45</v>
      </c>
      <c r="AL465" t="s">
        <v>707</v>
      </c>
      <c r="AM465" t="s">
        <v>246</v>
      </c>
      <c r="AN465" t="s">
        <v>708</v>
      </c>
      <c r="AO465" t="s">
        <v>709</v>
      </c>
      <c r="AP465" t="s">
        <v>710</v>
      </c>
      <c r="AQ465" t="s">
        <v>74</v>
      </c>
      <c r="AR465" t="s">
        <v>711</v>
      </c>
      <c r="AS465" t="s">
        <v>712</v>
      </c>
      <c r="AT465" t="s">
        <v>275</v>
      </c>
      <c r="AU465">
        <v>2019</v>
      </c>
      <c r="AV465">
        <v>129</v>
      </c>
      <c r="AW465" t="s">
        <v>74</v>
      </c>
      <c r="AX465" t="s">
        <v>74</v>
      </c>
      <c r="AY465" t="s">
        <v>74</v>
      </c>
      <c r="AZ465" t="s">
        <v>74</v>
      </c>
      <c r="BA465" t="s">
        <v>74</v>
      </c>
      <c r="BB465">
        <v>239</v>
      </c>
      <c r="BC465">
        <v>250</v>
      </c>
      <c r="BD465" t="s">
        <v>74</v>
      </c>
      <c r="BE465" t="s">
        <v>7799</v>
      </c>
      <c r="BF465" t="str">
        <f>HYPERLINK("http://dx.doi.org/10.1016/j.cie.2019.01.032","http://dx.doi.org/10.1016/j.cie.2019.01.032")</f>
        <v>http://dx.doi.org/10.1016/j.cie.2019.01.032</v>
      </c>
      <c r="BG465" t="s">
        <v>74</v>
      </c>
      <c r="BH465" t="s">
        <v>74</v>
      </c>
      <c r="BI465">
        <v>12</v>
      </c>
      <c r="BJ465" t="s">
        <v>715</v>
      </c>
      <c r="BK465" t="s">
        <v>149</v>
      </c>
      <c r="BL465" t="s">
        <v>716</v>
      </c>
      <c r="BM465" t="s">
        <v>7800</v>
      </c>
      <c r="BN465" t="s">
        <v>74</v>
      </c>
      <c r="BO465" t="s">
        <v>74</v>
      </c>
      <c r="BP465" t="s">
        <v>74</v>
      </c>
      <c r="BQ465" t="s">
        <v>74</v>
      </c>
      <c r="BR465" t="s">
        <v>104</v>
      </c>
      <c r="BS465" t="s">
        <v>7801</v>
      </c>
      <c r="BT465" t="str">
        <f>HYPERLINK("https%3A%2F%2Fwww.webofscience.com%2Fwos%2Fwoscc%2Ffull-record%2FWOS:000460496000021","View Full Record in Web of Science")</f>
        <v>View Full Record in Web of Science</v>
      </c>
    </row>
    <row r="466" spans="1:72" x14ac:dyDescent="0.25">
      <c r="A466" t="s">
        <v>72</v>
      </c>
      <c r="B466" t="s">
        <v>7802</v>
      </c>
      <c r="C466" t="s">
        <v>74</v>
      </c>
      <c r="D466" t="s">
        <v>74</v>
      </c>
      <c r="E466" t="s">
        <v>74</v>
      </c>
      <c r="F466" t="s">
        <v>7803</v>
      </c>
      <c r="G466" t="s">
        <v>74</v>
      </c>
      <c r="H466" t="s">
        <v>74</v>
      </c>
      <c r="I466" t="s">
        <v>7804</v>
      </c>
      <c r="J466" t="s">
        <v>542</v>
      </c>
      <c r="K466" t="s">
        <v>74</v>
      </c>
      <c r="L466" t="s">
        <v>74</v>
      </c>
      <c r="M466" t="s">
        <v>78</v>
      </c>
      <c r="N466" t="s">
        <v>79</v>
      </c>
      <c r="O466" t="s">
        <v>74</v>
      </c>
      <c r="P466" t="s">
        <v>74</v>
      </c>
      <c r="Q466" t="s">
        <v>74</v>
      </c>
      <c r="R466" t="s">
        <v>74</v>
      </c>
      <c r="S466" t="s">
        <v>74</v>
      </c>
      <c r="T466" t="s">
        <v>7805</v>
      </c>
      <c r="U466" t="s">
        <v>7806</v>
      </c>
      <c r="V466" t="s">
        <v>7807</v>
      </c>
      <c r="W466" t="s">
        <v>7808</v>
      </c>
      <c r="X466" t="s">
        <v>7809</v>
      </c>
      <c r="Y466" t="s">
        <v>7810</v>
      </c>
      <c r="Z466" t="s">
        <v>806</v>
      </c>
      <c r="AA466" t="s">
        <v>7811</v>
      </c>
      <c r="AB466" t="s">
        <v>1483</v>
      </c>
      <c r="AC466" t="s">
        <v>7812</v>
      </c>
      <c r="AD466" t="s">
        <v>482</v>
      </c>
      <c r="AE466" t="s">
        <v>7813</v>
      </c>
      <c r="AF466" t="s">
        <v>74</v>
      </c>
      <c r="AG466">
        <v>31</v>
      </c>
      <c r="AH466">
        <v>6</v>
      </c>
      <c r="AI466">
        <v>6</v>
      </c>
      <c r="AJ466">
        <v>4</v>
      </c>
      <c r="AK466">
        <v>41</v>
      </c>
      <c r="AL466" t="s">
        <v>552</v>
      </c>
      <c r="AM466" t="s">
        <v>553</v>
      </c>
      <c r="AN466" t="s">
        <v>554</v>
      </c>
      <c r="AO466" t="s">
        <v>555</v>
      </c>
      <c r="AP466" t="s">
        <v>556</v>
      </c>
      <c r="AQ466" t="s">
        <v>74</v>
      </c>
      <c r="AR466" t="s">
        <v>557</v>
      </c>
      <c r="AS466" t="s">
        <v>558</v>
      </c>
      <c r="AT466" t="s">
        <v>1867</v>
      </c>
      <c r="AU466">
        <v>2022</v>
      </c>
      <c r="AV466">
        <v>236</v>
      </c>
      <c r="AW466">
        <v>2</v>
      </c>
      <c r="AX466" t="s">
        <v>74</v>
      </c>
      <c r="AY466" t="s">
        <v>74</v>
      </c>
      <c r="AZ466" t="s">
        <v>560</v>
      </c>
      <c r="BA466" t="s">
        <v>74</v>
      </c>
      <c r="BB466">
        <v>317</v>
      </c>
      <c r="BC466">
        <v>328</v>
      </c>
      <c r="BD466" t="s">
        <v>7814</v>
      </c>
      <c r="BE466" t="s">
        <v>7815</v>
      </c>
      <c r="BF466" t="str">
        <f>HYPERLINK("http://dx.doi.org/10.1177/1748006X19894872","http://dx.doi.org/10.1177/1748006X19894872")</f>
        <v>http://dx.doi.org/10.1177/1748006X19894872</v>
      </c>
      <c r="BG466" t="s">
        <v>74</v>
      </c>
      <c r="BH466" t="s">
        <v>1704</v>
      </c>
      <c r="BI466">
        <v>12</v>
      </c>
      <c r="BJ466" t="s">
        <v>494</v>
      </c>
      <c r="BK466" t="s">
        <v>149</v>
      </c>
      <c r="BL466" t="s">
        <v>150</v>
      </c>
      <c r="BM466" t="s">
        <v>7816</v>
      </c>
      <c r="BN466" t="s">
        <v>74</v>
      </c>
      <c r="BO466" t="s">
        <v>74</v>
      </c>
      <c r="BP466" t="s">
        <v>74</v>
      </c>
      <c r="BQ466" t="s">
        <v>74</v>
      </c>
      <c r="BR466" t="s">
        <v>104</v>
      </c>
      <c r="BS466" t="s">
        <v>7817</v>
      </c>
      <c r="BT466" t="str">
        <f>HYPERLINK("https%3A%2F%2Fwww.webofscience.com%2Fwos%2Fwoscc%2Ffull-record%2FWOS:000507176800001","View Full Record in Web of Science")</f>
        <v>View Full Record in Web of Science</v>
      </c>
    </row>
    <row r="467" spans="1:72" x14ac:dyDescent="0.25">
      <c r="A467" t="s">
        <v>72</v>
      </c>
      <c r="B467" t="s">
        <v>7818</v>
      </c>
      <c r="C467" t="s">
        <v>74</v>
      </c>
      <c r="D467" t="s">
        <v>74</v>
      </c>
      <c r="E467" t="s">
        <v>74</v>
      </c>
      <c r="F467" t="s">
        <v>7819</v>
      </c>
      <c r="G467" t="s">
        <v>74</v>
      </c>
      <c r="H467" t="s">
        <v>74</v>
      </c>
      <c r="I467" t="s">
        <v>7820</v>
      </c>
      <c r="J467" t="s">
        <v>7821</v>
      </c>
      <c r="K467" t="s">
        <v>74</v>
      </c>
      <c r="L467" t="s">
        <v>74</v>
      </c>
      <c r="M467" t="s">
        <v>78</v>
      </c>
      <c r="N467" t="s">
        <v>79</v>
      </c>
      <c r="O467" t="s">
        <v>74</v>
      </c>
      <c r="P467" t="s">
        <v>74</v>
      </c>
      <c r="Q467" t="s">
        <v>74</v>
      </c>
      <c r="R467" t="s">
        <v>74</v>
      </c>
      <c r="S467" t="s">
        <v>74</v>
      </c>
      <c r="T467" t="s">
        <v>7822</v>
      </c>
      <c r="U467" t="s">
        <v>7823</v>
      </c>
      <c r="V467" t="s">
        <v>7824</v>
      </c>
      <c r="W467" t="s">
        <v>7825</v>
      </c>
      <c r="X467" t="s">
        <v>3607</v>
      </c>
      <c r="Y467" t="s">
        <v>7826</v>
      </c>
      <c r="Z467" t="s">
        <v>5983</v>
      </c>
      <c r="AA467" t="s">
        <v>7827</v>
      </c>
      <c r="AB467" t="s">
        <v>7828</v>
      </c>
      <c r="AC467" t="s">
        <v>5985</v>
      </c>
      <c r="AD467" t="s">
        <v>5986</v>
      </c>
      <c r="AE467" t="s">
        <v>5987</v>
      </c>
      <c r="AF467" t="s">
        <v>74</v>
      </c>
      <c r="AG467">
        <v>51</v>
      </c>
      <c r="AH467">
        <v>9</v>
      </c>
      <c r="AI467">
        <v>9</v>
      </c>
      <c r="AJ467">
        <v>1</v>
      </c>
      <c r="AK467">
        <v>25</v>
      </c>
      <c r="AL467" t="s">
        <v>509</v>
      </c>
      <c r="AM467" t="s">
        <v>510</v>
      </c>
      <c r="AN467" t="s">
        <v>511</v>
      </c>
      <c r="AO467" t="s">
        <v>7829</v>
      </c>
      <c r="AP467" t="s">
        <v>7830</v>
      </c>
      <c r="AQ467" t="s">
        <v>74</v>
      </c>
      <c r="AR467" t="s">
        <v>7831</v>
      </c>
      <c r="AS467" t="s">
        <v>7832</v>
      </c>
      <c r="AT467" t="s">
        <v>1867</v>
      </c>
      <c r="AU467">
        <v>2020</v>
      </c>
      <c r="AV467">
        <v>131</v>
      </c>
      <c r="AW467" t="s">
        <v>74</v>
      </c>
      <c r="AX467" t="s">
        <v>74</v>
      </c>
      <c r="AY467" t="s">
        <v>74</v>
      </c>
      <c r="AZ467" t="s">
        <v>74</v>
      </c>
      <c r="BA467" t="s">
        <v>74</v>
      </c>
      <c r="BB467" t="s">
        <v>74</v>
      </c>
      <c r="BC467" t="s">
        <v>74</v>
      </c>
      <c r="BD467">
        <v>113266</v>
      </c>
      <c r="BE467" t="s">
        <v>7833</v>
      </c>
      <c r="BF467" t="str">
        <f>HYPERLINK("http://dx.doi.org/10.1016/j.dss.2020.113266","http://dx.doi.org/10.1016/j.dss.2020.113266")</f>
        <v>http://dx.doi.org/10.1016/j.dss.2020.113266</v>
      </c>
      <c r="BG467" t="s">
        <v>74</v>
      </c>
      <c r="BH467" t="s">
        <v>74</v>
      </c>
      <c r="BI467">
        <v>13</v>
      </c>
      <c r="BJ467" t="s">
        <v>7834</v>
      </c>
      <c r="BK467" t="s">
        <v>322</v>
      </c>
      <c r="BL467" t="s">
        <v>7835</v>
      </c>
      <c r="BM467" t="s">
        <v>7836</v>
      </c>
      <c r="BN467" t="s">
        <v>74</v>
      </c>
      <c r="BO467" t="s">
        <v>74</v>
      </c>
      <c r="BP467" t="s">
        <v>74</v>
      </c>
      <c r="BQ467" t="s">
        <v>74</v>
      </c>
      <c r="BR467" t="s">
        <v>104</v>
      </c>
      <c r="BS467" t="s">
        <v>7837</v>
      </c>
      <c r="BT467" t="str">
        <f>HYPERLINK("https%3A%2F%2Fwww.webofscience.com%2Fwos%2Fwoscc%2Ffull-record%2FWOS:000521113700008","View Full Record in Web of Science")</f>
        <v>View Full Record in Web of Science</v>
      </c>
    </row>
    <row r="468" spans="1:72" x14ac:dyDescent="0.25">
      <c r="A468" t="s">
        <v>72</v>
      </c>
      <c r="B468" t="s">
        <v>7838</v>
      </c>
      <c r="C468" t="s">
        <v>74</v>
      </c>
      <c r="D468" t="s">
        <v>74</v>
      </c>
      <c r="E468" t="s">
        <v>74</v>
      </c>
      <c r="F468" t="s">
        <v>7839</v>
      </c>
      <c r="G468" t="s">
        <v>74</v>
      </c>
      <c r="H468" t="s">
        <v>74</v>
      </c>
      <c r="I468" t="s">
        <v>7840</v>
      </c>
      <c r="J468" t="s">
        <v>778</v>
      </c>
      <c r="K468" t="s">
        <v>74</v>
      </c>
      <c r="L468" t="s">
        <v>74</v>
      </c>
      <c r="M468" t="s">
        <v>78</v>
      </c>
      <c r="N468" t="s">
        <v>79</v>
      </c>
      <c r="O468" t="s">
        <v>74</v>
      </c>
      <c r="P468" t="s">
        <v>74</v>
      </c>
      <c r="Q468" t="s">
        <v>74</v>
      </c>
      <c r="R468" t="s">
        <v>74</v>
      </c>
      <c r="S468" t="s">
        <v>74</v>
      </c>
      <c r="T468" t="s">
        <v>7841</v>
      </c>
      <c r="U468" t="s">
        <v>7842</v>
      </c>
      <c r="V468" t="s">
        <v>7843</v>
      </c>
      <c r="W468" t="s">
        <v>7844</v>
      </c>
      <c r="X468" t="s">
        <v>5218</v>
      </c>
      <c r="Y468" t="s">
        <v>7845</v>
      </c>
      <c r="Z468" t="s">
        <v>7846</v>
      </c>
      <c r="AA468" t="s">
        <v>74</v>
      </c>
      <c r="AB468" t="s">
        <v>74</v>
      </c>
      <c r="AC468" t="s">
        <v>74</v>
      </c>
      <c r="AD468" t="s">
        <v>74</v>
      </c>
      <c r="AE468" t="s">
        <v>74</v>
      </c>
      <c r="AF468" t="s">
        <v>74</v>
      </c>
      <c r="AG468">
        <v>74</v>
      </c>
      <c r="AH468">
        <v>22</v>
      </c>
      <c r="AI468">
        <v>25</v>
      </c>
      <c r="AJ468">
        <v>5</v>
      </c>
      <c r="AK468">
        <v>44</v>
      </c>
      <c r="AL468" t="s">
        <v>311</v>
      </c>
      <c r="AM468" t="s">
        <v>312</v>
      </c>
      <c r="AN468" t="s">
        <v>313</v>
      </c>
      <c r="AO468" t="s">
        <v>788</v>
      </c>
      <c r="AP468" t="s">
        <v>789</v>
      </c>
      <c r="AQ468" t="s">
        <v>74</v>
      </c>
      <c r="AR468" t="s">
        <v>790</v>
      </c>
      <c r="AS468" t="s">
        <v>791</v>
      </c>
      <c r="AT468" t="s">
        <v>1649</v>
      </c>
      <c r="AU468">
        <v>2020</v>
      </c>
      <c r="AV468">
        <v>31</v>
      </c>
      <c r="AW468">
        <v>1</v>
      </c>
      <c r="AX468" t="s">
        <v>74</v>
      </c>
      <c r="AY468" t="s">
        <v>74</v>
      </c>
      <c r="AZ468" t="s">
        <v>74</v>
      </c>
      <c r="BA468" t="s">
        <v>74</v>
      </c>
      <c r="BB468">
        <v>19</v>
      </c>
      <c r="BC468">
        <v>37</v>
      </c>
      <c r="BD468" t="s">
        <v>74</v>
      </c>
      <c r="BE468" t="s">
        <v>7847</v>
      </c>
      <c r="BF468" t="str">
        <f>HYPERLINK("http://dx.doi.org/10.1080/09537287.2019.1625079","http://dx.doi.org/10.1080/09537287.2019.1625079")</f>
        <v>http://dx.doi.org/10.1080/09537287.2019.1625079</v>
      </c>
      <c r="BG468" t="s">
        <v>74</v>
      </c>
      <c r="BH468" t="s">
        <v>7848</v>
      </c>
      <c r="BI468">
        <v>19</v>
      </c>
      <c r="BJ468" t="s">
        <v>321</v>
      </c>
      <c r="BK468" t="s">
        <v>149</v>
      </c>
      <c r="BL468" t="s">
        <v>150</v>
      </c>
      <c r="BM468" t="s">
        <v>7849</v>
      </c>
      <c r="BN468" t="s">
        <v>74</v>
      </c>
      <c r="BO468" t="s">
        <v>758</v>
      </c>
      <c r="BP468" t="s">
        <v>74</v>
      </c>
      <c r="BQ468" t="s">
        <v>74</v>
      </c>
      <c r="BR468" t="s">
        <v>104</v>
      </c>
      <c r="BS468" t="s">
        <v>7850</v>
      </c>
      <c r="BT468" t="str">
        <f>HYPERLINK("https%3A%2F%2Fwww.webofscience.com%2Fwos%2Fwoscc%2Ffull-record%2FWOS:000473941700001","View Full Record in Web of Science")</f>
        <v>View Full Record in Web of Science</v>
      </c>
    </row>
    <row r="469" spans="1:72" x14ac:dyDescent="0.25">
      <c r="A469" t="s">
        <v>72</v>
      </c>
      <c r="B469" t="s">
        <v>7851</v>
      </c>
      <c r="C469" t="s">
        <v>74</v>
      </c>
      <c r="D469" t="s">
        <v>74</v>
      </c>
      <c r="E469" t="s">
        <v>74</v>
      </c>
      <c r="F469" t="s">
        <v>7852</v>
      </c>
      <c r="G469" t="s">
        <v>74</v>
      </c>
      <c r="H469" t="s">
        <v>74</v>
      </c>
      <c r="I469" t="s">
        <v>7853</v>
      </c>
      <c r="J469" t="s">
        <v>1894</v>
      </c>
      <c r="K469" t="s">
        <v>74</v>
      </c>
      <c r="L469" t="s">
        <v>74</v>
      </c>
      <c r="M469" t="s">
        <v>78</v>
      </c>
      <c r="N469" t="s">
        <v>79</v>
      </c>
      <c r="O469" t="s">
        <v>74</v>
      </c>
      <c r="P469" t="s">
        <v>74</v>
      </c>
      <c r="Q469" t="s">
        <v>74</v>
      </c>
      <c r="R469" t="s">
        <v>74</v>
      </c>
      <c r="S469" t="s">
        <v>74</v>
      </c>
      <c r="T469" t="s">
        <v>7854</v>
      </c>
      <c r="U469" t="s">
        <v>7855</v>
      </c>
      <c r="V469" t="s">
        <v>7856</v>
      </c>
      <c r="W469" t="s">
        <v>7857</v>
      </c>
      <c r="X469" t="s">
        <v>1785</v>
      </c>
      <c r="Y469" t="s">
        <v>7858</v>
      </c>
      <c r="Z469" t="s">
        <v>3778</v>
      </c>
      <c r="AA469" t="s">
        <v>7859</v>
      </c>
      <c r="AB469" t="s">
        <v>74</v>
      </c>
      <c r="AC469" t="s">
        <v>7860</v>
      </c>
      <c r="AD469" t="s">
        <v>7861</v>
      </c>
      <c r="AE469" t="s">
        <v>7862</v>
      </c>
      <c r="AF469" t="s">
        <v>74</v>
      </c>
      <c r="AG469">
        <v>31</v>
      </c>
      <c r="AH469">
        <v>67</v>
      </c>
      <c r="AI469">
        <v>67</v>
      </c>
      <c r="AJ469">
        <v>3</v>
      </c>
      <c r="AK469">
        <v>43</v>
      </c>
      <c r="AL469" t="s">
        <v>138</v>
      </c>
      <c r="AM469" t="s">
        <v>139</v>
      </c>
      <c r="AN469" t="s">
        <v>140</v>
      </c>
      <c r="AO469" t="s">
        <v>1903</v>
      </c>
      <c r="AP469" t="s">
        <v>1904</v>
      </c>
      <c r="AQ469" t="s">
        <v>74</v>
      </c>
      <c r="AR469" t="s">
        <v>1905</v>
      </c>
      <c r="AS469" t="s">
        <v>1906</v>
      </c>
      <c r="AT469" t="s">
        <v>1076</v>
      </c>
      <c r="AU469">
        <v>2021</v>
      </c>
      <c r="AV469">
        <v>61</v>
      </c>
      <c r="AW469" t="s">
        <v>74</v>
      </c>
      <c r="AX469" t="s">
        <v>74</v>
      </c>
      <c r="AY469" t="s">
        <v>74</v>
      </c>
      <c r="AZ469" t="s">
        <v>74</v>
      </c>
      <c r="BA469" t="s">
        <v>74</v>
      </c>
      <c r="BB469">
        <v>819</v>
      </c>
      <c r="BC469">
        <v>829</v>
      </c>
      <c r="BD469" t="s">
        <v>74</v>
      </c>
      <c r="BE469" t="s">
        <v>7863</v>
      </c>
      <c r="BF469" t="str">
        <f>HYPERLINK("http://dx.doi.org/10.1016/j.jmsy.2020.04.003","http://dx.doi.org/10.1016/j.jmsy.2020.04.003")</f>
        <v>http://dx.doi.org/10.1016/j.jmsy.2020.04.003</v>
      </c>
      <c r="BG469" t="s">
        <v>74</v>
      </c>
      <c r="BH469" t="s">
        <v>74</v>
      </c>
      <c r="BI469">
        <v>11</v>
      </c>
      <c r="BJ469" t="s">
        <v>321</v>
      </c>
      <c r="BK469" t="s">
        <v>149</v>
      </c>
      <c r="BL469" t="s">
        <v>150</v>
      </c>
      <c r="BM469" t="s">
        <v>7864</v>
      </c>
      <c r="BN469">
        <v>32836655</v>
      </c>
      <c r="BO469" t="s">
        <v>1044</v>
      </c>
      <c r="BP469" t="s">
        <v>74</v>
      </c>
      <c r="BQ469" t="s">
        <v>74</v>
      </c>
      <c r="BR469" t="s">
        <v>104</v>
      </c>
      <c r="BS469" t="s">
        <v>7865</v>
      </c>
      <c r="BT469" t="str">
        <f>HYPERLINK("https%3A%2F%2Fwww.webofscience.com%2Fwos%2Fwoscc%2Ffull-record%2FWOS:000771744100016","View Full Record in Web of Science")</f>
        <v>View Full Record in Web of Science</v>
      </c>
    </row>
    <row r="470" spans="1:72" x14ac:dyDescent="0.25">
      <c r="A470" t="s">
        <v>72</v>
      </c>
      <c r="B470" t="s">
        <v>7866</v>
      </c>
      <c r="C470" t="s">
        <v>74</v>
      </c>
      <c r="D470" t="s">
        <v>74</v>
      </c>
      <c r="E470" t="s">
        <v>74</v>
      </c>
      <c r="F470" t="s">
        <v>7867</v>
      </c>
      <c r="G470" t="s">
        <v>74</v>
      </c>
      <c r="H470" t="s">
        <v>74</v>
      </c>
      <c r="I470" t="s">
        <v>7868</v>
      </c>
      <c r="J470" t="s">
        <v>4387</v>
      </c>
      <c r="K470" t="s">
        <v>74</v>
      </c>
      <c r="L470" t="s">
        <v>74</v>
      </c>
      <c r="M470" t="s">
        <v>78</v>
      </c>
      <c r="N470" t="s">
        <v>79</v>
      </c>
      <c r="O470" t="s">
        <v>74</v>
      </c>
      <c r="P470" t="s">
        <v>74</v>
      </c>
      <c r="Q470" t="s">
        <v>74</v>
      </c>
      <c r="R470" t="s">
        <v>74</v>
      </c>
      <c r="S470" t="s">
        <v>74</v>
      </c>
      <c r="T470" t="s">
        <v>7869</v>
      </c>
      <c r="U470" t="s">
        <v>7870</v>
      </c>
      <c r="V470" t="s">
        <v>7871</v>
      </c>
      <c r="W470" t="s">
        <v>7872</v>
      </c>
      <c r="X470" t="s">
        <v>7873</v>
      </c>
      <c r="Y470" t="s">
        <v>7874</v>
      </c>
      <c r="Z470" t="s">
        <v>7875</v>
      </c>
      <c r="AA470" t="s">
        <v>7876</v>
      </c>
      <c r="AB470" t="s">
        <v>7877</v>
      </c>
      <c r="AC470" t="s">
        <v>74</v>
      </c>
      <c r="AD470" t="s">
        <v>74</v>
      </c>
      <c r="AE470" t="s">
        <v>74</v>
      </c>
      <c r="AF470" t="s">
        <v>74</v>
      </c>
      <c r="AG470">
        <v>48</v>
      </c>
      <c r="AH470">
        <v>8</v>
      </c>
      <c r="AI470">
        <v>8</v>
      </c>
      <c r="AJ470">
        <v>1</v>
      </c>
      <c r="AK470">
        <v>21</v>
      </c>
      <c r="AL470" t="s">
        <v>339</v>
      </c>
      <c r="AM470" t="s">
        <v>340</v>
      </c>
      <c r="AN470" t="s">
        <v>341</v>
      </c>
      <c r="AO470" t="s">
        <v>4400</v>
      </c>
      <c r="AP470" t="s">
        <v>4401</v>
      </c>
      <c r="AQ470" t="s">
        <v>74</v>
      </c>
      <c r="AR470" t="s">
        <v>4402</v>
      </c>
      <c r="AS470" t="s">
        <v>4403</v>
      </c>
      <c r="AT470" t="s">
        <v>7878</v>
      </c>
      <c r="AU470">
        <v>2021</v>
      </c>
      <c r="AV470">
        <v>147</v>
      </c>
      <c r="AW470">
        <v>6</v>
      </c>
      <c r="AX470" t="s">
        <v>74</v>
      </c>
      <c r="AY470" t="s">
        <v>74</v>
      </c>
      <c r="AZ470" t="s">
        <v>74</v>
      </c>
      <c r="BA470" t="s">
        <v>74</v>
      </c>
      <c r="BB470" t="s">
        <v>74</v>
      </c>
      <c r="BC470" t="s">
        <v>74</v>
      </c>
      <c r="BD470">
        <v>4021040</v>
      </c>
      <c r="BE470" t="s">
        <v>7879</v>
      </c>
      <c r="BF470" t="str">
        <f>HYPERLINK("http://dx.doi.org/10.1061/(ASCE)CO.1943-7862.0002043","http://dx.doi.org/10.1061/(ASCE)CO.1943-7862.0002043")</f>
        <v>http://dx.doi.org/10.1061/(ASCE)CO.1943-7862.0002043</v>
      </c>
      <c r="BG470" t="s">
        <v>74</v>
      </c>
      <c r="BH470" t="s">
        <v>74</v>
      </c>
      <c r="BI470">
        <v>13</v>
      </c>
      <c r="BJ470" t="s">
        <v>4406</v>
      </c>
      <c r="BK470" t="s">
        <v>149</v>
      </c>
      <c r="BL470" t="s">
        <v>4407</v>
      </c>
      <c r="BM470" t="s">
        <v>7880</v>
      </c>
      <c r="BN470" t="s">
        <v>74</v>
      </c>
      <c r="BO470" t="s">
        <v>74</v>
      </c>
      <c r="BP470" t="s">
        <v>74</v>
      </c>
      <c r="BQ470" t="s">
        <v>74</v>
      </c>
      <c r="BR470" t="s">
        <v>104</v>
      </c>
      <c r="BS470" t="s">
        <v>7881</v>
      </c>
      <c r="BT470" t="str">
        <f>HYPERLINK("https%3A%2F%2Fwww.webofscience.com%2Fwos%2Fwoscc%2Ffull-record%2FWOS:000656445000013","View Full Record in Web of Science")</f>
        <v>View Full Record in Web of Science</v>
      </c>
    </row>
    <row r="471" spans="1:72" x14ac:dyDescent="0.25">
      <c r="A471" t="s">
        <v>72</v>
      </c>
      <c r="B471" t="s">
        <v>7882</v>
      </c>
      <c r="C471" t="s">
        <v>74</v>
      </c>
      <c r="D471" t="s">
        <v>74</v>
      </c>
      <c r="E471" t="s">
        <v>74</v>
      </c>
      <c r="F471" t="s">
        <v>7883</v>
      </c>
      <c r="G471" t="s">
        <v>74</v>
      </c>
      <c r="H471" t="s">
        <v>74</v>
      </c>
      <c r="I471" t="s">
        <v>7884</v>
      </c>
      <c r="J471" t="s">
        <v>697</v>
      </c>
      <c r="K471" t="s">
        <v>74</v>
      </c>
      <c r="L471" t="s">
        <v>74</v>
      </c>
      <c r="M471" t="s">
        <v>78</v>
      </c>
      <c r="N471" t="s">
        <v>79</v>
      </c>
      <c r="O471" t="s">
        <v>74</v>
      </c>
      <c r="P471" t="s">
        <v>74</v>
      </c>
      <c r="Q471" t="s">
        <v>74</v>
      </c>
      <c r="R471" t="s">
        <v>74</v>
      </c>
      <c r="S471" t="s">
        <v>74</v>
      </c>
      <c r="T471" t="s">
        <v>7885</v>
      </c>
      <c r="U471" t="s">
        <v>7886</v>
      </c>
      <c r="V471" t="s">
        <v>7887</v>
      </c>
      <c r="W471" t="s">
        <v>7888</v>
      </c>
      <c r="X471" t="s">
        <v>7889</v>
      </c>
      <c r="Y471" t="s">
        <v>3057</v>
      </c>
      <c r="Z471" t="s">
        <v>3058</v>
      </c>
      <c r="AA471" t="s">
        <v>7890</v>
      </c>
      <c r="AB471" t="s">
        <v>4012</v>
      </c>
      <c r="AC471" t="s">
        <v>7891</v>
      </c>
      <c r="AD471" t="s">
        <v>7892</v>
      </c>
      <c r="AE471" t="s">
        <v>7893</v>
      </c>
      <c r="AF471" t="s">
        <v>74</v>
      </c>
      <c r="AG471">
        <v>40</v>
      </c>
      <c r="AH471">
        <v>30</v>
      </c>
      <c r="AI471">
        <v>32</v>
      </c>
      <c r="AJ471">
        <v>1</v>
      </c>
      <c r="AK471">
        <v>42</v>
      </c>
      <c r="AL471" t="s">
        <v>707</v>
      </c>
      <c r="AM471" t="s">
        <v>246</v>
      </c>
      <c r="AN471" t="s">
        <v>708</v>
      </c>
      <c r="AO471" t="s">
        <v>709</v>
      </c>
      <c r="AP471" t="s">
        <v>710</v>
      </c>
      <c r="AQ471" t="s">
        <v>74</v>
      </c>
      <c r="AR471" t="s">
        <v>711</v>
      </c>
      <c r="AS471" t="s">
        <v>712</v>
      </c>
      <c r="AT471" t="s">
        <v>1867</v>
      </c>
      <c r="AU471">
        <v>2020</v>
      </c>
      <c r="AV471">
        <v>142</v>
      </c>
      <c r="AW471" t="s">
        <v>74</v>
      </c>
      <c r="AX471" t="s">
        <v>74</v>
      </c>
      <c r="AY471" t="s">
        <v>74</v>
      </c>
      <c r="AZ471" t="s">
        <v>74</v>
      </c>
      <c r="BA471" t="s">
        <v>74</v>
      </c>
      <c r="BB471" t="s">
        <v>74</v>
      </c>
      <c r="BC471" t="s">
        <v>74</v>
      </c>
      <c r="BD471">
        <v>106359</v>
      </c>
      <c r="BE471" t="s">
        <v>7894</v>
      </c>
      <c r="BF471" t="str">
        <f>HYPERLINK("http://dx.doi.org/10.1016/j.cie.2020.106359","http://dx.doi.org/10.1016/j.cie.2020.106359")</f>
        <v>http://dx.doi.org/10.1016/j.cie.2020.106359</v>
      </c>
      <c r="BG471" t="s">
        <v>74</v>
      </c>
      <c r="BH471" t="s">
        <v>74</v>
      </c>
      <c r="BI471">
        <v>9</v>
      </c>
      <c r="BJ471" t="s">
        <v>715</v>
      </c>
      <c r="BK471" t="s">
        <v>149</v>
      </c>
      <c r="BL471" t="s">
        <v>716</v>
      </c>
      <c r="BM471" t="s">
        <v>5662</v>
      </c>
      <c r="BN471" t="s">
        <v>74</v>
      </c>
      <c r="BO471" t="s">
        <v>74</v>
      </c>
      <c r="BP471" t="s">
        <v>74</v>
      </c>
      <c r="BQ471" t="s">
        <v>74</v>
      </c>
      <c r="BR471" t="s">
        <v>104</v>
      </c>
      <c r="BS471" t="s">
        <v>7895</v>
      </c>
      <c r="BT471" t="str">
        <f>HYPERLINK("https%3A%2F%2Fwww.webofscience.com%2Fwos%2Fwoscc%2Ffull-record%2FWOS:000525375800037","View Full Record in Web of Science")</f>
        <v>View Full Record in Web of Science</v>
      </c>
    </row>
    <row r="472" spans="1:72" x14ac:dyDescent="0.25">
      <c r="A472" t="s">
        <v>72</v>
      </c>
      <c r="B472" t="s">
        <v>7896</v>
      </c>
      <c r="C472" t="s">
        <v>74</v>
      </c>
      <c r="D472" t="s">
        <v>74</v>
      </c>
      <c r="E472" t="s">
        <v>74</v>
      </c>
      <c r="F472" t="s">
        <v>7897</v>
      </c>
      <c r="G472" t="s">
        <v>74</v>
      </c>
      <c r="H472" t="s">
        <v>74</v>
      </c>
      <c r="I472" t="s">
        <v>7898</v>
      </c>
      <c r="J472" t="s">
        <v>542</v>
      </c>
      <c r="K472" t="s">
        <v>74</v>
      </c>
      <c r="L472" t="s">
        <v>74</v>
      </c>
      <c r="M472" t="s">
        <v>78</v>
      </c>
      <c r="N472" t="s">
        <v>1777</v>
      </c>
      <c r="O472" t="s">
        <v>7899</v>
      </c>
      <c r="P472" t="s">
        <v>7900</v>
      </c>
      <c r="Q472" t="s">
        <v>1837</v>
      </c>
      <c r="R472" t="s">
        <v>74</v>
      </c>
      <c r="S472" t="s">
        <v>74</v>
      </c>
      <c r="T472" t="s">
        <v>7901</v>
      </c>
      <c r="U472" t="s">
        <v>7902</v>
      </c>
      <c r="V472" t="s">
        <v>7903</v>
      </c>
      <c r="W472" t="s">
        <v>7904</v>
      </c>
      <c r="X472" t="s">
        <v>7905</v>
      </c>
      <c r="Y472" t="s">
        <v>7906</v>
      </c>
      <c r="Z472" t="s">
        <v>7907</v>
      </c>
      <c r="AA472" t="s">
        <v>7908</v>
      </c>
      <c r="AB472" t="s">
        <v>7909</v>
      </c>
      <c r="AC472" t="s">
        <v>7910</v>
      </c>
      <c r="AD472" t="s">
        <v>7910</v>
      </c>
      <c r="AE472" t="s">
        <v>7911</v>
      </c>
      <c r="AF472" t="s">
        <v>74</v>
      </c>
      <c r="AG472">
        <v>37</v>
      </c>
      <c r="AH472">
        <v>0</v>
      </c>
      <c r="AI472">
        <v>0</v>
      </c>
      <c r="AJ472">
        <v>3</v>
      </c>
      <c r="AK472">
        <v>10</v>
      </c>
      <c r="AL472" t="s">
        <v>552</v>
      </c>
      <c r="AM472" t="s">
        <v>553</v>
      </c>
      <c r="AN472" t="s">
        <v>554</v>
      </c>
      <c r="AO472" t="s">
        <v>555</v>
      </c>
      <c r="AP472" t="s">
        <v>556</v>
      </c>
      <c r="AQ472" t="s">
        <v>74</v>
      </c>
      <c r="AR472" t="s">
        <v>557</v>
      </c>
      <c r="AS472" t="s">
        <v>558</v>
      </c>
      <c r="AT472" t="s">
        <v>1076</v>
      </c>
      <c r="AU472">
        <v>2023</v>
      </c>
      <c r="AV472">
        <v>237</v>
      </c>
      <c r="AW472">
        <v>5</v>
      </c>
      <c r="AX472" t="s">
        <v>74</v>
      </c>
      <c r="AY472" t="s">
        <v>74</v>
      </c>
      <c r="AZ472" t="s">
        <v>560</v>
      </c>
      <c r="BA472" t="s">
        <v>74</v>
      </c>
      <c r="BB472">
        <v>958</v>
      </c>
      <c r="BC472">
        <v>965</v>
      </c>
      <c r="BD472" t="s">
        <v>74</v>
      </c>
      <c r="BE472" t="s">
        <v>7912</v>
      </c>
      <c r="BF472" t="str">
        <f>HYPERLINK("http://dx.doi.org/10.1177/1748006X221107191","http://dx.doi.org/10.1177/1748006X221107191")</f>
        <v>http://dx.doi.org/10.1177/1748006X221107191</v>
      </c>
      <c r="BG472" t="s">
        <v>74</v>
      </c>
      <c r="BH472" t="s">
        <v>3597</v>
      </c>
      <c r="BI472">
        <v>8</v>
      </c>
      <c r="BJ472" t="s">
        <v>494</v>
      </c>
      <c r="BK472" t="s">
        <v>1792</v>
      </c>
      <c r="BL472" t="s">
        <v>150</v>
      </c>
      <c r="BM472" t="s">
        <v>7913</v>
      </c>
      <c r="BN472" t="s">
        <v>74</v>
      </c>
      <c r="BO472" t="s">
        <v>74</v>
      </c>
      <c r="BP472" t="s">
        <v>74</v>
      </c>
      <c r="BQ472" t="s">
        <v>74</v>
      </c>
      <c r="BR472" t="s">
        <v>104</v>
      </c>
      <c r="BS472" t="s">
        <v>7914</v>
      </c>
      <c r="BT472" t="str">
        <f>HYPERLINK("https%3A%2F%2Fwww.webofscience.com%2Fwos%2Fwoscc%2Ffull-record%2FWOS:000821251200001","View Full Record in Web of Science")</f>
        <v>View Full Record in Web of Science</v>
      </c>
    </row>
    <row r="473" spans="1:72" x14ac:dyDescent="0.25">
      <c r="A473" t="s">
        <v>72</v>
      </c>
      <c r="B473" t="s">
        <v>7915</v>
      </c>
      <c r="C473" t="s">
        <v>74</v>
      </c>
      <c r="D473" t="s">
        <v>74</v>
      </c>
      <c r="E473" t="s">
        <v>74</v>
      </c>
      <c r="F473" t="s">
        <v>7916</v>
      </c>
      <c r="G473" t="s">
        <v>74</v>
      </c>
      <c r="H473" t="s">
        <v>74</v>
      </c>
      <c r="I473" t="s">
        <v>7917</v>
      </c>
      <c r="J473" t="s">
        <v>940</v>
      </c>
      <c r="K473" t="s">
        <v>74</v>
      </c>
      <c r="L473" t="s">
        <v>74</v>
      </c>
      <c r="M473" t="s">
        <v>78</v>
      </c>
      <c r="N473" t="s">
        <v>79</v>
      </c>
      <c r="O473" t="s">
        <v>74</v>
      </c>
      <c r="P473" t="s">
        <v>74</v>
      </c>
      <c r="Q473" t="s">
        <v>74</v>
      </c>
      <c r="R473" t="s">
        <v>74</v>
      </c>
      <c r="S473" t="s">
        <v>74</v>
      </c>
      <c r="T473" t="s">
        <v>7918</v>
      </c>
      <c r="U473" t="s">
        <v>7919</v>
      </c>
      <c r="V473" t="s">
        <v>7920</v>
      </c>
      <c r="W473" t="s">
        <v>7921</v>
      </c>
      <c r="X473" t="s">
        <v>7922</v>
      </c>
      <c r="Y473" t="s">
        <v>7923</v>
      </c>
      <c r="Z473" t="s">
        <v>7924</v>
      </c>
      <c r="AA473" t="s">
        <v>7925</v>
      </c>
      <c r="AB473" t="s">
        <v>7926</v>
      </c>
      <c r="AC473" t="s">
        <v>74</v>
      </c>
      <c r="AD473" t="s">
        <v>74</v>
      </c>
      <c r="AE473" t="s">
        <v>74</v>
      </c>
      <c r="AF473" t="s">
        <v>74</v>
      </c>
      <c r="AG473">
        <v>59</v>
      </c>
      <c r="AH473">
        <v>9</v>
      </c>
      <c r="AI473">
        <v>10</v>
      </c>
      <c r="AJ473">
        <v>18</v>
      </c>
      <c r="AK473">
        <v>76</v>
      </c>
      <c r="AL473" t="s">
        <v>220</v>
      </c>
      <c r="AM473" t="s">
        <v>221</v>
      </c>
      <c r="AN473" t="s">
        <v>222</v>
      </c>
      <c r="AO473" t="s">
        <v>950</v>
      </c>
      <c r="AP473" t="s">
        <v>951</v>
      </c>
      <c r="AQ473" t="s">
        <v>74</v>
      </c>
      <c r="AR473" t="s">
        <v>952</v>
      </c>
      <c r="AS473" t="s">
        <v>953</v>
      </c>
      <c r="AT473" t="s">
        <v>145</v>
      </c>
      <c r="AU473">
        <v>2022</v>
      </c>
      <c r="AV473">
        <v>69</v>
      </c>
      <c r="AW473">
        <v>6</v>
      </c>
      <c r="AX473" t="s">
        <v>74</v>
      </c>
      <c r="AY473" t="s">
        <v>74</v>
      </c>
      <c r="AZ473" t="s">
        <v>74</v>
      </c>
      <c r="BA473" t="s">
        <v>74</v>
      </c>
      <c r="BB473">
        <v>3604</v>
      </c>
      <c r="BC473">
        <v>3617</v>
      </c>
      <c r="BD473" t="s">
        <v>74</v>
      </c>
      <c r="BE473" t="s">
        <v>7927</v>
      </c>
      <c r="BF473" t="str">
        <f>HYPERLINK("http://dx.doi.org/10.1109/TEM.2021.3110105","http://dx.doi.org/10.1109/TEM.2021.3110105")</f>
        <v>http://dx.doi.org/10.1109/TEM.2021.3110105</v>
      </c>
      <c r="BG473" t="s">
        <v>74</v>
      </c>
      <c r="BH473" t="s">
        <v>2089</v>
      </c>
      <c r="BI473">
        <v>14</v>
      </c>
      <c r="BJ473" t="s">
        <v>955</v>
      </c>
      <c r="BK473" t="s">
        <v>322</v>
      </c>
      <c r="BL473" t="s">
        <v>956</v>
      </c>
      <c r="BM473" t="s">
        <v>4585</v>
      </c>
      <c r="BN473" t="s">
        <v>74</v>
      </c>
      <c r="BO473" t="s">
        <v>74</v>
      </c>
      <c r="BP473" t="s">
        <v>74</v>
      </c>
      <c r="BQ473" t="s">
        <v>74</v>
      </c>
      <c r="BR473" t="s">
        <v>104</v>
      </c>
      <c r="BS473" t="s">
        <v>7928</v>
      </c>
      <c r="BT473" t="str">
        <f>HYPERLINK("https%3A%2F%2Fwww.webofscience.com%2Fwos%2Fwoscc%2Ffull-record%2FWOS:000732661000001","View Full Record in Web of Science")</f>
        <v>View Full Record in Web of Science</v>
      </c>
    </row>
    <row r="474" spans="1:72" x14ac:dyDescent="0.25">
      <c r="A474" t="s">
        <v>72</v>
      </c>
      <c r="B474" t="s">
        <v>7929</v>
      </c>
      <c r="C474" t="s">
        <v>74</v>
      </c>
      <c r="D474" t="s">
        <v>74</v>
      </c>
      <c r="E474" t="s">
        <v>74</v>
      </c>
      <c r="F474" t="s">
        <v>7930</v>
      </c>
      <c r="G474" t="s">
        <v>74</v>
      </c>
      <c r="H474" t="s">
        <v>74</v>
      </c>
      <c r="I474" t="s">
        <v>7931</v>
      </c>
      <c r="J474" t="s">
        <v>299</v>
      </c>
      <c r="K474" t="s">
        <v>74</v>
      </c>
      <c r="L474" t="s">
        <v>74</v>
      </c>
      <c r="M474" t="s">
        <v>78</v>
      </c>
      <c r="N474" t="s">
        <v>79</v>
      </c>
      <c r="O474" t="s">
        <v>74</v>
      </c>
      <c r="P474" t="s">
        <v>74</v>
      </c>
      <c r="Q474" t="s">
        <v>74</v>
      </c>
      <c r="R474" t="s">
        <v>74</v>
      </c>
      <c r="S474" t="s">
        <v>74</v>
      </c>
      <c r="T474" t="s">
        <v>7932</v>
      </c>
      <c r="U474" t="s">
        <v>7933</v>
      </c>
      <c r="V474" t="s">
        <v>7934</v>
      </c>
      <c r="W474" t="s">
        <v>7935</v>
      </c>
      <c r="X474" t="s">
        <v>7936</v>
      </c>
      <c r="Y474" t="s">
        <v>7937</v>
      </c>
      <c r="Z474" t="s">
        <v>7938</v>
      </c>
      <c r="AA474" t="s">
        <v>7939</v>
      </c>
      <c r="AB474" t="s">
        <v>7940</v>
      </c>
      <c r="AC474" t="s">
        <v>74</v>
      </c>
      <c r="AD474" t="s">
        <v>74</v>
      </c>
      <c r="AE474" t="s">
        <v>74</v>
      </c>
      <c r="AF474" t="s">
        <v>74</v>
      </c>
      <c r="AG474">
        <v>52</v>
      </c>
      <c r="AH474">
        <v>15</v>
      </c>
      <c r="AI474">
        <v>16</v>
      </c>
      <c r="AJ474">
        <v>1</v>
      </c>
      <c r="AK474">
        <v>12</v>
      </c>
      <c r="AL474" t="s">
        <v>311</v>
      </c>
      <c r="AM474" t="s">
        <v>312</v>
      </c>
      <c r="AN474" t="s">
        <v>313</v>
      </c>
      <c r="AO474" t="s">
        <v>314</v>
      </c>
      <c r="AP474" t="s">
        <v>315</v>
      </c>
      <c r="AQ474" t="s">
        <v>74</v>
      </c>
      <c r="AR474" t="s">
        <v>316</v>
      </c>
      <c r="AS474" t="s">
        <v>317</v>
      </c>
      <c r="AT474" t="s">
        <v>6317</v>
      </c>
      <c r="AU474">
        <v>2020</v>
      </c>
      <c r="AV474">
        <v>58</v>
      </c>
      <c r="AW474">
        <v>19</v>
      </c>
      <c r="AX474" t="s">
        <v>74</v>
      </c>
      <c r="AY474" t="s">
        <v>74</v>
      </c>
      <c r="AZ474" t="s">
        <v>74</v>
      </c>
      <c r="BA474" t="s">
        <v>74</v>
      </c>
      <c r="BB474">
        <v>5851</v>
      </c>
      <c r="BC474">
        <v>5869</v>
      </c>
      <c r="BD474" t="s">
        <v>74</v>
      </c>
      <c r="BE474" t="s">
        <v>7941</v>
      </c>
      <c r="BF474" t="str">
        <f>HYPERLINK("http://dx.doi.org/10.1080/00207543.2019.1660824","http://dx.doi.org/10.1080/00207543.2019.1660824")</f>
        <v>http://dx.doi.org/10.1080/00207543.2019.1660824</v>
      </c>
      <c r="BG474" t="s">
        <v>74</v>
      </c>
      <c r="BH474" t="s">
        <v>5615</v>
      </c>
      <c r="BI474">
        <v>19</v>
      </c>
      <c r="BJ474" t="s">
        <v>321</v>
      </c>
      <c r="BK474" t="s">
        <v>149</v>
      </c>
      <c r="BL474" t="s">
        <v>150</v>
      </c>
      <c r="BM474" t="s">
        <v>7942</v>
      </c>
      <c r="BN474" t="s">
        <v>74</v>
      </c>
      <c r="BO474" t="s">
        <v>758</v>
      </c>
      <c r="BP474" t="s">
        <v>74</v>
      </c>
      <c r="BQ474" t="s">
        <v>74</v>
      </c>
      <c r="BR474" t="s">
        <v>104</v>
      </c>
      <c r="BS474" t="s">
        <v>7943</v>
      </c>
      <c r="BT474" t="str">
        <f>HYPERLINK("https%3A%2F%2Fwww.webofscience.com%2Fwos%2Fwoscc%2Ffull-record%2FWOS:000485975700001","View Full Record in Web of Science")</f>
        <v>View Full Record in Web of Science</v>
      </c>
    </row>
    <row r="475" spans="1:72" x14ac:dyDescent="0.25">
      <c r="A475" t="s">
        <v>72</v>
      </c>
      <c r="B475" t="s">
        <v>7944</v>
      </c>
      <c r="C475" t="s">
        <v>74</v>
      </c>
      <c r="D475" t="s">
        <v>74</v>
      </c>
      <c r="E475" t="s">
        <v>74</v>
      </c>
      <c r="F475" t="s">
        <v>7945</v>
      </c>
      <c r="G475" t="s">
        <v>74</v>
      </c>
      <c r="H475" t="s">
        <v>74</v>
      </c>
      <c r="I475" t="s">
        <v>7946</v>
      </c>
      <c r="J475" t="s">
        <v>329</v>
      </c>
      <c r="K475" t="s">
        <v>74</v>
      </c>
      <c r="L475" t="s">
        <v>74</v>
      </c>
      <c r="M475" t="s">
        <v>78</v>
      </c>
      <c r="N475" t="s">
        <v>79</v>
      </c>
      <c r="O475" t="s">
        <v>74</v>
      </c>
      <c r="P475" t="s">
        <v>74</v>
      </c>
      <c r="Q475" t="s">
        <v>74</v>
      </c>
      <c r="R475" t="s">
        <v>74</v>
      </c>
      <c r="S475" t="s">
        <v>74</v>
      </c>
      <c r="T475" t="s">
        <v>7947</v>
      </c>
      <c r="U475" t="s">
        <v>355</v>
      </c>
      <c r="V475" t="s">
        <v>7948</v>
      </c>
      <c r="W475" t="s">
        <v>7949</v>
      </c>
      <c r="X475" t="s">
        <v>7950</v>
      </c>
      <c r="Y475" t="s">
        <v>7951</v>
      </c>
      <c r="Z475" t="s">
        <v>7952</v>
      </c>
      <c r="AA475" t="s">
        <v>7953</v>
      </c>
      <c r="AB475" t="s">
        <v>7954</v>
      </c>
      <c r="AC475" t="s">
        <v>74</v>
      </c>
      <c r="AD475" t="s">
        <v>74</v>
      </c>
      <c r="AE475" t="s">
        <v>74</v>
      </c>
      <c r="AF475" t="s">
        <v>74</v>
      </c>
      <c r="AG475">
        <v>61</v>
      </c>
      <c r="AH475">
        <v>16</v>
      </c>
      <c r="AI475">
        <v>16</v>
      </c>
      <c r="AJ475">
        <v>7</v>
      </c>
      <c r="AK475">
        <v>55</v>
      </c>
      <c r="AL475" t="s">
        <v>339</v>
      </c>
      <c r="AM475" t="s">
        <v>340</v>
      </c>
      <c r="AN475" t="s">
        <v>341</v>
      </c>
      <c r="AO475" t="s">
        <v>342</v>
      </c>
      <c r="AP475" t="s">
        <v>343</v>
      </c>
      <c r="AQ475" t="s">
        <v>74</v>
      </c>
      <c r="AR475" t="s">
        <v>344</v>
      </c>
      <c r="AS475" t="s">
        <v>345</v>
      </c>
      <c r="AT475" t="s">
        <v>6182</v>
      </c>
      <c r="AU475">
        <v>2021</v>
      </c>
      <c r="AV475">
        <v>37</v>
      </c>
      <c r="AW475">
        <v>6</v>
      </c>
      <c r="AX475" t="s">
        <v>74</v>
      </c>
      <c r="AY475" t="s">
        <v>74</v>
      </c>
      <c r="AZ475" t="s">
        <v>74</v>
      </c>
      <c r="BA475" t="s">
        <v>74</v>
      </c>
      <c r="BB475" t="s">
        <v>74</v>
      </c>
      <c r="BC475" t="s">
        <v>74</v>
      </c>
      <c r="BD475">
        <v>4021059</v>
      </c>
      <c r="BE475" t="s">
        <v>7955</v>
      </c>
      <c r="BF475" t="str">
        <f>HYPERLINK("http://dx.doi.org/10.1061/(ASCE)ME.1943-5479.0000950","http://dx.doi.org/10.1061/(ASCE)ME.1943-5479.0000950")</f>
        <v>http://dx.doi.org/10.1061/(ASCE)ME.1943-5479.0000950</v>
      </c>
      <c r="BG475" t="s">
        <v>74</v>
      </c>
      <c r="BH475" t="s">
        <v>74</v>
      </c>
      <c r="BI475">
        <v>13</v>
      </c>
      <c r="BJ475" t="s">
        <v>348</v>
      </c>
      <c r="BK475" t="s">
        <v>149</v>
      </c>
      <c r="BL475" t="s">
        <v>102</v>
      </c>
      <c r="BM475" t="s">
        <v>7956</v>
      </c>
      <c r="BN475" t="s">
        <v>74</v>
      </c>
      <c r="BO475" t="s">
        <v>400</v>
      </c>
      <c r="BP475" t="s">
        <v>74</v>
      </c>
      <c r="BQ475" t="s">
        <v>74</v>
      </c>
      <c r="BR475" t="s">
        <v>104</v>
      </c>
      <c r="BS475" t="s">
        <v>7957</v>
      </c>
      <c r="BT475" t="str">
        <f>HYPERLINK("https%3A%2F%2Fwww.webofscience.com%2Fwos%2Fwoscc%2Ffull-record%2FWOS:000696605400016","View Full Record in Web of Science")</f>
        <v>View Full Record in Web of Science</v>
      </c>
    </row>
    <row r="476" spans="1:72" x14ac:dyDescent="0.25">
      <c r="A476" t="s">
        <v>72</v>
      </c>
      <c r="B476" t="s">
        <v>7958</v>
      </c>
      <c r="C476" t="s">
        <v>74</v>
      </c>
      <c r="D476" t="s">
        <v>74</v>
      </c>
      <c r="E476" t="s">
        <v>74</v>
      </c>
      <c r="F476" t="s">
        <v>7959</v>
      </c>
      <c r="G476" t="s">
        <v>74</v>
      </c>
      <c r="H476" t="s">
        <v>74</v>
      </c>
      <c r="I476" t="s">
        <v>7960</v>
      </c>
      <c r="J476" t="s">
        <v>697</v>
      </c>
      <c r="K476" t="s">
        <v>74</v>
      </c>
      <c r="L476" t="s">
        <v>74</v>
      </c>
      <c r="M476" t="s">
        <v>78</v>
      </c>
      <c r="N476" t="s">
        <v>79</v>
      </c>
      <c r="O476" t="s">
        <v>74</v>
      </c>
      <c r="P476" t="s">
        <v>74</v>
      </c>
      <c r="Q476" t="s">
        <v>74</v>
      </c>
      <c r="R476" t="s">
        <v>74</v>
      </c>
      <c r="S476" t="s">
        <v>74</v>
      </c>
      <c r="T476" t="s">
        <v>7961</v>
      </c>
      <c r="U476" t="s">
        <v>7962</v>
      </c>
      <c r="V476" t="s">
        <v>7963</v>
      </c>
      <c r="W476" t="s">
        <v>7964</v>
      </c>
      <c r="X476" t="s">
        <v>7965</v>
      </c>
      <c r="Y476" t="s">
        <v>3520</v>
      </c>
      <c r="Z476" t="s">
        <v>806</v>
      </c>
      <c r="AA476" t="s">
        <v>74</v>
      </c>
      <c r="AB476" t="s">
        <v>7966</v>
      </c>
      <c r="AC476" t="s">
        <v>3521</v>
      </c>
      <c r="AD476" t="s">
        <v>482</v>
      </c>
      <c r="AE476" t="s">
        <v>7967</v>
      </c>
      <c r="AF476" t="s">
        <v>74</v>
      </c>
      <c r="AG476">
        <v>68</v>
      </c>
      <c r="AH476">
        <v>2</v>
      </c>
      <c r="AI476">
        <v>2</v>
      </c>
      <c r="AJ476">
        <v>16</v>
      </c>
      <c r="AK476">
        <v>32</v>
      </c>
      <c r="AL476" t="s">
        <v>707</v>
      </c>
      <c r="AM476" t="s">
        <v>246</v>
      </c>
      <c r="AN476" t="s">
        <v>708</v>
      </c>
      <c r="AO476" t="s">
        <v>709</v>
      </c>
      <c r="AP476" t="s">
        <v>710</v>
      </c>
      <c r="AQ476" t="s">
        <v>74</v>
      </c>
      <c r="AR476" t="s">
        <v>711</v>
      </c>
      <c r="AS476" t="s">
        <v>712</v>
      </c>
      <c r="AT476" t="s">
        <v>275</v>
      </c>
      <c r="AU476">
        <v>2024</v>
      </c>
      <c r="AV476">
        <v>189</v>
      </c>
      <c r="AW476" t="s">
        <v>74</v>
      </c>
      <c r="AX476" t="s">
        <v>74</v>
      </c>
      <c r="AY476" t="s">
        <v>74</v>
      </c>
      <c r="AZ476" t="s">
        <v>74</v>
      </c>
      <c r="BA476" t="s">
        <v>74</v>
      </c>
      <c r="BB476" t="s">
        <v>74</v>
      </c>
      <c r="BC476" t="s">
        <v>74</v>
      </c>
      <c r="BD476">
        <v>109964</v>
      </c>
      <c r="BE476" t="s">
        <v>7968</v>
      </c>
      <c r="BF476" t="str">
        <f>HYPERLINK("http://dx.doi.org/10.1016/j.cie.2024.109964","http://dx.doi.org/10.1016/j.cie.2024.109964")</f>
        <v>http://dx.doi.org/10.1016/j.cie.2024.109964</v>
      </c>
      <c r="BG476" t="s">
        <v>74</v>
      </c>
      <c r="BH476" t="s">
        <v>2862</v>
      </c>
      <c r="BI476">
        <v>17</v>
      </c>
      <c r="BJ476" t="s">
        <v>715</v>
      </c>
      <c r="BK476" t="s">
        <v>149</v>
      </c>
      <c r="BL476" t="s">
        <v>716</v>
      </c>
      <c r="BM476" t="s">
        <v>7969</v>
      </c>
      <c r="BN476" t="s">
        <v>74</v>
      </c>
      <c r="BO476" t="s">
        <v>74</v>
      </c>
      <c r="BP476" t="s">
        <v>74</v>
      </c>
      <c r="BQ476" t="s">
        <v>74</v>
      </c>
      <c r="BR476" t="s">
        <v>104</v>
      </c>
      <c r="BS476" t="s">
        <v>7970</v>
      </c>
      <c r="BT476" t="str">
        <f>HYPERLINK("https%3A%2F%2Fwww.webofscience.com%2Fwos%2Fwoscc%2Ffull-record%2FWOS:001180596700001","View Full Record in Web of Science")</f>
        <v>View Full Record in Web of Science</v>
      </c>
    </row>
    <row r="477" spans="1:72" x14ac:dyDescent="0.25">
      <c r="A477" t="s">
        <v>72</v>
      </c>
      <c r="B477" t="s">
        <v>7971</v>
      </c>
      <c r="C477" t="s">
        <v>74</v>
      </c>
      <c r="D477" t="s">
        <v>74</v>
      </c>
      <c r="E477" t="s">
        <v>74</v>
      </c>
      <c r="F477" t="s">
        <v>7972</v>
      </c>
      <c r="G477" t="s">
        <v>74</v>
      </c>
      <c r="H477" t="s">
        <v>74</v>
      </c>
      <c r="I477" t="s">
        <v>7973</v>
      </c>
      <c r="J477" t="s">
        <v>697</v>
      </c>
      <c r="K477" t="s">
        <v>74</v>
      </c>
      <c r="L477" t="s">
        <v>74</v>
      </c>
      <c r="M477" t="s">
        <v>78</v>
      </c>
      <c r="N477" t="s">
        <v>79</v>
      </c>
      <c r="O477" t="s">
        <v>74</v>
      </c>
      <c r="P477" t="s">
        <v>74</v>
      </c>
      <c r="Q477" t="s">
        <v>74</v>
      </c>
      <c r="R477" t="s">
        <v>74</v>
      </c>
      <c r="S477" t="s">
        <v>74</v>
      </c>
      <c r="T477" t="s">
        <v>7974</v>
      </c>
      <c r="U477" t="s">
        <v>7975</v>
      </c>
      <c r="V477" t="s">
        <v>7976</v>
      </c>
      <c r="W477" t="s">
        <v>7977</v>
      </c>
      <c r="X477" t="s">
        <v>7978</v>
      </c>
      <c r="Y477" t="s">
        <v>7979</v>
      </c>
      <c r="Z477" t="s">
        <v>7980</v>
      </c>
      <c r="AA477" t="s">
        <v>7981</v>
      </c>
      <c r="AB477" t="s">
        <v>7982</v>
      </c>
      <c r="AC477" t="s">
        <v>74</v>
      </c>
      <c r="AD477" t="s">
        <v>74</v>
      </c>
      <c r="AE477" t="s">
        <v>74</v>
      </c>
      <c r="AF477" t="s">
        <v>74</v>
      </c>
      <c r="AG477">
        <v>33</v>
      </c>
      <c r="AH477">
        <v>35</v>
      </c>
      <c r="AI477">
        <v>39</v>
      </c>
      <c r="AJ477">
        <v>2</v>
      </c>
      <c r="AK477">
        <v>47</v>
      </c>
      <c r="AL477" t="s">
        <v>707</v>
      </c>
      <c r="AM477" t="s">
        <v>246</v>
      </c>
      <c r="AN477" t="s">
        <v>708</v>
      </c>
      <c r="AO477" t="s">
        <v>709</v>
      </c>
      <c r="AP477" t="s">
        <v>710</v>
      </c>
      <c r="AQ477" t="s">
        <v>74</v>
      </c>
      <c r="AR477" t="s">
        <v>711</v>
      </c>
      <c r="AS477" t="s">
        <v>712</v>
      </c>
      <c r="AT477" t="s">
        <v>1202</v>
      </c>
      <c r="AU477">
        <v>2020</v>
      </c>
      <c r="AV477">
        <v>143</v>
      </c>
      <c r="AW477" t="s">
        <v>74</v>
      </c>
      <c r="AX477" t="s">
        <v>74</v>
      </c>
      <c r="AY477" t="s">
        <v>74</v>
      </c>
      <c r="AZ477" t="s">
        <v>74</v>
      </c>
      <c r="BA477" t="s">
        <v>74</v>
      </c>
      <c r="BB477" t="s">
        <v>74</v>
      </c>
      <c r="BC477" t="s">
        <v>74</v>
      </c>
      <c r="BD477">
        <v>106398</v>
      </c>
      <c r="BE477" t="s">
        <v>7983</v>
      </c>
      <c r="BF477" t="str">
        <f>HYPERLINK("http://dx.doi.org/10.1016/j.cie.2020.106398","http://dx.doi.org/10.1016/j.cie.2020.106398")</f>
        <v>http://dx.doi.org/10.1016/j.cie.2020.106398</v>
      </c>
      <c r="BG477" t="s">
        <v>74</v>
      </c>
      <c r="BH477" t="s">
        <v>74</v>
      </c>
      <c r="BI477">
        <v>9</v>
      </c>
      <c r="BJ477" t="s">
        <v>715</v>
      </c>
      <c r="BK477" t="s">
        <v>149</v>
      </c>
      <c r="BL477" t="s">
        <v>716</v>
      </c>
      <c r="BM477" t="s">
        <v>3241</v>
      </c>
      <c r="BN477" t="s">
        <v>74</v>
      </c>
      <c r="BO477" t="s">
        <v>758</v>
      </c>
      <c r="BP477" t="s">
        <v>74</v>
      </c>
      <c r="BQ477" t="s">
        <v>74</v>
      </c>
      <c r="BR477" t="s">
        <v>104</v>
      </c>
      <c r="BS477" t="s">
        <v>7984</v>
      </c>
      <c r="BT477" t="str">
        <f>HYPERLINK("https%3A%2F%2Fwww.webofscience.com%2Fwos%2Fwoscc%2Ffull-record%2FWOS:000525872600018","View Full Record in Web of Science")</f>
        <v>View Full Record in Web of Science</v>
      </c>
    </row>
    <row r="478" spans="1:72" x14ac:dyDescent="0.25">
      <c r="A478" t="s">
        <v>72</v>
      </c>
      <c r="B478" t="s">
        <v>7985</v>
      </c>
      <c r="C478" t="s">
        <v>74</v>
      </c>
      <c r="D478" t="s">
        <v>74</v>
      </c>
      <c r="E478" t="s">
        <v>74</v>
      </c>
      <c r="F478" t="s">
        <v>7986</v>
      </c>
      <c r="G478" t="s">
        <v>74</v>
      </c>
      <c r="H478" t="s">
        <v>74</v>
      </c>
      <c r="I478" t="s">
        <v>7987</v>
      </c>
      <c r="J478" t="s">
        <v>4810</v>
      </c>
      <c r="K478" t="s">
        <v>74</v>
      </c>
      <c r="L478" t="s">
        <v>74</v>
      </c>
      <c r="M478" t="s">
        <v>78</v>
      </c>
      <c r="N478" t="s">
        <v>79</v>
      </c>
      <c r="O478" t="s">
        <v>74</v>
      </c>
      <c r="P478" t="s">
        <v>74</v>
      </c>
      <c r="Q478" t="s">
        <v>74</v>
      </c>
      <c r="R478" t="s">
        <v>74</v>
      </c>
      <c r="S478" t="s">
        <v>74</v>
      </c>
      <c r="T478" t="s">
        <v>7988</v>
      </c>
      <c r="U478" t="s">
        <v>74</v>
      </c>
      <c r="V478" t="s">
        <v>7989</v>
      </c>
      <c r="W478" t="s">
        <v>7990</v>
      </c>
      <c r="X478" t="s">
        <v>7991</v>
      </c>
      <c r="Y478" t="s">
        <v>7992</v>
      </c>
      <c r="Z478" t="s">
        <v>7993</v>
      </c>
      <c r="AA478" t="s">
        <v>7994</v>
      </c>
      <c r="AB478" t="s">
        <v>74</v>
      </c>
      <c r="AC478" t="s">
        <v>74</v>
      </c>
      <c r="AD478" t="s">
        <v>74</v>
      </c>
      <c r="AE478" t="s">
        <v>74</v>
      </c>
      <c r="AF478" t="s">
        <v>74</v>
      </c>
      <c r="AG478">
        <v>32</v>
      </c>
      <c r="AH478">
        <v>1</v>
      </c>
      <c r="AI478">
        <v>1</v>
      </c>
      <c r="AJ478">
        <v>3</v>
      </c>
      <c r="AK478">
        <v>3</v>
      </c>
      <c r="AL478" t="s">
        <v>4823</v>
      </c>
      <c r="AM478" t="s">
        <v>4824</v>
      </c>
      <c r="AN478" t="s">
        <v>4825</v>
      </c>
      <c r="AO478" t="s">
        <v>4826</v>
      </c>
      <c r="AP478" t="s">
        <v>4827</v>
      </c>
      <c r="AQ478" t="s">
        <v>74</v>
      </c>
      <c r="AR478" t="s">
        <v>4828</v>
      </c>
      <c r="AS478" t="s">
        <v>4829</v>
      </c>
      <c r="AT478" t="s">
        <v>74</v>
      </c>
      <c r="AU478">
        <v>2023</v>
      </c>
      <c r="AV478">
        <v>17</v>
      </c>
      <c r="AW478">
        <v>3</v>
      </c>
      <c r="AX478" t="s">
        <v>74</v>
      </c>
      <c r="AY478" t="s">
        <v>74</v>
      </c>
      <c r="AZ478" t="s">
        <v>74</v>
      </c>
      <c r="BA478" t="s">
        <v>74</v>
      </c>
      <c r="BB478">
        <v>769</v>
      </c>
      <c r="BC478">
        <v>778</v>
      </c>
      <c r="BD478" t="s">
        <v>74</v>
      </c>
      <c r="BE478" t="s">
        <v>7995</v>
      </c>
      <c r="BF478" t="str">
        <f>HYPERLINK("http://dx.doi.org/10.24874/IJQR17.03-09","http://dx.doi.org/10.24874/IJQR17.03-09")</f>
        <v>http://dx.doi.org/10.24874/IJQR17.03-09</v>
      </c>
      <c r="BG478" t="s">
        <v>74</v>
      </c>
      <c r="BH478" t="s">
        <v>74</v>
      </c>
      <c r="BI478">
        <v>10</v>
      </c>
      <c r="BJ478" t="s">
        <v>100</v>
      </c>
      <c r="BK478" t="s">
        <v>101</v>
      </c>
      <c r="BL478" t="s">
        <v>102</v>
      </c>
      <c r="BM478" t="s">
        <v>7996</v>
      </c>
      <c r="BN478" t="s">
        <v>74</v>
      </c>
      <c r="BO478" t="s">
        <v>208</v>
      </c>
      <c r="BP478" t="s">
        <v>74</v>
      </c>
      <c r="BQ478" t="s">
        <v>74</v>
      </c>
      <c r="BR478" t="s">
        <v>104</v>
      </c>
      <c r="BS478" t="s">
        <v>7997</v>
      </c>
      <c r="BT478" t="str">
        <f>HYPERLINK("https%3A%2F%2Fwww.webofscience.com%2Fwos%2Fwoscc%2Ffull-record%2FWOS:001129110400001","View Full Record in Web of Science")</f>
        <v>View Full Record in Web of Science</v>
      </c>
    </row>
    <row r="479" spans="1:72" x14ac:dyDescent="0.25">
      <c r="A479" t="s">
        <v>72</v>
      </c>
      <c r="B479" t="s">
        <v>7998</v>
      </c>
      <c r="C479" t="s">
        <v>74</v>
      </c>
      <c r="D479" t="s">
        <v>74</v>
      </c>
      <c r="E479" t="s">
        <v>74</v>
      </c>
      <c r="F479" t="s">
        <v>7999</v>
      </c>
      <c r="G479" t="s">
        <v>74</v>
      </c>
      <c r="H479" t="s">
        <v>74</v>
      </c>
      <c r="I479" t="s">
        <v>8000</v>
      </c>
      <c r="J479" t="s">
        <v>128</v>
      </c>
      <c r="K479" t="s">
        <v>74</v>
      </c>
      <c r="L479" t="s">
        <v>74</v>
      </c>
      <c r="M479" t="s">
        <v>78</v>
      </c>
      <c r="N479" t="s">
        <v>79</v>
      </c>
      <c r="O479" t="s">
        <v>74</v>
      </c>
      <c r="P479" t="s">
        <v>74</v>
      </c>
      <c r="Q479" t="s">
        <v>74</v>
      </c>
      <c r="R479" t="s">
        <v>74</v>
      </c>
      <c r="S479" t="s">
        <v>74</v>
      </c>
      <c r="T479" t="s">
        <v>8001</v>
      </c>
      <c r="U479" t="s">
        <v>8002</v>
      </c>
      <c r="V479" t="s">
        <v>8003</v>
      </c>
      <c r="W479" t="s">
        <v>8004</v>
      </c>
      <c r="X479" t="s">
        <v>8005</v>
      </c>
      <c r="Y479" t="s">
        <v>1862</v>
      </c>
      <c r="Z479" t="s">
        <v>1863</v>
      </c>
      <c r="AA479" t="s">
        <v>74</v>
      </c>
      <c r="AB479" t="s">
        <v>8006</v>
      </c>
      <c r="AC479" t="s">
        <v>3521</v>
      </c>
      <c r="AD479" t="s">
        <v>482</v>
      </c>
      <c r="AE479" t="s">
        <v>3522</v>
      </c>
      <c r="AF479" t="s">
        <v>74</v>
      </c>
      <c r="AG479">
        <v>42</v>
      </c>
      <c r="AH479">
        <v>2</v>
      </c>
      <c r="AI479">
        <v>2</v>
      </c>
      <c r="AJ479">
        <v>15</v>
      </c>
      <c r="AK479">
        <v>33</v>
      </c>
      <c r="AL479" t="s">
        <v>138</v>
      </c>
      <c r="AM479" t="s">
        <v>139</v>
      </c>
      <c r="AN479" t="s">
        <v>140</v>
      </c>
      <c r="AO479" t="s">
        <v>141</v>
      </c>
      <c r="AP479" t="s">
        <v>142</v>
      </c>
      <c r="AQ479" t="s">
        <v>74</v>
      </c>
      <c r="AR479" t="s">
        <v>143</v>
      </c>
      <c r="AS479" t="s">
        <v>144</v>
      </c>
      <c r="AT479" t="s">
        <v>533</v>
      </c>
      <c r="AU479">
        <v>2024</v>
      </c>
      <c r="AV479">
        <v>242</v>
      </c>
      <c r="AW479" t="s">
        <v>74</v>
      </c>
      <c r="AX479" t="s">
        <v>74</v>
      </c>
      <c r="AY479" t="s">
        <v>74</v>
      </c>
      <c r="AZ479" t="s">
        <v>74</v>
      </c>
      <c r="BA479" t="s">
        <v>74</v>
      </c>
      <c r="BB479" t="s">
        <v>74</v>
      </c>
      <c r="BC479" t="s">
        <v>74</v>
      </c>
      <c r="BD479">
        <v>109785</v>
      </c>
      <c r="BE479" t="s">
        <v>8007</v>
      </c>
      <c r="BF479" t="str">
        <f>HYPERLINK("http://dx.doi.org/10.1016/j.ress.2023.109785","http://dx.doi.org/10.1016/j.ress.2023.109785")</f>
        <v>http://dx.doi.org/10.1016/j.ress.2023.109785</v>
      </c>
      <c r="BG479" t="s">
        <v>74</v>
      </c>
      <c r="BH479" t="s">
        <v>1111</v>
      </c>
      <c r="BI479">
        <v>22</v>
      </c>
      <c r="BJ479" t="s">
        <v>148</v>
      </c>
      <c r="BK479" t="s">
        <v>149</v>
      </c>
      <c r="BL479" t="s">
        <v>150</v>
      </c>
      <c r="BM479" t="s">
        <v>8008</v>
      </c>
      <c r="BN479" t="s">
        <v>74</v>
      </c>
      <c r="BO479" t="s">
        <v>74</v>
      </c>
      <c r="BP479" t="s">
        <v>74</v>
      </c>
      <c r="BQ479" t="s">
        <v>74</v>
      </c>
      <c r="BR479" t="s">
        <v>104</v>
      </c>
      <c r="BS479" t="s">
        <v>8009</v>
      </c>
      <c r="BT479" t="str">
        <f>HYPERLINK("https%3A%2F%2Fwww.webofscience.com%2Fwos%2Fwoscc%2Ffull-record%2FWOS:001109731300001","View Full Record in Web of Science")</f>
        <v>View Full Record in Web of Science</v>
      </c>
    </row>
    <row r="480" spans="1:72" x14ac:dyDescent="0.25">
      <c r="A480" t="s">
        <v>72</v>
      </c>
      <c r="B480" t="s">
        <v>8010</v>
      </c>
      <c r="C480" t="s">
        <v>74</v>
      </c>
      <c r="D480" t="s">
        <v>74</v>
      </c>
      <c r="E480" t="s">
        <v>74</v>
      </c>
      <c r="F480" t="s">
        <v>8011</v>
      </c>
      <c r="G480" t="s">
        <v>74</v>
      </c>
      <c r="H480" t="s">
        <v>74</v>
      </c>
      <c r="I480" t="s">
        <v>8012</v>
      </c>
      <c r="J480" t="s">
        <v>8013</v>
      </c>
      <c r="K480" t="s">
        <v>74</v>
      </c>
      <c r="L480" t="s">
        <v>74</v>
      </c>
      <c r="M480" t="s">
        <v>78</v>
      </c>
      <c r="N480" t="s">
        <v>79</v>
      </c>
      <c r="O480" t="s">
        <v>74</v>
      </c>
      <c r="P480" t="s">
        <v>74</v>
      </c>
      <c r="Q480" t="s">
        <v>74</v>
      </c>
      <c r="R480" t="s">
        <v>74</v>
      </c>
      <c r="S480" t="s">
        <v>74</v>
      </c>
      <c r="T480" t="s">
        <v>8014</v>
      </c>
      <c r="U480" t="s">
        <v>8015</v>
      </c>
      <c r="V480" t="s">
        <v>8016</v>
      </c>
      <c r="W480" t="s">
        <v>8017</v>
      </c>
      <c r="X480" t="s">
        <v>8018</v>
      </c>
      <c r="Y480" t="s">
        <v>8019</v>
      </c>
      <c r="Z480" t="s">
        <v>8020</v>
      </c>
      <c r="AA480" t="s">
        <v>8021</v>
      </c>
      <c r="AB480" t="s">
        <v>74</v>
      </c>
      <c r="AC480" t="s">
        <v>74</v>
      </c>
      <c r="AD480" t="s">
        <v>74</v>
      </c>
      <c r="AE480" t="s">
        <v>74</v>
      </c>
      <c r="AF480" t="s">
        <v>74</v>
      </c>
      <c r="AG480">
        <v>80</v>
      </c>
      <c r="AH480">
        <v>2</v>
      </c>
      <c r="AI480">
        <v>2</v>
      </c>
      <c r="AJ480">
        <v>5</v>
      </c>
      <c r="AK480">
        <v>16</v>
      </c>
      <c r="AL480" t="s">
        <v>2421</v>
      </c>
      <c r="AM480" t="s">
        <v>2422</v>
      </c>
      <c r="AN480" t="s">
        <v>2423</v>
      </c>
      <c r="AO480" t="s">
        <v>8022</v>
      </c>
      <c r="AP480" t="s">
        <v>8023</v>
      </c>
      <c r="AQ480" t="s">
        <v>74</v>
      </c>
      <c r="AR480" t="s">
        <v>8024</v>
      </c>
      <c r="AS480" t="s">
        <v>8025</v>
      </c>
      <c r="AT480" t="s">
        <v>1076</v>
      </c>
      <c r="AU480">
        <v>2023</v>
      </c>
      <c r="AV480">
        <v>53</v>
      </c>
      <c r="AW480">
        <v>20</v>
      </c>
      <c r="AX480" t="s">
        <v>74</v>
      </c>
      <c r="AY480" t="s">
        <v>74</v>
      </c>
      <c r="AZ480" t="s">
        <v>74</v>
      </c>
      <c r="BA480" t="s">
        <v>74</v>
      </c>
      <c r="BB480">
        <v>23905</v>
      </c>
      <c r="BC480">
        <v>23928</v>
      </c>
      <c r="BD480" t="s">
        <v>74</v>
      </c>
      <c r="BE480" t="s">
        <v>8026</v>
      </c>
      <c r="BF480" t="str">
        <f>HYPERLINK("http://dx.doi.org/10.1007/s10489-023-04821-z","http://dx.doi.org/10.1007/s10489-023-04821-z")</f>
        <v>http://dx.doi.org/10.1007/s10489-023-04821-z</v>
      </c>
      <c r="BG480" t="s">
        <v>74</v>
      </c>
      <c r="BH480" t="s">
        <v>1155</v>
      </c>
      <c r="BI480">
        <v>24</v>
      </c>
      <c r="BJ480" t="s">
        <v>1267</v>
      </c>
      <c r="BK480" t="s">
        <v>149</v>
      </c>
      <c r="BL480" t="s">
        <v>1228</v>
      </c>
      <c r="BM480" t="s">
        <v>8027</v>
      </c>
      <c r="BN480" t="s">
        <v>74</v>
      </c>
      <c r="BO480" t="s">
        <v>74</v>
      </c>
      <c r="BP480" t="s">
        <v>74</v>
      </c>
      <c r="BQ480" t="s">
        <v>74</v>
      </c>
      <c r="BR480" t="s">
        <v>104</v>
      </c>
      <c r="BS480" t="s">
        <v>8028</v>
      </c>
      <c r="BT480" t="str">
        <f>HYPERLINK("https%3A%2F%2Fwww.webofscience.com%2Fwos%2Fwoscc%2Ffull-record%2FWOS:001029707900001","View Full Record in Web of Science")</f>
        <v>View Full Record in Web of Science</v>
      </c>
    </row>
    <row r="481" spans="1:72" x14ac:dyDescent="0.25">
      <c r="A481" t="s">
        <v>72</v>
      </c>
      <c r="B481" t="s">
        <v>8029</v>
      </c>
      <c r="C481" t="s">
        <v>74</v>
      </c>
      <c r="D481" t="s">
        <v>74</v>
      </c>
      <c r="E481" t="s">
        <v>74</v>
      </c>
      <c r="F481" t="s">
        <v>8030</v>
      </c>
      <c r="G481" t="s">
        <v>74</v>
      </c>
      <c r="H481" t="s">
        <v>74</v>
      </c>
      <c r="I481" t="s">
        <v>8031</v>
      </c>
      <c r="J481" t="s">
        <v>8032</v>
      </c>
      <c r="K481" t="s">
        <v>74</v>
      </c>
      <c r="L481" t="s">
        <v>74</v>
      </c>
      <c r="M481" t="s">
        <v>78</v>
      </c>
      <c r="N481" t="s">
        <v>79</v>
      </c>
      <c r="O481" t="s">
        <v>74</v>
      </c>
      <c r="P481" t="s">
        <v>74</v>
      </c>
      <c r="Q481" t="s">
        <v>74</v>
      </c>
      <c r="R481" t="s">
        <v>74</v>
      </c>
      <c r="S481" t="s">
        <v>74</v>
      </c>
      <c r="T481" t="s">
        <v>74</v>
      </c>
      <c r="U481" t="s">
        <v>8033</v>
      </c>
      <c r="V481" t="s">
        <v>8034</v>
      </c>
      <c r="W481" t="s">
        <v>8035</v>
      </c>
      <c r="X481" t="s">
        <v>8036</v>
      </c>
      <c r="Y481" t="s">
        <v>8037</v>
      </c>
      <c r="Z481" t="s">
        <v>8038</v>
      </c>
      <c r="AA481" t="s">
        <v>74</v>
      </c>
      <c r="AB481" t="s">
        <v>8039</v>
      </c>
      <c r="AC481" t="s">
        <v>8040</v>
      </c>
      <c r="AD481" t="s">
        <v>482</v>
      </c>
      <c r="AE481" t="s">
        <v>8041</v>
      </c>
      <c r="AF481" t="s">
        <v>74</v>
      </c>
      <c r="AG481">
        <v>45</v>
      </c>
      <c r="AH481">
        <v>1</v>
      </c>
      <c r="AI481">
        <v>1</v>
      </c>
      <c r="AJ481">
        <v>0</v>
      </c>
      <c r="AK481">
        <v>28</v>
      </c>
      <c r="AL481" t="s">
        <v>8042</v>
      </c>
      <c r="AM481" t="s">
        <v>553</v>
      </c>
      <c r="AN481" t="s">
        <v>8043</v>
      </c>
      <c r="AO481" t="s">
        <v>8044</v>
      </c>
      <c r="AP481" t="s">
        <v>8045</v>
      </c>
      <c r="AQ481" t="s">
        <v>74</v>
      </c>
      <c r="AR481" t="s">
        <v>8032</v>
      </c>
      <c r="AS481" t="s">
        <v>8046</v>
      </c>
      <c r="AT481" t="s">
        <v>8047</v>
      </c>
      <c r="AU481">
        <v>2021</v>
      </c>
      <c r="AV481">
        <v>2021</v>
      </c>
      <c r="AW481" t="s">
        <v>74</v>
      </c>
      <c r="AX481" t="s">
        <v>74</v>
      </c>
      <c r="AY481" t="s">
        <v>74</v>
      </c>
      <c r="AZ481" t="s">
        <v>74</v>
      </c>
      <c r="BA481" t="s">
        <v>74</v>
      </c>
      <c r="BB481" t="s">
        <v>74</v>
      </c>
      <c r="BC481" t="s">
        <v>74</v>
      </c>
      <c r="BD481">
        <v>8938767</v>
      </c>
      <c r="BE481" t="s">
        <v>8048</v>
      </c>
      <c r="BF481" t="str">
        <f>HYPERLINK("http://dx.doi.org/10.1155/2021/8938767","http://dx.doi.org/10.1155/2021/8938767")</f>
        <v>http://dx.doi.org/10.1155/2021/8938767</v>
      </c>
      <c r="BG481" t="s">
        <v>74</v>
      </c>
      <c r="BH481" t="s">
        <v>74</v>
      </c>
      <c r="BI481">
        <v>14</v>
      </c>
      <c r="BJ481" t="s">
        <v>8049</v>
      </c>
      <c r="BK481" t="s">
        <v>149</v>
      </c>
      <c r="BL481" t="s">
        <v>8050</v>
      </c>
      <c r="BM481" t="s">
        <v>8051</v>
      </c>
      <c r="BN481" t="s">
        <v>74</v>
      </c>
      <c r="BO481" t="s">
        <v>208</v>
      </c>
      <c r="BP481" t="s">
        <v>74</v>
      </c>
      <c r="BQ481" t="s">
        <v>74</v>
      </c>
      <c r="BR481" t="s">
        <v>104</v>
      </c>
      <c r="BS481" t="s">
        <v>8052</v>
      </c>
      <c r="BT481" t="str">
        <f>HYPERLINK("https%3A%2F%2Fwww.webofscience.com%2Fwos%2Fwoscc%2Ffull-record%2FWOS:000686731700001","View Full Record in Web of Science")</f>
        <v>View Full Record in Web of Science</v>
      </c>
    </row>
    <row r="482" spans="1:72" x14ac:dyDescent="0.25">
      <c r="A482" t="s">
        <v>72</v>
      </c>
      <c r="B482" t="s">
        <v>8053</v>
      </c>
      <c r="C482" t="s">
        <v>74</v>
      </c>
      <c r="D482" t="s">
        <v>74</v>
      </c>
      <c r="E482" t="s">
        <v>74</v>
      </c>
      <c r="F482" t="s">
        <v>8054</v>
      </c>
      <c r="G482" t="s">
        <v>74</v>
      </c>
      <c r="H482" t="s">
        <v>74</v>
      </c>
      <c r="I482" t="s">
        <v>8055</v>
      </c>
      <c r="J482" t="s">
        <v>128</v>
      </c>
      <c r="K482" t="s">
        <v>74</v>
      </c>
      <c r="L482" t="s">
        <v>74</v>
      </c>
      <c r="M482" t="s">
        <v>78</v>
      </c>
      <c r="N482" t="s">
        <v>79</v>
      </c>
      <c r="O482" t="s">
        <v>74</v>
      </c>
      <c r="P482" t="s">
        <v>74</v>
      </c>
      <c r="Q482" t="s">
        <v>74</v>
      </c>
      <c r="R482" t="s">
        <v>74</v>
      </c>
      <c r="S482" t="s">
        <v>74</v>
      </c>
      <c r="T482" t="s">
        <v>8056</v>
      </c>
      <c r="U482" t="s">
        <v>8057</v>
      </c>
      <c r="V482" t="s">
        <v>8058</v>
      </c>
      <c r="W482" t="s">
        <v>8059</v>
      </c>
      <c r="X482" t="s">
        <v>8060</v>
      </c>
      <c r="Y482" t="s">
        <v>8061</v>
      </c>
      <c r="Z482" t="s">
        <v>8062</v>
      </c>
      <c r="AA482" t="s">
        <v>74</v>
      </c>
      <c r="AB482" t="s">
        <v>8063</v>
      </c>
      <c r="AC482" t="s">
        <v>74</v>
      </c>
      <c r="AD482" t="s">
        <v>74</v>
      </c>
      <c r="AE482" t="s">
        <v>74</v>
      </c>
      <c r="AF482" t="s">
        <v>74</v>
      </c>
      <c r="AG482">
        <v>45</v>
      </c>
      <c r="AH482">
        <v>21</v>
      </c>
      <c r="AI482">
        <v>21</v>
      </c>
      <c r="AJ482">
        <v>2</v>
      </c>
      <c r="AK482">
        <v>33</v>
      </c>
      <c r="AL482" t="s">
        <v>138</v>
      </c>
      <c r="AM482" t="s">
        <v>246</v>
      </c>
      <c r="AN482" t="s">
        <v>247</v>
      </c>
      <c r="AO482" t="s">
        <v>141</v>
      </c>
      <c r="AP482" t="s">
        <v>142</v>
      </c>
      <c r="AQ482" t="s">
        <v>74</v>
      </c>
      <c r="AR482" t="s">
        <v>143</v>
      </c>
      <c r="AS482" t="s">
        <v>144</v>
      </c>
      <c r="AT482" t="s">
        <v>1867</v>
      </c>
      <c r="AU482">
        <v>2019</v>
      </c>
      <c r="AV482">
        <v>184</v>
      </c>
      <c r="AW482" t="s">
        <v>74</v>
      </c>
      <c r="AX482" t="s">
        <v>74</v>
      </c>
      <c r="AY482" t="s">
        <v>74</v>
      </c>
      <c r="AZ482" t="s">
        <v>560</v>
      </c>
      <c r="BA482" t="s">
        <v>74</v>
      </c>
      <c r="BB482">
        <v>164</v>
      </c>
      <c r="BC482">
        <v>180</v>
      </c>
      <c r="BD482" t="s">
        <v>74</v>
      </c>
      <c r="BE482" t="s">
        <v>8064</v>
      </c>
      <c r="BF482" t="str">
        <f>HYPERLINK("http://dx.doi.org/10.1016/j.ress.2018.04.025","http://dx.doi.org/10.1016/j.ress.2018.04.025")</f>
        <v>http://dx.doi.org/10.1016/j.ress.2018.04.025</v>
      </c>
      <c r="BG482" t="s">
        <v>74</v>
      </c>
      <c r="BH482" t="s">
        <v>74</v>
      </c>
      <c r="BI482">
        <v>17</v>
      </c>
      <c r="BJ482" t="s">
        <v>148</v>
      </c>
      <c r="BK482" t="s">
        <v>149</v>
      </c>
      <c r="BL482" t="s">
        <v>150</v>
      </c>
      <c r="BM482" t="s">
        <v>8065</v>
      </c>
      <c r="BN482" t="s">
        <v>74</v>
      </c>
      <c r="BO482" t="s">
        <v>8066</v>
      </c>
      <c r="BP482" t="s">
        <v>74</v>
      </c>
      <c r="BQ482" t="s">
        <v>74</v>
      </c>
      <c r="BR482" t="s">
        <v>104</v>
      </c>
      <c r="BS482" t="s">
        <v>8067</v>
      </c>
      <c r="BT482" t="str">
        <f>HYPERLINK("https%3A%2F%2Fwww.webofscience.com%2Fwos%2Fwoscc%2Ffull-record%2FWOS:000458590200016","View Full Record in Web of Science")</f>
        <v>View Full Record in Web of Science</v>
      </c>
    </row>
    <row r="483" spans="1:72" x14ac:dyDescent="0.25">
      <c r="A483" t="s">
        <v>72</v>
      </c>
      <c r="B483" t="s">
        <v>8068</v>
      </c>
      <c r="C483" t="s">
        <v>74</v>
      </c>
      <c r="D483" t="s">
        <v>74</v>
      </c>
      <c r="E483" t="s">
        <v>74</v>
      </c>
      <c r="F483" t="s">
        <v>8069</v>
      </c>
      <c r="G483" t="s">
        <v>74</v>
      </c>
      <c r="H483" t="s">
        <v>74</v>
      </c>
      <c r="I483" t="s">
        <v>8070</v>
      </c>
      <c r="J483" t="s">
        <v>697</v>
      </c>
      <c r="K483" t="s">
        <v>74</v>
      </c>
      <c r="L483" t="s">
        <v>74</v>
      </c>
      <c r="M483" t="s">
        <v>78</v>
      </c>
      <c r="N483" t="s">
        <v>79</v>
      </c>
      <c r="O483" t="s">
        <v>74</v>
      </c>
      <c r="P483" t="s">
        <v>74</v>
      </c>
      <c r="Q483" t="s">
        <v>74</v>
      </c>
      <c r="R483" t="s">
        <v>74</v>
      </c>
      <c r="S483" t="s">
        <v>74</v>
      </c>
      <c r="T483" t="s">
        <v>8071</v>
      </c>
      <c r="U483" t="s">
        <v>8072</v>
      </c>
      <c r="V483" t="s">
        <v>8073</v>
      </c>
      <c r="W483" t="s">
        <v>8074</v>
      </c>
      <c r="X483" t="s">
        <v>8075</v>
      </c>
      <c r="Y483" t="s">
        <v>3362</v>
      </c>
      <c r="Z483" t="s">
        <v>3363</v>
      </c>
      <c r="AA483" t="s">
        <v>1298</v>
      </c>
      <c r="AB483" t="s">
        <v>1299</v>
      </c>
      <c r="AC483" t="s">
        <v>8076</v>
      </c>
      <c r="AD483" t="s">
        <v>8077</v>
      </c>
      <c r="AE483" t="s">
        <v>8078</v>
      </c>
      <c r="AF483" t="s">
        <v>74</v>
      </c>
      <c r="AG483">
        <v>39</v>
      </c>
      <c r="AH483">
        <v>26</v>
      </c>
      <c r="AI483">
        <v>27</v>
      </c>
      <c r="AJ483">
        <v>2</v>
      </c>
      <c r="AK483">
        <v>43</v>
      </c>
      <c r="AL483" t="s">
        <v>707</v>
      </c>
      <c r="AM483" t="s">
        <v>246</v>
      </c>
      <c r="AN483" t="s">
        <v>708</v>
      </c>
      <c r="AO483" t="s">
        <v>709</v>
      </c>
      <c r="AP483" t="s">
        <v>710</v>
      </c>
      <c r="AQ483" t="s">
        <v>74</v>
      </c>
      <c r="AR483" t="s">
        <v>711</v>
      </c>
      <c r="AS483" t="s">
        <v>712</v>
      </c>
      <c r="AT483" t="s">
        <v>533</v>
      </c>
      <c r="AU483">
        <v>2022</v>
      </c>
      <c r="AV483">
        <v>164</v>
      </c>
      <c r="AW483" t="s">
        <v>74</v>
      </c>
      <c r="AX483" t="s">
        <v>74</v>
      </c>
      <c r="AY483" t="s">
        <v>74</v>
      </c>
      <c r="AZ483" t="s">
        <v>74</v>
      </c>
      <c r="BA483" t="s">
        <v>74</v>
      </c>
      <c r="BB483" t="s">
        <v>74</v>
      </c>
      <c r="BC483" t="s">
        <v>74</v>
      </c>
      <c r="BD483">
        <v>107885</v>
      </c>
      <c r="BE483" t="s">
        <v>8079</v>
      </c>
      <c r="BF483" t="str">
        <f>HYPERLINK("http://dx.doi.org/10.1016/j.cie.2021.107885","http://dx.doi.org/10.1016/j.cie.2021.107885")</f>
        <v>http://dx.doi.org/10.1016/j.cie.2021.107885</v>
      </c>
      <c r="BG483" t="s">
        <v>74</v>
      </c>
      <c r="BH483" t="s">
        <v>794</v>
      </c>
      <c r="BI483">
        <v>15</v>
      </c>
      <c r="BJ483" t="s">
        <v>715</v>
      </c>
      <c r="BK483" t="s">
        <v>149</v>
      </c>
      <c r="BL483" t="s">
        <v>716</v>
      </c>
      <c r="BM483" t="s">
        <v>2350</v>
      </c>
      <c r="BN483" t="s">
        <v>74</v>
      </c>
      <c r="BO483" t="s">
        <v>74</v>
      </c>
      <c r="BP483" t="s">
        <v>74</v>
      </c>
      <c r="BQ483" t="s">
        <v>74</v>
      </c>
      <c r="BR483" t="s">
        <v>104</v>
      </c>
      <c r="BS483" t="s">
        <v>8080</v>
      </c>
      <c r="BT483" t="str">
        <f>HYPERLINK("https%3A%2F%2Fwww.webofscience.com%2Fwos%2Fwoscc%2Ffull-record%2FWOS:000752860400018","View Full Record in Web of Science")</f>
        <v>View Full Record in Web of Science</v>
      </c>
    </row>
    <row r="484" spans="1:72" x14ac:dyDescent="0.25">
      <c r="A484" t="s">
        <v>72</v>
      </c>
      <c r="B484" t="s">
        <v>8081</v>
      </c>
      <c r="C484" t="s">
        <v>74</v>
      </c>
      <c r="D484" t="s">
        <v>74</v>
      </c>
      <c r="E484" t="s">
        <v>74</v>
      </c>
      <c r="F484" t="s">
        <v>8082</v>
      </c>
      <c r="G484" t="s">
        <v>74</v>
      </c>
      <c r="H484" t="s">
        <v>74</v>
      </c>
      <c r="I484" t="s">
        <v>8083</v>
      </c>
      <c r="J484" t="s">
        <v>128</v>
      </c>
      <c r="K484" t="s">
        <v>74</v>
      </c>
      <c r="L484" t="s">
        <v>74</v>
      </c>
      <c r="M484" t="s">
        <v>78</v>
      </c>
      <c r="N484" t="s">
        <v>79</v>
      </c>
      <c r="O484" t="s">
        <v>74</v>
      </c>
      <c r="P484" t="s">
        <v>74</v>
      </c>
      <c r="Q484" t="s">
        <v>74</v>
      </c>
      <c r="R484" t="s">
        <v>74</v>
      </c>
      <c r="S484" t="s">
        <v>74</v>
      </c>
      <c r="T484" t="s">
        <v>8084</v>
      </c>
      <c r="U484" t="s">
        <v>8085</v>
      </c>
      <c r="V484" t="s">
        <v>8086</v>
      </c>
      <c r="W484" t="s">
        <v>8087</v>
      </c>
      <c r="X484" t="s">
        <v>8088</v>
      </c>
      <c r="Y484" t="s">
        <v>8089</v>
      </c>
      <c r="Z484" t="s">
        <v>8090</v>
      </c>
      <c r="AA484" t="s">
        <v>74</v>
      </c>
      <c r="AB484" t="s">
        <v>8091</v>
      </c>
      <c r="AC484" t="s">
        <v>8092</v>
      </c>
      <c r="AD484" t="s">
        <v>8093</v>
      </c>
      <c r="AE484" t="s">
        <v>8094</v>
      </c>
      <c r="AF484" t="s">
        <v>74</v>
      </c>
      <c r="AG484">
        <v>38</v>
      </c>
      <c r="AH484">
        <v>3</v>
      </c>
      <c r="AI484">
        <v>3</v>
      </c>
      <c r="AJ484">
        <v>1</v>
      </c>
      <c r="AK484">
        <v>18</v>
      </c>
      <c r="AL484" t="s">
        <v>138</v>
      </c>
      <c r="AM484" t="s">
        <v>246</v>
      </c>
      <c r="AN484" t="s">
        <v>247</v>
      </c>
      <c r="AO484" t="s">
        <v>141</v>
      </c>
      <c r="AP484" t="s">
        <v>142</v>
      </c>
      <c r="AQ484" t="s">
        <v>74</v>
      </c>
      <c r="AR484" t="s">
        <v>143</v>
      </c>
      <c r="AS484" t="s">
        <v>144</v>
      </c>
      <c r="AT484" t="s">
        <v>205</v>
      </c>
      <c r="AU484">
        <v>2021</v>
      </c>
      <c r="AV484">
        <v>213</v>
      </c>
      <c r="AW484" t="s">
        <v>74</v>
      </c>
      <c r="AX484" t="s">
        <v>74</v>
      </c>
      <c r="AY484" t="s">
        <v>74</v>
      </c>
      <c r="AZ484" t="s">
        <v>74</v>
      </c>
      <c r="BA484" t="s">
        <v>74</v>
      </c>
      <c r="BB484" t="s">
        <v>74</v>
      </c>
      <c r="BC484" t="s">
        <v>74</v>
      </c>
      <c r="BD484">
        <v>107768</v>
      </c>
      <c r="BE484" t="s">
        <v>8095</v>
      </c>
      <c r="BF484" t="str">
        <f>HYPERLINK("http://dx.doi.org/10.1016/j.ress.2021.107768","http://dx.doi.org/10.1016/j.ress.2021.107768")</f>
        <v>http://dx.doi.org/10.1016/j.ress.2021.107768</v>
      </c>
      <c r="BG484" t="s">
        <v>74</v>
      </c>
      <c r="BH484" t="s">
        <v>1614</v>
      </c>
      <c r="BI484">
        <v>16</v>
      </c>
      <c r="BJ484" t="s">
        <v>148</v>
      </c>
      <c r="BK484" t="s">
        <v>149</v>
      </c>
      <c r="BL484" t="s">
        <v>150</v>
      </c>
      <c r="BM484" t="s">
        <v>5320</v>
      </c>
      <c r="BN484" t="s">
        <v>74</v>
      </c>
      <c r="BO484" t="s">
        <v>74</v>
      </c>
      <c r="BP484" t="s">
        <v>74</v>
      </c>
      <c r="BQ484" t="s">
        <v>74</v>
      </c>
      <c r="BR484" t="s">
        <v>104</v>
      </c>
      <c r="BS484" t="s">
        <v>8096</v>
      </c>
      <c r="BT484" t="str">
        <f>HYPERLINK("https%3A%2F%2Fwww.webofscience.com%2Fwos%2Fwoscc%2Ffull-record%2FWOS:000663910500047","View Full Record in Web of Science")</f>
        <v>View Full Record in Web of Science</v>
      </c>
    </row>
    <row r="485" spans="1:72" x14ac:dyDescent="0.25">
      <c r="A485" t="s">
        <v>72</v>
      </c>
      <c r="B485" t="s">
        <v>8097</v>
      </c>
      <c r="C485" t="s">
        <v>74</v>
      </c>
      <c r="D485" t="s">
        <v>74</v>
      </c>
      <c r="E485" t="s">
        <v>74</v>
      </c>
      <c r="F485" t="s">
        <v>8098</v>
      </c>
      <c r="G485" t="s">
        <v>74</v>
      </c>
      <c r="H485" t="s">
        <v>74</v>
      </c>
      <c r="I485" t="s">
        <v>8099</v>
      </c>
      <c r="J485" t="s">
        <v>128</v>
      </c>
      <c r="K485" t="s">
        <v>74</v>
      </c>
      <c r="L485" t="s">
        <v>74</v>
      </c>
      <c r="M485" t="s">
        <v>78</v>
      </c>
      <c r="N485" t="s">
        <v>79</v>
      </c>
      <c r="O485" t="s">
        <v>74</v>
      </c>
      <c r="P485" t="s">
        <v>74</v>
      </c>
      <c r="Q485" t="s">
        <v>74</v>
      </c>
      <c r="R485" t="s">
        <v>74</v>
      </c>
      <c r="S485" t="s">
        <v>74</v>
      </c>
      <c r="T485" t="s">
        <v>8100</v>
      </c>
      <c r="U485" t="s">
        <v>8101</v>
      </c>
      <c r="V485" t="s">
        <v>8102</v>
      </c>
      <c r="W485" t="s">
        <v>8103</v>
      </c>
      <c r="X485" t="s">
        <v>8104</v>
      </c>
      <c r="Y485" t="s">
        <v>8105</v>
      </c>
      <c r="Z485" t="s">
        <v>8106</v>
      </c>
      <c r="AA485" t="s">
        <v>8107</v>
      </c>
      <c r="AB485" t="s">
        <v>8108</v>
      </c>
      <c r="AC485" t="s">
        <v>8109</v>
      </c>
      <c r="AD485" t="s">
        <v>1567</v>
      </c>
      <c r="AE485" t="s">
        <v>8110</v>
      </c>
      <c r="AF485" t="s">
        <v>74</v>
      </c>
      <c r="AG485">
        <v>71</v>
      </c>
      <c r="AH485">
        <v>72</v>
      </c>
      <c r="AI485">
        <v>76</v>
      </c>
      <c r="AJ485">
        <v>6</v>
      </c>
      <c r="AK485">
        <v>77</v>
      </c>
      <c r="AL485" t="s">
        <v>138</v>
      </c>
      <c r="AM485" t="s">
        <v>246</v>
      </c>
      <c r="AN485" t="s">
        <v>247</v>
      </c>
      <c r="AO485" t="s">
        <v>141</v>
      </c>
      <c r="AP485" t="s">
        <v>142</v>
      </c>
      <c r="AQ485" t="s">
        <v>74</v>
      </c>
      <c r="AR485" t="s">
        <v>143</v>
      </c>
      <c r="AS485" t="s">
        <v>144</v>
      </c>
      <c r="AT485" t="s">
        <v>275</v>
      </c>
      <c r="AU485">
        <v>2019</v>
      </c>
      <c r="AV485">
        <v>183</v>
      </c>
      <c r="AW485" t="s">
        <v>74</v>
      </c>
      <c r="AX485" t="s">
        <v>74</v>
      </c>
      <c r="AY485" t="s">
        <v>74</v>
      </c>
      <c r="AZ485" t="s">
        <v>74</v>
      </c>
      <c r="BA485" t="s">
        <v>74</v>
      </c>
      <c r="BB485">
        <v>197</v>
      </c>
      <c r="BC485">
        <v>212</v>
      </c>
      <c r="BD485" t="s">
        <v>74</v>
      </c>
      <c r="BE485" t="s">
        <v>8111</v>
      </c>
      <c r="BF485" t="str">
        <f>HYPERLINK("http://dx.doi.org/10.1016/j.ress.2018.11.016","http://dx.doi.org/10.1016/j.ress.2018.11.016")</f>
        <v>http://dx.doi.org/10.1016/j.ress.2018.11.016</v>
      </c>
      <c r="BG485" t="s">
        <v>74</v>
      </c>
      <c r="BH485" t="s">
        <v>74</v>
      </c>
      <c r="BI485">
        <v>16</v>
      </c>
      <c r="BJ485" t="s">
        <v>148</v>
      </c>
      <c r="BK485" t="s">
        <v>149</v>
      </c>
      <c r="BL485" t="s">
        <v>150</v>
      </c>
      <c r="BM485" t="s">
        <v>4364</v>
      </c>
      <c r="BN485" t="s">
        <v>74</v>
      </c>
      <c r="BO485" t="s">
        <v>1578</v>
      </c>
      <c r="BP485" t="s">
        <v>74</v>
      </c>
      <c r="BQ485" t="s">
        <v>74</v>
      </c>
      <c r="BR485" t="s">
        <v>104</v>
      </c>
      <c r="BS485" t="s">
        <v>8112</v>
      </c>
      <c r="BT485" t="str">
        <f>HYPERLINK("https%3A%2F%2Fwww.webofscience.com%2Fwos%2Fwoscc%2Ffull-record%2FWOS:000455693700016","View Full Record in Web of Science")</f>
        <v>View Full Record in Web of Science</v>
      </c>
    </row>
    <row r="486" spans="1:72" x14ac:dyDescent="0.25">
      <c r="A486" t="s">
        <v>72</v>
      </c>
      <c r="B486" t="s">
        <v>8113</v>
      </c>
      <c r="C486" t="s">
        <v>74</v>
      </c>
      <c r="D486" t="s">
        <v>74</v>
      </c>
      <c r="E486" t="s">
        <v>74</v>
      </c>
      <c r="F486" t="s">
        <v>8114</v>
      </c>
      <c r="G486" t="s">
        <v>74</v>
      </c>
      <c r="H486" t="s">
        <v>74</v>
      </c>
      <c r="I486" t="s">
        <v>8115</v>
      </c>
      <c r="J486" t="s">
        <v>697</v>
      </c>
      <c r="K486" t="s">
        <v>74</v>
      </c>
      <c r="L486" t="s">
        <v>74</v>
      </c>
      <c r="M486" t="s">
        <v>78</v>
      </c>
      <c r="N486" t="s">
        <v>79</v>
      </c>
      <c r="O486" t="s">
        <v>74</v>
      </c>
      <c r="P486" t="s">
        <v>74</v>
      </c>
      <c r="Q486" t="s">
        <v>74</v>
      </c>
      <c r="R486" t="s">
        <v>74</v>
      </c>
      <c r="S486" t="s">
        <v>74</v>
      </c>
      <c r="T486" t="s">
        <v>8116</v>
      </c>
      <c r="U486" t="s">
        <v>8117</v>
      </c>
      <c r="V486" t="s">
        <v>8118</v>
      </c>
      <c r="W486" t="s">
        <v>8119</v>
      </c>
      <c r="X486" t="s">
        <v>8120</v>
      </c>
      <c r="Y486" t="s">
        <v>8121</v>
      </c>
      <c r="Z486" t="s">
        <v>8122</v>
      </c>
      <c r="AA486" t="s">
        <v>8123</v>
      </c>
      <c r="AB486" t="s">
        <v>74</v>
      </c>
      <c r="AC486" t="s">
        <v>8124</v>
      </c>
      <c r="AD486" t="s">
        <v>8125</v>
      </c>
      <c r="AE486" t="s">
        <v>8126</v>
      </c>
      <c r="AF486" t="s">
        <v>74</v>
      </c>
      <c r="AG486">
        <v>62</v>
      </c>
      <c r="AH486">
        <v>20</v>
      </c>
      <c r="AI486">
        <v>23</v>
      </c>
      <c r="AJ486">
        <v>2</v>
      </c>
      <c r="AK486">
        <v>44</v>
      </c>
      <c r="AL486" t="s">
        <v>707</v>
      </c>
      <c r="AM486" t="s">
        <v>246</v>
      </c>
      <c r="AN486" t="s">
        <v>708</v>
      </c>
      <c r="AO486" t="s">
        <v>709</v>
      </c>
      <c r="AP486" t="s">
        <v>710</v>
      </c>
      <c r="AQ486" t="s">
        <v>74</v>
      </c>
      <c r="AR486" t="s">
        <v>711</v>
      </c>
      <c r="AS486" t="s">
        <v>712</v>
      </c>
      <c r="AT486" t="s">
        <v>1008</v>
      </c>
      <c r="AU486">
        <v>2020</v>
      </c>
      <c r="AV486">
        <v>139</v>
      </c>
      <c r="AW486" t="s">
        <v>74</v>
      </c>
      <c r="AX486" t="s">
        <v>74</v>
      </c>
      <c r="AY486" t="s">
        <v>74</v>
      </c>
      <c r="AZ486" t="s">
        <v>74</v>
      </c>
      <c r="BA486" t="s">
        <v>74</v>
      </c>
      <c r="BB486" t="s">
        <v>74</v>
      </c>
      <c r="BC486" t="s">
        <v>74</v>
      </c>
      <c r="BD486">
        <v>106205</v>
      </c>
      <c r="BE486" t="s">
        <v>8127</v>
      </c>
      <c r="BF486" t="str">
        <f>HYPERLINK("http://dx.doi.org/10.1016/j.cie.2019.106205","http://dx.doi.org/10.1016/j.cie.2019.106205")</f>
        <v>http://dx.doi.org/10.1016/j.cie.2019.106205</v>
      </c>
      <c r="BG486" t="s">
        <v>74</v>
      </c>
      <c r="BH486" t="s">
        <v>74</v>
      </c>
      <c r="BI486">
        <v>16</v>
      </c>
      <c r="BJ486" t="s">
        <v>715</v>
      </c>
      <c r="BK486" t="s">
        <v>149</v>
      </c>
      <c r="BL486" t="s">
        <v>716</v>
      </c>
      <c r="BM486" t="s">
        <v>8128</v>
      </c>
      <c r="BN486" t="s">
        <v>74</v>
      </c>
      <c r="BO486" t="s">
        <v>74</v>
      </c>
      <c r="BP486" t="s">
        <v>74</v>
      </c>
      <c r="BQ486" t="s">
        <v>74</v>
      </c>
      <c r="BR486" t="s">
        <v>104</v>
      </c>
      <c r="BS486" t="s">
        <v>8129</v>
      </c>
      <c r="BT486" t="str">
        <f>HYPERLINK("https%3A%2F%2Fwww.webofscience.com%2Fwos%2Fwoscc%2Ffull-record%2FWOS:000509784000042","View Full Record in Web of Science")</f>
        <v>View Full Record in Web of Science</v>
      </c>
    </row>
    <row r="487" spans="1:72" x14ac:dyDescent="0.25">
      <c r="A487" t="s">
        <v>72</v>
      </c>
      <c r="B487" t="s">
        <v>8130</v>
      </c>
      <c r="C487" t="s">
        <v>74</v>
      </c>
      <c r="D487" t="s">
        <v>74</v>
      </c>
      <c r="E487" t="s">
        <v>74</v>
      </c>
      <c r="F487" t="s">
        <v>8131</v>
      </c>
      <c r="G487" t="s">
        <v>74</v>
      </c>
      <c r="H487" t="s">
        <v>74</v>
      </c>
      <c r="I487" t="s">
        <v>8132</v>
      </c>
      <c r="J487" t="s">
        <v>542</v>
      </c>
      <c r="K487" t="s">
        <v>74</v>
      </c>
      <c r="L487" t="s">
        <v>74</v>
      </c>
      <c r="M487" t="s">
        <v>78</v>
      </c>
      <c r="N487" t="s">
        <v>79</v>
      </c>
      <c r="O487" t="s">
        <v>74</v>
      </c>
      <c r="P487" t="s">
        <v>74</v>
      </c>
      <c r="Q487" t="s">
        <v>74</v>
      </c>
      <c r="R487" t="s">
        <v>74</v>
      </c>
      <c r="S487" t="s">
        <v>74</v>
      </c>
      <c r="T487" t="s">
        <v>8133</v>
      </c>
      <c r="U487" t="s">
        <v>8134</v>
      </c>
      <c r="V487" t="s">
        <v>8135</v>
      </c>
      <c r="W487" t="s">
        <v>8136</v>
      </c>
      <c r="X487" t="s">
        <v>8137</v>
      </c>
      <c r="Y487" t="s">
        <v>8138</v>
      </c>
      <c r="Z487" t="s">
        <v>8139</v>
      </c>
      <c r="AA487" t="s">
        <v>8140</v>
      </c>
      <c r="AB487" t="s">
        <v>8141</v>
      </c>
      <c r="AC487" t="s">
        <v>8142</v>
      </c>
      <c r="AD487" t="s">
        <v>8142</v>
      </c>
      <c r="AE487" t="s">
        <v>8143</v>
      </c>
      <c r="AF487" t="s">
        <v>74</v>
      </c>
      <c r="AG487">
        <v>40</v>
      </c>
      <c r="AH487">
        <v>13</v>
      </c>
      <c r="AI487">
        <v>13</v>
      </c>
      <c r="AJ487">
        <v>2</v>
      </c>
      <c r="AK487">
        <v>25</v>
      </c>
      <c r="AL487" t="s">
        <v>552</v>
      </c>
      <c r="AM487" t="s">
        <v>553</v>
      </c>
      <c r="AN487" t="s">
        <v>554</v>
      </c>
      <c r="AO487" t="s">
        <v>555</v>
      </c>
      <c r="AP487" t="s">
        <v>556</v>
      </c>
      <c r="AQ487" t="s">
        <v>74</v>
      </c>
      <c r="AR487" t="s">
        <v>557</v>
      </c>
      <c r="AS487" t="s">
        <v>558</v>
      </c>
      <c r="AT487" t="s">
        <v>2225</v>
      </c>
      <c r="AU487">
        <v>2019</v>
      </c>
      <c r="AV487">
        <v>233</v>
      </c>
      <c r="AW487">
        <v>4</v>
      </c>
      <c r="AX487" t="s">
        <v>74</v>
      </c>
      <c r="AY487" t="s">
        <v>74</v>
      </c>
      <c r="AZ487" t="s">
        <v>74</v>
      </c>
      <c r="BA487" t="s">
        <v>74</v>
      </c>
      <c r="BB487">
        <v>593</v>
      </c>
      <c r="BC487">
        <v>604</v>
      </c>
      <c r="BD487" t="s">
        <v>74</v>
      </c>
      <c r="BE487" t="s">
        <v>8144</v>
      </c>
      <c r="BF487" t="str">
        <f>HYPERLINK("http://dx.doi.org/10.1177/1748006X18807091","http://dx.doi.org/10.1177/1748006X18807091")</f>
        <v>http://dx.doi.org/10.1177/1748006X18807091</v>
      </c>
      <c r="BG487" t="s">
        <v>74</v>
      </c>
      <c r="BH487" t="s">
        <v>74</v>
      </c>
      <c r="BI487">
        <v>12</v>
      </c>
      <c r="BJ487" t="s">
        <v>494</v>
      </c>
      <c r="BK487" t="s">
        <v>149</v>
      </c>
      <c r="BL487" t="s">
        <v>150</v>
      </c>
      <c r="BM487" t="s">
        <v>5007</v>
      </c>
      <c r="BN487" t="s">
        <v>74</v>
      </c>
      <c r="BO487" t="s">
        <v>74</v>
      </c>
      <c r="BP487" t="s">
        <v>74</v>
      </c>
      <c r="BQ487" t="s">
        <v>74</v>
      </c>
      <c r="BR487" t="s">
        <v>104</v>
      </c>
      <c r="BS487" t="s">
        <v>8145</v>
      </c>
      <c r="BT487" t="str">
        <f>HYPERLINK("https%3A%2F%2Fwww.webofscience.com%2Fwos%2Fwoscc%2Ffull-record%2FWOS:000478598600007","View Full Record in Web of Science")</f>
        <v>View Full Record in Web of Science</v>
      </c>
    </row>
    <row r="488" spans="1:72" x14ac:dyDescent="0.25">
      <c r="A488" t="s">
        <v>72</v>
      </c>
      <c r="B488" t="s">
        <v>8146</v>
      </c>
      <c r="C488" t="s">
        <v>74</v>
      </c>
      <c r="D488" t="s">
        <v>74</v>
      </c>
      <c r="E488" t="s">
        <v>74</v>
      </c>
      <c r="F488" t="s">
        <v>8147</v>
      </c>
      <c r="G488" t="s">
        <v>74</v>
      </c>
      <c r="H488" t="s">
        <v>74</v>
      </c>
      <c r="I488" t="s">
        <v>8148</v>
      </c>
      <c r="J488" t="s">
        <v>1932</v>
      </c>
      <c r="K488" t="s">
        <v>74</v>
      </c>
      <c r="L488" t="s">
        <v>74</v>
      </c>
      <c r="M488" t="s">
        <v>78</v>
      </c>
      <c r="N488" t="s">
        <v>79</v>
      </c>
      <c r="O488" t="s">
        <v>74</v>
      </c>
      <c r="P488" t="s">
        <v>74</v>
      </c>
      <c r="Q488" t="s">
        <v>74</v>
      </c>
      <c r="R488" t="s">
        <v>74</v>
      </c>
      <c r="S488" t="s">
        <v>74</v>
      </c>
      <c r="T488" t="s">
        <v>8149</v>
      </c>
      <c r="U488" t="s">
        <v>8150</v>
      </c>
      <c r="V488" t="s">
        <v>8151</v>
      </c>
      <c r="W488" t="s">
        <v>8152</v>
      </c>
      <c r="X488" t="s">
        <v>6066</v>
      </c>
      <c r="Y488" t="s">
        <v>8153</v>
      </c>
      <c r="Z488" t="s">
        <v>8154</v>
      </c>
      <c r="AA488" t="s">
        <v>8155</v>
      </c>
      <c r="AB488" t="s">
        <v>8156</v>
      </c>
      <c r="AC488" t="s">
        <v>74</v>
      </c>
      <c r="AD488" t="s">
        <v>74</v>
      </c>
      <c r="AE488" t="s">
        <v>74</v>
      </c>
      <c r="AF488" t="s">
        <v>74</v>
      </c>
      <c r="AG488">
        <v>23</v>
      </c>
      <c r="AH488">
        <v>4</v>
      </c>
      <c r="AI488">
        <v>4</v>
      </c>
      <c r="AJ488">
        <v>2</v>
      </c>
      <c r="AK488">
        <v>9</v>
      </c>
      <c r="AL488" t="s">
        <v>311</v>
      </c>
      <c r="AM488" t="s">
        <v>312</v>
      </c>
      <c r="AN488" t="s">
        <v>313</v>
      </c>
      <c r="AO488" t="s">
        <v>1945</v>
      </c>
      <c r="AP488" t="s">
        <v>1946</v>
      </c>
      <c r="AQ488" t="s">
        <v>74</v>
      </c>
      <c r="AR488" t="s">
        <v>1947</v>
      </c>
      <c r="AS488" t="s">
        <v>1948</v>
      </c>
      <c r="AT488" t="s">
        <v>8157</v>
      </c>
      <c r="AU488">
        <v>2022</v>
      </c>
      <c r="AV488">
        <v>19</v>
      </c>
      <c r="AW488">
        <v>5</v>
      </c>
      <c r="AX488" t="s">
        <v>74</v>
      </c>
      <c r="AY488" t="s">
        <v>74</v>
      </c>
      <c r="AZ488" t="s">
        <v>74</v>
      </c>
      <c r="BA488" t="s">
        <v>74</v>
      </c>
      <c r="BB488">
        <v>648</v>
      </c>
      <c r="BC488">
        <v>664</v>
      </c>
      <c r="BD488" t="s">
        <v>74</v>
      </c>
      <c r="BE488" t="s">
        <v>8158</v>
      </c>
      <c r="BF488" t="str">
        <f>HYPERLINK("http://dx.doi.org/10.1080/16843703.2022.2051846","http://dx.doi.org/10.1080/16843703.2022.2051846")</f>
        <v>http://dx.doi.org/10.1080/16843703.2022.2051846</v>
      </c>
      <c r="BG488" t="s">
        <v>74</v>
      </c>
      <c r="BH488" t="s">
        <v>250</v>
      </c>
      <c r="BI488">
        <v>17</v>
      </c>
      <c r="BJ488" t="s">
        <v>1951</v>
      </c>
      <c r="BK488" t="s">
        <v>149</v>
      </c>
      <c r="BL488" t="s">
        <v>1952</v>
      </c>
      <c r="BM488" t="s">
        <v>8159</v>
      </c>
      <c r="BN488" t="s">
        <v>74</v>
      </c>
      <c r="BO488" t="s">
        <v>74</v>
      </c>
      <c r="BP488" t="s">
        <v>74</v>
      </c>
      <c r="BQ488" t="s">
        <v>74</v>
      </c>
      <c r="BR488" t="s">
        <v>104</v>
      </c>
      <c r="BS488" t="s">
        <v>8160</v>
      </c>
      <c r="BT488" t="str">
        <f>HYPERLINK("https%3A%2F%2Fwww.webofscience.com%2Fwos%2Fwoscc%2Ffull-record%2FWOS:000787270100001","View Full Record in Web of Science")</f>
        <v>View Full Record in Web of Science</v>
      </c>
    </row>
    <row r="489" spans="1:72" x14ac:dyDescent="0.25">
      <c r="A489" t="s">
        <v>72</v>
      </c>
      <c r="B489" t="s">
        <v>8161</v>
      </c>
      <c r="C489" t="s">
        <v>74</v>
      </c>
      <c r="D489" t="s">
        <v>74</v>
      </c>
      <c r="E489" t="s">
        <v>74</v>
      </c>
      <c r="F489" t="s">
        <v>8162</v>
      </c>
      <c r="G489" t="s">
        <v>74</v>
      </c>
      <c r="H489" t="s">
        <v>74</v>
      </c>
      <c r="I489" t="s">
        <v>8163</v>
      </c>
      <c r="J489" t="s">
        <v>128</v>
      </c>
      <c r="K489" t="s">
        <v>74</v>
      </c>
      <c r="L489" t="s">
        <v>74</v>
      </c>
      <c r="M489" t="s">
        <v>78</v>
      </c>
      <c r="N489" t="s">
        <v>79</v>
      </c>
      <c r="O489" t="s">
        <v>74</v>
      </c>
      <c r="P489" t="s">
        <v>74</v>
      </c>
      <c r="Q489" t="s">
        <v>74</v>
      </c>
      <c r="R489" t="s">
        <v>74</v>
      </c>
      <c r="S489" t="s">
        <v>74</v>
      </c>
      <c r="T489" t="s">
        <v>8164</v>
      </c>
      <c r="U489" t="s">
        <v>8165</v>
      </c>
      <c r="V489" t="s">
        <v>8166</v>
      </c>
      <c r="W489" t="s">
        <v>8167</v>
      </c>
      <c r="X489" t="s">
        <v>8168</v>
      </c>
      <c r="Y489" t="s">
        <v>6474</v>
      </c>
      <c r="Z489" t="s">
        <v>3536</v>
      </c>
      <c r="AA489" t="s">
        <v>3537</v>
      </c>
      <c r="AB489" t="s">
        <v>8169</v>
      </c>
      <c r="AC489" t="s">
        <v>74</v>
      </c>
      <c r="AD489" t="s">
        <v>74</v>
      </c>
      <c r="AE489" t="s">
        <v>74</v>
      </c>
      <c r="AF489" t="s">
        <v>74</v>
      </c>
      <c r="AG489">
        <v>24</v>
      </c>
      <c r="AH489">
        <v>14</v>
      </c>
      <c r="AI489">
        <v>15</v>
      </c>
      <c r="AJ489">
        <v>12</v>
      </c>
      <c r="AK489">
        <v>47</v>
      </c>
      <c r="AL489" t="s">
        <v>138</v>
      </c>
      <c r="AM489" t="s">
        <v>246</v>
      </c>
      <c r="AN489" t="s">
        <v>247</v>
      </c>
      <c r="AO489" t="s">
        <v>141</v>
      </c>
      <c r="AP489" t="s">
        <v>142</v>
      </c>
      <c r="AQ489" t="s">
        <v>74</v>
      </c>
      <c r="AR489" t="s">
        <v>143</v>
      </c>
      <c r="AS489" t="s">
        <v>144</v>
      </c>
      <c r="AT489" t="s">
        <v>491</v>
      </c>
      <c r="AU489">
        <v>2021</v>
      </c>
      <c r="AV489">
        <v>215</v>
      </c>
      <c r="AW489" t="s">
        <v>74</v>
      </c>
      <c r="AX489" t="s">
        <v>74</v>
      </c>
      <c r="AY489" t="s">
        <v>74</v>
      </c>
      <c r="AZ489" t="s">
        <v>74</v>
      </c>
      <c r="BA489" t="s">
        <v>74</v>
      </c>
      <c r="BB489" t="s">
        <v>74</v>
      </c>
      <c r="BC489" t="s">
        <v>74</v>
      </c>
      <c r="BD489">
        <v>107769</v>
      </c>
      <c r="BE489" t="s">
        <v>8170</v>
      </c>
      <c r="BF489" t="str">
        <f>HYPERLINK("http://dx.doi.org/10.1016/j.ress.2021.107769","http://dx.doi.org/10.1016/j.ress.2021.107769")</f>
        <v>http://dx.doi.org/10.1016/j.ress.2021.107769</v>
      </c>
      <c r="BG489" t="s">
        <v>74</v>
      </c>
      <c r="BH489" t="s">
        <v>1771</v>
      </c>
      <c r="BI489">
        <v>10</v>
      </c>
      <c r="BJ489" t="s">
        <v>148</v>
      </c>
      <c r="BK489" t="s">
        <v>149</v>
      </c>
      <c r="BL489" t="s">
        <v>150</v>
      </c>
      <c r="BM489" t="s">
        <v>2260</v>
      </c>
      <c r="BN489" t="s">
        <v>74</v>
      </c>
      <c r="BO489" t="s">
        <v>74</v>
      </c>
      <c r="BP489" t="s">
        <v>74</v>
      </c>
      <c r="BQ489" t="s">
        <v>74</v>
      </c>
      <c r="BR489" t="s">
        <v>104</v>
      </c>
      <c r="BS489" t="s">
        <v>8171</v>
      </c>
      <c r="BT489" t="str">
        <f>HYPERLINK("https%3A%2F%2Fwww.webofscience.com%2Fwos%2Fwoscc%2Ffull-record%2FWOS:000690283800007","View Full Record in Web of Science")</f>
        <v>View Full Record in Web of Science</v>
      </c>
    </row>
    <row r="490" spans="1:72" x14ac:dyDescent="0.25">
      <c r="A490" t="s">
        <v>72</v>
      </c>
      <c r="B490" t="s">
        <v>8172</v>
      </c>
      <c r="C490" t="s">
        <v>74</v>
      </c>
      <c r="D490" t="s">
        <v>74</v>
      </c>
      <c r="E490" t="s">
        <v>74</v>
      </c>
      <c r="F490" t="s">
        <v>8173</v>
      </c>
      <c r="G490" t="s">
        <v>74</v>
      </c>
      <c r="H490" t="s">
        <v>74</v>
      </c>
      <c r="I490" t="s">
        <v>8174</v>
      </c>
      <c r="J490" t="s">
        <v>128</v>
      </c>
      <c r="K490" t="s">
        <v>74</v>
      </c>
      <c r="L490" t="s">
        <v>74</v>
      </c>
      <c r="M490" t="s">
        <v>78</v>
      </c>
      <c r="N490" t="s">
        <v>79</v>
      </c>
      <c r="O490" t="s">
        <v>74</v>
      </c>
      <c r="P490" t="s">
        <v>74</v>
      </c>
      <c r="Q490" t="s">
        <v>74</v>
      </c>
      <c r="R490" t="s">
        <v>74</v>
      </c>
      <c r="S490" t="s">
        <v>74</v>
      </c>
      <c r="T490" t="s">
        <v>8175</v>
      </c>
      <c r="U490" t="s">
        <v>8176</v>
      </c>
      <c r="V490" t="s">
        <v>8177</v>
      </c>
      <c r="W490" t="s">
        <v>8178</v>
      </c>
      <c r="X490" t="s">
        <v>8179</v>
      </c>
      <c r="Y490" t="s">
        <v>8180</v>
      </c>
      <c r="Z490" t="s">
        <v>3252</v>
      </c>
      <c r="AA490" t="s">
        <v>8181</v>
      </c>
      <c r="AB490" t="s">
        <v>8182</v>
      </c>
      <c r="AC490" t="s">
        <v>8183</v>
      </c>
      <c r="AD490" t="s">
        <v>482</v>
      </c>
      <c r="AE490" t="s">
        <v>8184</v>
      </c>
      <c r="AF490" t="s">
        <v>74</v>
      </c>
      <c r="AG490">
        <v>48</v>
      </c>
      <c r="AH490">
        <v>4</v>
      </c>
      <c r="AI490">
        <v>4</v>
      </c>
      <c r="AJ490">
        <v>12</v>
      </c>
      <c r="AK490">
        <v>19</v>
      </c>
      <c r="AL490" t="s">
        <v>138</v>
      </c>
      <c r="AM490" t="s">
        <v>139</v>
      </c>
      <c r="AN490" t="s">
        <v>140</v>
      </c>
      <c r="AO490" t="s">
        <v>141</v>
      </c>
      <c r="AP490" t="s">
        <v>142</v>
      </c>
      <c r="AQ490" t="s">
        <v>74</v>
      </c>
      <c r="AR490" t="s">
        <v>143</v>
      </c>
      <c r="AS490" t="s">
        <v>144</v>
      </c>
      <c r="AT490" t="s">
        <v>205</v>
      </c>
      <c r="AU490">
        <v>2024</v>
      </c>
      <c r="AV490">
        <v>249</v>
      </c>
      <c r="AW490" t="s">
        <v>74</v>
      </c>
      <c r="AX490" t="s">
        <v>74</v>
      </c>
      <c r="AY490" t="s">
        <v>74</v>
      </c>
      <c r="AZ490" t="s">
        <v>74</v>
      </c>
      <c r="BA490" t="s">
        <v>74</v>
      </c>
      <c r="BB490" t="s">
        <v>74</v>
      </c>
      <c r="BC490" t="s">
        <v>74</v>
      </c>
      <c r="BD490">
        <v>110174</v>
      </c>
      <c r="BE490" t="s">
        <v>8185</v>
      </c>
      <c r="BF490" t="str">
        <f>HYPERLINK("http://dx.doi.org/10.1016/j.ress.2024.110174","http://dx.doi.org/10.1016/j.ress.2024.110174")</f>
        <v>http://dx.doi.org/10.1016/j.ress.2024.110174</v>
      </c>
      <c r="BG490" t="s">
        <v>74</v>
      </c>
      <c r="BH490" t="s">
        <v>2072</v>
      </c>
      <c r="BI490">
        <v>19</v>
      </c>
      <c r="BJ490" t="s">
        <v>148</v>
      </c>
      <c r="BK490" t="s">
        <v>149</v>
      </c>
      <c r="BL490" t="s">
        <v>150</v>
      </c>
      <c r="BM490" t="s">
        <v>8186</v>
      </c>
      <c r="BN490" t="s">
        <v>74</v>
      </c>
      <c r="BO490" t="s">
        <v>74</v>
      </c>
      <c r="BP490" t="s">
        <v>74</v>
      </c>
      <c r="BQ490" t="s">
        <v>74</v>
      </c>
      <c r="BR490" t="s">
        <v>104</v>
      </c>
      <c r="BS490" t="s">
        <v>8187</v>
      </c>
      <c r="BT490" t="str">
        <f>HYPERLINK("https%3A%2F%2Fwww.webofscience.com%2Fwos%2Fwoscc%2Ffull-record%2FWOS:001244122700001","View Full Record in Web of Science")</f>
        <v>View Full Record in Web of Science</v>
      </c>
    </row>
    <row r="491" spans="1:72" x14ac:dyDescent="0.25">
      <c r="A491" t="s">
        <v>72</v>
      </c>
      <c r="B491" t="s">
        <v>8188</v>
      </c>
      <c r="C491" t="s">
        <v>74</v>
      </c>
      <c r="D491" t="s">
        <v>74</v>
      </c>
      <c r="E491" t="s">
        <v>74</v>
      </c>
      <c r="F491" t="s">
        <v>8189</v>
      </c>
      <c r="G491" t="s">
        <v>74</v>
      </c>
      <c r="H491" t="s">
        <v>74</v>
      </c>
      <c r="I491" t="s">
        <v>8190</v>
      </c>
      <c r="J491" t="s">
        <v>697</v>
      </c>
      <c r="K491" t="s">
        <v>74</v>
      </c>
      <c r="L491" t="s">
        <v>74</v>
      </c>
      <c r="M491" t="s">
        <v>78</v>
      </c>
      <c r="N491" t="s">
        <v>79</v>
      </c>
      <c r="O491" t="s">
        <v>74</v>
      </c>
      <c r="P491" t="s">
        <v>74</v>
      </c>
      <c r="Q491" t="s">
        <v>74</v>
      </c>
      <c r="R491" t="s">
        <v>74</v>
      </c>
      <c r="S491" t="s">
        <v>74</v>
      </c>
      <c r="T491" t="s">
        <v>8191</v>
      </c>
      <c r="U491" t="s">
        <v>8192</v>
      </c>
      <c r="V491" t="s">
        <v>8193</v>
      </c>
      <c r="W491" t="s">
        <v>8194</v>
      </c>
      <c r="X491" t="s">
        <v>8195</v>
      </c>
      <c r="Y491" t="s">
        <v>3423</v>
      </c>
      <c r="Z491" t="s">
        <v>3424</v>
      </c>
      <c r="AA491" t="s">
        <v>74</v>
      </c>
      <c r="AB491" t="s">
        <v>3858</v>
      </c>
      <c r="AC491" t="s">
        <v>3425</v>
      </c>
      <c r="AD491" t="s">
        <v>482</v>
      </c>
      <c r="AE491" t="s">
        <v>5172</v>
      </c>
      <c r="AF491" t="s">
        <v>74</v>
      </c>
      <c r="AG491">
        <v>39</v>
      </c>
      <c r="AH491">
        <v>2</v>
      </c>
      <c r="AI491">
        <v>2</v>
      </c>
      <c r="AJ491">
        <v>3</v>
      </c>
      <c r="AK491">
        <v>32</v>
      </c>
      <c r="AL491" t="s">
        <v>707</v>
      </c>
      <c r="AM491" t="s">
        <v>246</v>
      </c>
      <c r="AN491" t="s">
        <v>708</v>
      </c>
      <c r="AO491" t="s">
        <v>709</v>
      </c>
      <c r="AP491" t="s">
        <v>710</v>
      </c>
      <c r="AQ491" t="s">
        <v>74</v>
      </c>
      <c r="AR491" t="s">
        <v>711</v>
      </c>
      <c r="AS491" t="s">
        <v>712</v>
      </c>
      <c r="AT491" t="s">
        <v>491</v>
      </c>
      <c r="AU491">
        <v>2019</v>
      </c>
      <c r="AV491">
        <v>137</v>
      </c>
      <c r="AW491" t="s">
        <v>74</v>
      </c>
      <c r="AX491" t="s">
        <v>74</v>
      </c>
      <c r="AY491" t="s">
        <v>74</v>
      </c>
      <c r="AZ491" t="s">
        <v>74</v>
      </c>
      <c r="BA491" t="s">
        <v>74</v>
      </c>
      <c r="BB491" t="s">
        <v>74</v>
      </c>
      <c r="BC491" t="s">
        <v>74</v>
      </c>
      <c r="BD491">
        <v>106027</v>
      </c>
      <c r="BE491" t="s">
        <v>8196</v>
      </c>
      <c r="BF491" t="str">
        <f>HYPERLINK("http://dx.doi.org/10.1016/j.cie.2019.106027","http://dx.doi.org/10.1016/j.cie.2019.106027")</f>
        <v>http://dx.doi.org/10.1016/j.cie.2019.106027</v>
      </c>
      <c r="BG491" t="s">
        <v>74</v>
      </c>
      <c r="BH491" t="s">
        <v>74</v>
      </c>
      <c r="BI491">
        <v>12</v>
      </c>
      <c r="BJ491" t="s">
        <v>715</v>
      </c>
      <c r="BK491" t="s">
        <v>149</v>
      </c>
      <c r="BL491" t="s">
        <v>716</v>
      </c>
      <c r="BM491" t="s">
        <v>3383</v>
      </c>
      <c r="BN491" t="s">
        <v>74</v>
      </c>
      <c r="BO491" t="s">
        <v>74</v>
      </c>
      <c r="BP491" t="s">
        <v>74</v>
      </c>
      <c r="BQ491" t="s">
        <v>74</v>
      </c>
      <c r="BR491" t="s">
        <v>104</v>
      </c>
      <c r="BS491" t="s">
        <v>8197</v>
      </c>
      <c r="BT491" t="str">
        <f>HYPERLINK("https%3A%2F%2Fwww.webofscience.com%2Fwos%2Fwoscc%2Ffull-record%2FWOS:000500376700023","View Full Record in Web of Science")</f>
        <v>View Full Record in Web of Science</v>
      </c>
    </row>
    <row r="492" spans="1:72" x14ac:dyDescent="0.25">
      <c r="A492" t="s">
        <v>72</v>
      </c>
      <c r="B492" t="s">
        <v>8198</v>
      </c>
      <c r="C492" t="s">
        <v>74</v>
      </c>
      <c r="D492" t="s">
        <v>74</v>
      </c>
      <c r="E492" t="s">
        <v>74</v>
      </c>
      <c r="F492" t="s">
        <v>8199</v>
      </c>
      <c r="G492" t="s">
        <v>74</v>
      </c>
      <c r="H492" t="s">
        <v>74</v>
      </c>
      <c r="I492" t="s">
        <v>8200</v>
      </c>
      <c r="J492" t="s">
        <v>128</v>
      </c>
      <c r="K492" t="s">
        <v>74</v>
      </c>
      <c r="L492" t="s">
        <v>74</v>
      </c>
      <c r="M492" t="s">
        <v>78</v>
      </c>
      <c r="N492" t="s">
        <v>79</v>
      </c>
      <c r="O492" t="s">
        <v>74</v>
      </c>
      <c r="P492" t="s">
        <v>74</v>
      </c>
      <c r="Q492" t="s">
        <v>74</v>
      </c>
      <c r="R492" t="s">
        <v>74</v>
      </c>
      <c r="S492" t="s">
        <v>74</v>
      </c>
      <c r="T492" t="s">
        <v>8201</v>
      </c>
      <c r="U492" t="s">
        <v>8202</v>
      </c>
      <c r="V492" t="s">
        <v>8203</v>
      </c>
      <c r="W492" t="s">
        <v>8204</v>
      </c>
      <c r="X492" t="s">
        <v>8205</v>
      </c>
      <c r="Y492" t="s">
        <v>5736</v>
      </c>
      <c r="Z492" t="s">
        <v>5737</v>
      </c>
      <c r="AA492" t="s">
        <v>5738</v>
      </c>
      <c r="AB492" t="s">
        <v>8206</v>
      </c>
      <c r="AC492" t="s">
        <v>8207</v>
      </c>
      <c r="AD492" t="s">
        <v>8208</v>
      </c>
      <c r="AE492" t="s">
        <v>8209</v>
      </c>
      <c r="AF492" t="s">
        <v>74</v>
      </c>
      <c r="AG492">
        <v>33</v>
      </c>
      <c r="AH492">
        <v>9</v>
      </c>
      <c r="AI492">
        <v>9</v>
      </c>
      <c r="AJ492">
        <v>1</v>
      </c>
      <c r="AK492">
        <v>16</v>
      </c>
      <c r="AL492" t="s">
        <v>138</v>
      </c>
      <c r="AM492" t="s">
        <v>139</v>
      </c>
      <c r="AN492" t="s">
        <v>140</v>
      </c>
      <c r="AO492" t="s">
        <v>141</v>
      </c>
      <c r="AP492" t="s">
        <v>142</v>
      </c>
      <c r="AQ492" t="s">
        <v>74</v>
      </c>
      <c r="AR492" t="s">
        <v>143</v>
      </c>
      <c r="AS492" t="s">
        <v>144</v>
      </c>
      <c r="AT492" t="s">
        <v>2225</v>
      </c>
      <c r="AU492">
        <v>2023</v>
      </c>
      <c r="AV492">
        <v>236</v>
      </c>
      <c r="AW492" t="s">
        <v>74</v>
      </c>
      <c r="AX492" t="s">
        <v>74</v>
      </c>
      <c r="AY492" t="s">
        <v>74</v>
      </c>
      <c r="AZ492" t="s">
        <v>74</v>
      </c>
      <c r="BA492" t="s">
        <v>74</v>
      </c>
      <c r="BB492" t="s">
        <v>74</v>
      </c>
      <c r="BC492" t="s">
        <v>74</v>
      </c>
      <c r="BD492">
        <v>109303</v>
      </c>
      <c r="BE492" t="s">
        <v>8210</v>
      </c>
      <c r="BF492" t="str">
        <f>HYPERLINK("http://dx.doi.org/10.1016/j.ress.2023.109303","http://dx.doi.org/10.1016/j.ress.2023.109303")</f>
        <v>http://dx.doi.org/10.1016/j.ress.2023.109303</v>
      </c>
      <c r="BG492" t="s">
        <v>74</v>
      </c>
      <c r="BH492" t="s">
        <v>1204</v>
      </c>
      <c r="BI492">
        <v>8</v>
      </c>
      <c r="BJ492" t="s">
        <v>148</v>
      </c>
      <c r="BK492" t="s">
        <v>149</v>
      </c>
      <c r="BL492" t="s">
        <v>150</v>
      </c>
      <c r="BM492" t="s">
        <v>8211</v>
      </c>
      <c r="BN492" t="s">
        <v>74</v>
      </c>
      <c r="BO492" t="s">
        <v>400</v>
      </c>
      <c r="BP492" t="s">
        <v>74</v>
      </c>
      <c r="BQ492" t="s">
        <v>74</v>
      </c>
      <c r="BR492" t="s">
        <v>104</v>
      </c>
      <c r="BS492" t="s">
        <v>8212</v>
      </c>
      <c r="BT492" t="str">
        <f>HYPERLINK("https%3A%2F%2Fwww.webofscience.com%2Fwos%2Fwoscc%2Ffull-record%2FWOS:000990010900001","View Full Record in Web of Science")</f>
        <v>View Full Record in Web of Science</v>
      </c>
    </row>
    <row r="493" spans="1:72" x14ac:dyDescent="0.25">
      <c r="A493" t="s">
        <v>72</v>
      </c>
      <c r="B493" t="s">
        <v>8213</v>
      </c>
      <c r="C493" t="s">
        <v>74</v>
      </c>
      <c r="D493" t="s">
        <v>74</v>
      </c>
      <c r="E493" t="s">
        <v>74</v>
      </c>
      <c r="F493" t="s">
        <v>8214</v>
      </c>
      <c r="G493" t="s">
        <v>74</v>
      </c>
      <c r="H493" t="s">
        <v>74</v>
      </c>
      <c r="I493" t="s">
        <v>8215</v>
      </c>
      <c r="J493" t="s">
        <v>3900</v>
      </c>
      <c r="K493" t="s">
        <v>74</v>
      </c>
      <c r="L493" t="s">
        <v>74</v>
      </c>
      <c r="M493" t="s">
        <v>78</v>
      </c>
      <c r="N493" t="s">
        <v>79</v>
      </c>
      <c r="O493" t="s">
        <v>74</v>
      </c>
      <c r="P493" t="s">
        <v>74</v>
      </c>
      <c r="Q493" t="s">
        <v>74</v>
      </c>
      <c r="R493" t="s">
        <v>74</v>
      </c>
      <c r="S493" t="s">
        <v>74</v>
      </c>
      <c r="T493" t="s">
        <v>8216</v>
      </c>
      <c r="U493" t="s">
        <v>74</v>
      </c>
      <c r="V493" t="s">
        <v>8217</v>
      </c>
      <c r="W493" t="s">
        <v>8218</v>
      </c>
      <c r="X493" t="s">
        <v>5363</v>
      </c>
      <c r="Y493" t="s">
        <v>8219</v>
      </c>
      <c r="Z493" t="s">
        <v>8220</v>
      </c>
      <c r="AA493" t="s">
        <v>74</v>
      </c>
      <c r="AB493" t="s">
        <v>8221</v>
      </c>
      <c r="AC493" t="s">
        <v>8222</v>
      </c>
      <c r="AD493" t="s">
        <v>8223</v>
      </c>
      <c r="AE493" t="s">
        <v>8224</v>
      </c>
      <c r="AF493" t="s">
        <v>74</v>
      </c>
      <c r="AG493">
        <v>36</v>
      </c>
      <c r="AH493">
        <v>104</v>
      </c>
      <c r="AI493">
        <v>110</v>
      </c>
      <c r="AJ493">
        <v>4</v>
      </c>
      <c r="AK493">
        <v>67</v>
      </c>
      <c r="AL493" t="s">
        <v>138</v>
      </c>
      <c r="AM493" t="s">
        <v>246</v>
      </c>
      <c r="AN493" t="s">
        <v>247</v>
      </c>
      <c r="AO493" t="s">
        <v>3912</v>
      </c>
      <c r="AP493" t="s">
        <v>3913</v>
      </c>
      <c r="AQ493" t="s">
        <v>74</v>
      </c>
      <c r="AR493" t="s">
        <v>3914</v>
      </c>
      <c r="AS493" t="s">
        <v>3915</v>
      </c>
      <c r="AT493" t="s">
        <v>2225</v>
      </c>
      <c r="AU493">
        <v>2019</v>
      </c>
      <c r="AV493">
        <v>41</v>
      </c>
      <c r="AW493" t="s">
        <v>74</v>
      </c>
      <c r="AX493" t="s">
        <v>74</v>
      </c>
      <c r="AY493" t="s">
        <v>74</v>
      </c>
      <c r="AZ493" t="s">
        <v>74</v>
      </c>
      <c r="BA493" t="s">
        <v>74</v>
      </c>
      <c r="BB493" t="s">
        <v>74</v>
      </c>
      <c r="BC493" t="s">
        <v>74</v>
      </c>
      <c r="BD493">
        <v>100922</v>
      </c>
      <c r="BE493" t="s">
        <v>8225</v>
      </c>
      <c r="BF493" t="str">
        <f>HYPERLINK("http://dx.doi.org/10.1016/j.aei.2019.100922","http://dx.doi.org/10.1016/j.aei.2019.100922")</f>
        <v>http://dx.doi.org/10.1016/j.aei.2019.100922</v>
      </c>
      <c r="BG493" t="s">
        <v>74</v>
      </c>
      <c r="BH493" t="s">
        <v>74</v>
      </c>
      <c r="BI493">
        <v>14</v>
      </c>
      <c r="BJ493" t="s">
        <v>3918</v>
      </c>
      <c r="BK493" t="s">
        <v>149</v>
      </c>
      <c r="BL493" t="s">
        <v>716</v>
      </c>
      <c r="BM493" t="s">
        <v>8226</v>
      </c>
      <c r="BN493" t="s">
        <v>74</v>
      </c>
      <c r="BO493" t="s">
        <v>74</v>
      </c>
      <c r="BP493" t="s">
        <v>74</v>
      </c>
      <c r="BQ493" t="s">
        <v>74</v>
      </c>
      <c r="BR493" t="s">
        <v>104</v>
      </c>
      <c r="BS493" t="s">
        <v>8227</v>
      </c>
      <c r="BT493" t="str">
        <f>HYPERLINK("https%3A%2F%2Fwww.webofscience.com%2Fwos%2Fwoscc%2Ffull-record%2FWOS:000474323200013","View Full Record in Web of Science")</f>
        <v>View Full Record in Web of Science</v>
      </c>
    </row>
    <row r="494" spans="1:72" x14ac:dyDescent="0.25">
      <c r="A494" t="s">
        <v>72</v>
      </c>
      <c r="B494" t="s">
        <v>8228</v>
      </c>
      <c r="C494" t="s">
        <v>74</v>
      </c>
      <c r="D494" t="s">
        <v>74</v>
      </c>
      <c r="E494" t="s">
        <v>74</v>
      </c>
      <c r="F494" t="s">
        <v>8229</v>
      </c>
      <c r="G494" t="s">
        <v>74</v>
      </c>
      <c r="H494" t="s">
        <v>74</v>
      </c>
      <c r="I494" t="s">
        <v>8230</v>
      </c>
      <c r="J494" t="s">
        <v>128</v>
      </c>
      <c r="K494" t="s">
        <v>74</v>
      </c>
      <c r="L494" t="s">
        <v>74</v>
      </c>
      <c r="M494" t="s">
        <v>78</v>
      </c>
      <c r="N494" t="s">
        <v>79</v>
      </c>
      <c r="O494" t="s">
        <v>74</v>
      </c>
      <c r="P494" t="s">
        <v>74</v>
      </c>
      <c r="Q494" t="s">
        <v>74</v>
      </c>
      <c r="R494" t="s">
        <v>74</v>
      </c>
      <c r="S494" t="s">
        <v>74</v>
      </c>
      <c r="T494" t="s">
        <v>8231</v>
      </c>
      <c r="U494" t="s">
        <v>8232</v>
      </c>
      <c r="V494" t="s">
        <v>8233</v>
      </c>
      <c r="W494" t="s">
        <v>8234</v>
      </c>
      <c r="X494" t="s">
        <v>2612</v>
      </c>
      <c r="Y494" t="s">
        <v>3555</v>
      </c>
      <c r="Z494" t="s">
        <v>2614</v>
      </c>
      <c r="AA494" t="s">
        <v>74</v>
      </c>
      <c r="AB494" t="s">
        <v>74</v>
      </c>
      <c r="AC494" t="s">
        <v>8235</v>
      </c>
      <c r="AD494" t="s">
        <v>482</v>
      </c>
      <c r="AE494" t="s">
        <v>8236</v>
      </c>
      <c r="AF494" t="s">
        <v>74</v>
      </c>
      <c r="AG494">
        <v>40</v>
      </c>
      <c r="AH494">
        <v>31</v>
      </c>
      <c r="AI494">
        <v>32</v>
      </c>
      <c r="AJ494">
        <v>6</v>
      </c>
      <c r="AK494">
        <v>43</v>
      </c>
      <c r="AL494" t="s">
        <v>138</v>
      </c>
      <c r="AM494" t="s">
        <v>139</v>
      </c>
      <c r="AN494" t="s">
        <v>140</v>
      </c>
      <c r="AO494" t="s">
        <v>141</v>
      </c>
      <c r="AP494" t="s">
        <v>142</v>
      </c>
      <c r="AQ494" t="s">
        <v>74</v>
      </c>
      <c r="AR494" t="s">
        <v>143</v>
      </c>
      <c r="AS494" t="s">
        <v>144</v>
      </c>
      <c r="AT494" t="s">
        <v>533</v>
      </c>
      <c r="AU494">
        <v>2022</v>
      </c>
      <c r="AV494">
        <v>218</v>
      </c>
      <c r="AW494" t="s">
        <v>74</v>
      </c>
      <c r="AX494" t="s">
        <v>1907</v>
      </c>
      <c r="AY494" t="s">
        <v>74</v>
      </c>
      <c r="AZ494" t="s">
        <v>74</v>
      </c>
      <c r="BA494" t="s">
        <v>74</v>
      </c>
      <c r="BB494" t="s">
        <v>74</v>
      </c>
      <c r="BC494" t="s">
        <v>74</v>
      </c>
      <c r="BD494">
        <v>108142</v>
      </c>
      <c r="BE494" t="s">
        <v>8237</v>
      </c>
      <c r="BF494" t="str">
        <f>HYPERLINK("http://dx.doi.org/10.1016/j.ress.2021.108142","http://dx.doi.org/10.1016/j.ress.2021.108142")</f>
        <v>http://dx.doi.org/10.1016/j.ress.2021.108142</v>
      </c>
      <c r="BG494" t="s">
        <v>74</v>
      </c>
      <c r="BH494" t="s">
        <v>536</v>
      </c>
      <c r="BI494">
        <v>15</v>
      </c>
      <c r="BJ494" t="s">
        <v>148</v>
      </c>
      <c r="BK494" t="s">
        <v>322</v>
      </c>
      <c r="BL494" t="s">
        <v>150</v>
      </c>
      <c r="BM494" t="s">
        <v>8238</v>
      </c>
      <c r="BN494" t="s">
        <v>74</v>
      </c>
      <c r="BO494" t="s">
        <v>74</v>
      </c>
      <c r="BP494" t="s">
        <v>74</v>
      </c>
      <c r="BQ494" t="s">
        <v>74</v>
      </c>
      <c r="BR494" t="s">
        <v>104</v>
      </c>
      <c r="BS494" t="s">
        <v>8239</v>
      </c>
      <c r="BT494" t="str">
        <f>HYPERLINK("https%3A%2F%2Fwww.webofscience.com%2Fwos%2Fwoscc%2Ffull-record%2FWOS:000728598300024","View Full Record in Web of Science")</f>
        <v>View Full Record in Web of Science</v>
      </c>
    </row>
    <row r="495" spans="1:72" x14ac:dyDescent="0.25">
      <c r="A495" t="s">
        <v>72</v>
      </c>
      <c r="B495" t="s">
        <v>8240</v>
      </c>
      <c r="C495" t="s">
        <v>74</v>
      </c>
      <c r="D495" t="s">
        <v>74</v>
      </c>
      <c r="E495" t="s">
        <v>74</v>
      </c>
      <c r="F495" t="s">
        <v>8241</v>
      </c>
      <c r="G495" t="s">
        <v>74</v>
      </c>
      <c r="H495" t="s">
        <v>74</v>
      </c>
      <c r="I495" t="s">
        <v>8242</v>
      </c>
      <c r="J495" t="s">
        <v>329</v>
      </c>
      <c r="K495" t="s">
        <v>74</v>
      </c>
      <c r="L495" t="s">
        <v>74</v>
      </c>
      <c r="M495" t="s">
        <v>78</v>
      </c>
      <c r="N495" t="s">
        <v>79</v>
      </c>
      <c r="O495" t="s">
        <v>74</v>
      </c>
      <c r="P495" t="s">
        <v>74</v>
      </c>
      <c r="Q495" t="s">
        <v>74</v>
      </c>
      <c r="R495" t="s">
        <v>74</v>
      </c>
      <c r="S495" t="s">
        <v>74</v>
      </c>
      <c r="T495" t="s">
        <v>74</v>
      </c>
      <c r="U495" t="s">
        <v>8243</v>
      </c>
      <c r="V495" t="s">
        <v>8244</v>
      </c>
      <c r="W495" t="s">
        <v>8245</v>
      </c>
      <c r="X495" t="s">
        <v>8246</v>
      </c>
      <c r="Y495" t="s">
        <v>8247</v>
      </c>
      <c r="Z495" t="s">
        <v>8248</v>
      </c>
      <c r="AA495" t="s">
        <v>8249</v>
      </c>
      <c r="AB495" t="s">
        <v>8250</v>
      </c>
      <c r="AC495" t="s">
        <v>8251</v>
      </c>
      <c r="AD495" t="s">
        <v>8252</v>
      </c>
      <c r="AE495" t="s">
        <v>8253</v>
      </c>
      <c r="AF495" t="s">
        <v>74</v>
      </c>
      <c r="AG495">
        <v>84</v>
      </c>
      <c r="AH495">
        <v>1</v>
      </c>
      <c r="AI495">
        <v>1</v>
      </c>
      <c r="AJ495">
        <v>5</v>
      </c>
      <c r="AK495">
        <v>17</v>
      </c>
      <c r="AL495" t="s">
        <v>339</v>
      </c>
      <c r="AM495" t="s">
        <v>340</v>
      </c>
      <c r="AN495" t="s">
        <v>341</v>
      </c>
      <c r="AO495" t="s">
        <v>342</v>
      </c>
      <c r="AP495" t="s">
        <v>343</v>
      </c>
      <c r="AQ495" t="s">
        <v>74</v>
      </c>
      <c r="AR495" t="s">
        <v>344</v>
      </c>
      <c r="AS495" t="s">
        <v>345</v>
      </c>
      <c r="AT495" t="s">
        <v>8254</v>
      </c>
      <c r="AU495">
        <v>2024</v>
      </c>
      <c r="AV495">
        <v>40</v>
      </c>
      <c r="AW495">
        <v>4</v>
      </c>
      <c r="AX495" t="s">
        <v>74</v>
      </c>
      <c r="AY495" t="s">
        <v>74</v>
      </c>
      <c r="AZ495" t="s">
        <v>74</v>
      </c>
      <c r="BA495" t="s">
        <v>74</v>
      </c>
      <c r="BB495" t="s">
        <v>74</v>
      </c>
      <c r="BC495" t="s">
        <v>74</v>
      </c>
      <c r="BD495">
        <v>4024020</v>
      </c>
      <c r="BE495" t="s">
        <v>8255</v>
      </c>
      <c r="BF495" t="str">
        <f>HYPERLINK("http://dx.doi.org/10.1061/JMENEA.MEENG-5907","http://dx.doi.org/10.1061/JMENEA.MEENG-5907")</f>
        <v>http://dx.doi.org/10.1061/JMENEA.MEENG-5907</v>
      </c>
      <c r="BG495" t="s">
        <v>74</v>
      </c>
      <c r="BH495" t="s">
        <v>74</v>
      </c>
      <c r="BI495">
        <v>18</v>
      </c>
      <c r="BJ495" t="s">
        <v>348</v>
      </c>
      <c r="BK495" t="s">
        <v>149</v>
      </c>
      <c r="BL495" t="s">
        <v>102</v>
      </c>
      <c r="BM495" t="s">
        <v>8256</v>
      </c>
      <c r="BN495" t="s">
        <v>74</v>
      </c>
      <c r="BO495" t="s">
        <v>74</v>
      </c>
      <c r="BP495" t="s">
        <v>74</v>
      </c>
      <c r="BQ495" t="s">
        <v>74</v>
      </c>
      <c r="BR495" t="s">
        <v>104</v>
      </c>
      <c r="BS495" t="s">
        <v>8257</v>
      </c>
      <c r="BT495" t="str">
        <f>HYPERLINK("https%3A%2F%2Fwww.webofscience.com%2Fwos%2Fwoscc%2Ffull-record%2FWOS:001223219300011","View Full Record in Web of Science")</f>
        <v>View Full Record in Web of Science</v>
      </c>
    </row>
    <row r="496" spans="1:72" x14ac:dyDescent="0.25">
      <c r="A496" t="s">
        <v>72</v>
      </c>
      <c r="B496" t="s">
        <v>8258</v>
      </c>
      <c r="C496" t="s">
        <v>74</v>
      </c>
      <c r="D496" t="s">
        <v>74</v>
      </c>
      <c r="E496" t="s">
        <v>74</v>
      </c>
      <c r="F496" t="s">
        <v>8259</v>
      </c>
      <c r="G496" t="s">
        <v>74</v>
      </c>
      <c r="H496" t="s">
        <v>74</v>
      </c>
      <c r="I496" t="s">
        <v>8260</v>
      </c>
      <c r="J496" t="s">
        <v>128</v>
      </c>
      <c r="K496" t="s">
        <v>74</v>
      </c>
      <c r="L496" t="s">
        <v>74</v>
      </c>
      <c r="M496" t="s">
        <v>78</v>
      </c>
      <c r="N496" t="s">
        <v>79</v>
      </c>
      <c r="O496" t="s">
        <v>74</v>
      </c>
      <c r="P496" t="s">
        <v>74</v>
      </c>
      <c r="Q496" t="s">
        <v>74</v>
      </c>
      <c r="R496" t="s">
        <v>74</v>
      </c>
      <c r="S496" t="s">
        <v>74</v>
      </c>
      <c r="T496" t="s">
        <v>8261</v>
      </c>
      <c r="U496" t="s">
        <v>8262</v>
      </c>
      <c r="V496" t="s">
        <v>8263</v>
      </c>
      <c r="W496" t="s">
        <v>8264</v>
      </c>
      <c r="X496" t="s">
        <v>1802</v>
      </c>
      <c r="Y496" t="s">
        <v>8265</v>
      </c>
      <c r="Z496" t="s">
        <v>8266</v>
      </c>
      <c r="AA496" t="s">
        <v>74</v>
      </c>
      <c r="AB496" t="s">
        <v>74</v>
      </c>
      <c r="AC496" t="s">
        <v>8267</v>
      </c>
      <c r="AD496" t="s">
        <v>8268</v>
      </c>
      <c r="AE496" t="s">
        <v>8269</v>
      </c>
      <c r="AF496" t="s">
        <v>74</v>
      </c>
      <c r="AG496">
        <v>49</v>
      </c>
      <c r="AH496">
        <v>16</v>
      </c>
      <c r="AI496">
        <v>16</v>
      </c>
      <c r="AJ496">
        <v>13</v>
      </c>
      <c r="AK496">
        <v>77</v>
      </c>
      <c r="AL496" t="s">
        <v>138</v>
      </c>
      <c r="AM496" t="s">
        <v>246</v>
      </c>
      <c r="AN496" t="s">
        <v>247</v>
      </c>
      <c r="AO496" t="s">
        <v>141</v>
      </c>
      <c r="AP496" t="s">
        <v>142</v>
      </c>
      <c r="AQ496" t="s">
        <v>74</v>
      </c>
      <c r="AR496" t="s">
        <v>143</v>
      </c>
      <c r="AS496" t="s">
        <v>144</v>
      </c>
      <c r="AT496" t="s">
        <v>1008</v>
      </c>
      <c r="AU496">
        <v>2023</v>
      </c>
      <c r="AV496">
        <v>229</v>
      </c>
      <c r="AW496" t="s">
        <v>74</v>
      </c>
      <c r="AX496" t="s">
        <v>74</v>
      </c>
      <c r="AY496" t="s">
        <v>74</v>
      </c>
      <c r="AZ496" t="s">
        <v>74</v>
      </c>
      <c r="BA496" t="s">
        <v>74</v>
      </c>
      <c r="BB496" t="s">
        <v>74</v>
      </c>
      <c r="BC496" t="s">
        <v>74</v>
      </c>
      <c r="BD496">
        <v>108848</v>
      </c>
      <c r="BE496" t="s">
        <v>8270</v>
      </c>
      <c r="BF496" t="str">
        <f>HYPERLINK("http://dx.doi.org/10.1016/j.ress.2022.108848","http://dx.doi.org/10.1016/j.ress.2022.108848")</f>
        <v>http://dx.doi.org/10.1016/j.ress.2022.108848</v>
      </c>
      <c r="BG496" t="s">
        <v>74</v>
      </c>
      <c r="BH496" t="s">
        <v>1285</v>
      </c>
      <c r="BI496">
        <v>12</v>
      </c>
      <c r="BJ496" t="s">
        <v>148</v>
      </c>
      <c r="BK496" t="s">
        <v>149</v>
      </c>
      <c r="BL496" t="s">
        <v>150</v>
      </c>
      <c r="BM496" t="s">
        <v>8271</v>
      </c>
      <c r="BN496" t="s">
        <v>74</v>
      </c>
      <c r="BO496" t="s">
        <v>74</v>
      </c>
      <c r="BP496" t="s">
        <v>74</v>
      </c>
      <c r="BQ496" t="s">
        <v>74</v>
      </c>
      <c r="BR496" t="s">
        <v>104</v>
      </c>
      <c r="BS496" t="s">
        <v>8272</v>
      </c>
      <c r="BT496" t="str">
        <f>HYPERLINK("https%3A%2F%2Fwww.webofscience.com%2Fwos%2Fwoscc%2Ffull-record%2FWOS:000869062300008","View Full Record in Web of Science")</f>
        <v>View Full Record in Web of Science</v>
      </c>
    </row>
    <row r="497" spans="1:72" x14ac:dyDescent="0.25">
      <c r="A497" t="s">
        <v>72</v>
      </c>
      <c r="B497" t="s">
        <v>8273</v>
      </c>
      <c r="C497" t="s">
        <v>74</v>
      </c>
      <c r="D497" t="s">
        <v>74</v>
      </c>
      <c r="E497" t="s">
        <v>74</v>
      </c>
      <c r="F497" t="s">
        <v>8274</v>
      </c>
      <c r="G497" t="s">
        <v>74</v>
      </c>
      <c r="H497" t="s">
        <v>74</v>
      </c>
      <c r="I497" t="s">
        <v>8275</v>
      </c>
      <c r="J497" t="s">
        <v>1814</v>
      </c>
      <c r="K497" t="s">
        <v>74</v>
      </c>
      <c r="L497" t="s">
        <v>74</v>
      </c>
      <c r="M497" t="s">
        <v>78</v>
      </c>
      <c r="N497" t="s">
        <v>79</v>
      </c>
      <c r="O497" t="s">
        <v>74</v>
      </c>
      <c r="P497" t="s">
        <v>74</v>
      </c>
      <c r="Q497" t="s">
        <v>74</v>
      </c>
      <c r="R497" t="s">
        <v>74</v>
      </c>
      <c r="S497" t="s">
        <v>74</v>
      </c>
      <c r="T497" t="s">
        <v>8276</v>
      </c>
      <c r="U497" t="s">
        <v>8277</v>
      </c>
      <c r="V497" t="s">
        <v>8278</v>
      </c>
      <c r="W497" t="s">
        <v>8279</v>
      </c>
      <c r="X497" t="s">
        <v>3215</v>
      </c>
      <c r="Y497" t="s">
        <v>8280</v>
      </c>
      <c r="Z497" t="s">
        <v>8281</v>
      </c>
      <c r="AA497" t="s">
        <v>8282</v>
      </c>
      <c r="AB497" t="s">
        <v>8283</v>
      </c>
      <c r="AC497" t="s">
        <v>8284</v>
      </c>
      <c r="AD497" t="s">
        <v>8285</v>
      </c>
      <c r="AE497" t="s">
        <v>8286</v>
      </c>
      <c r="AF497" t="s">
        <v>74</v>
      </c>
      <c r="AG497">
        <v>52</v>
      </c>
      <c r="AH497">
        <v>11</v>
      </c>
      <c r="AI497">
        <v>12</v>
      </c>
      <c r="AJ497">
        <v>1</v>
      </c>
      <c r="AK497">
        <v>21</v>
      </c>
      <c r="AL497" t="s">
        <v>509</v>
      </c>
      <c r="AM497" t="s">
        <v>510</v>
      </c>
      <c r="AN497" t="s">
        <v>8287</v>
      </c>
      <c r="AO497" t="s">
        <v>1824</v>
      </c>
      <c r="AP497" t="s">
        <v>1825</v>
      </c>
      <c r="AQ497" t="s">
        <v>74</v>
      </c>
      <c r="AR497" t="s">
        <v>1826</v>
      </c>
      <c r="AS497" t="s">
        <v>1827</v>
      </c>
      <c r="AT497" t="s">
        <v>205</v>
      </c>
      <c r="AU497">
        <v>2020</v>
      </c>
      <c r="AV497">
        <v>227</v>
      </c>
      <c r="AW497" t="s">
        <v>74</v>
      </c>
      <c r="AX497" t="s">
        <v>74</v>
      </c>
      <c r="AY497" t="s">
        <v>74</v>
      </c>
      <c r="AZ497" t="s">
        <v>74</v>
      </c>
      <c r="BA497" t="s">
        <v>74</v>
      </c>
      <c r="BB497" t="s">
        <v>74</v>
      </c>
      <c r="BC497" t="s">
        <v>74</v>
      </c>
      <c r="BD497">
        <v>107668</v>
      </c>
      <c r="BE497" t="s">
        <v>8288</v>
      </c>
      <c r="BF497" t="str">
        <f>HYPERLINK("http://dx.doi.org/10.1016/j.ijpe.2020.107668","http://dx.doi.org/10.1016/j.ijpe.2020.107668")</f>
        <v>http://dx.doi.org/10.1016/j.ijpe.2020.107668</v>
      </c>
      <c r="BG497" t="s">
        <v>74</v>
      </c>
      <c r="BH497" t="s">
        <v>74</v>
      </c>
      <c r="BI497">
        <v>14</v>
      </c>
      <c r="BJ497" t="s">
        <v>321</v>
      </c>
      <c r="BK497" t="s">
        <v>149</v>
      </c>
      <c r="BL497" t="s">
        <v>150</v>
      </c>
      <c r="BM497" t="s">
        <v>8289</v>
      </c>
      <c r="BN497" t="s">
        <v>74</v>
      </c>
      <c r="BO497" t="s">
        <v>74</v>
      </c>
      <c r="BP497" t="s">
        <v>74</v>
      </c>
      <c r="BQ497" t="s">
        <v>74</v>
      </c>
      <c r="BR497" t="s">
        <v>104</v>
      </c>
      <c r="BS497" t="s">
        <v>8290</v>
      </c>
      <c r="BT497" t="str">
        <f>HYPERLINK("https%3A%2F%2Fwww.webofscience.com%2Fwos%2Fwoscc%2Ffull-record%2FWOS:000540840400014","View Full Record in Web of Science")</f>
        <v>View Full Record in Web of Science</v>
      </c>
    </row>
    <row r="498" spans="1:72" x14ac:dyDescent="0.25">
      <c r="A498" t="s">
        <v>72</v>
      </c>
      <c r="B498" t="s">
        <v>8291</v>
      </c>
      <c r="C498" t="s">
        <v>74</v>
      </c>
      <c r="D498" t="s">
        <v>74</v>
      </c>
      <c r="E498" t="s">
        <v>74</v>
      </c>
      <c r="F498" t="s">
        <v>8292</v>
      </c>
      <c r="G498" t="s">
        <v>74</v>
      </c>
      <c r="H498" t="s">
        <v>74</v>
      </c>
      <c r="I498" t="s">
        <v>8293</v>
      </c>
      <c r="J498" t="s">
        <v>128</v>
      </c>
      <c r="K498" t="s">
        <v>74</v>
      </c>
      <c r="L498" t="s">
        <v>74</v>
      </c>
      <c r="M498" t="s">
        <v>78</v>
      </c>
      <c r="N498" t="s">
        <v>79</v>
      </c>
      <c r="O498" t="s">
        <v>74</v>
      </c>
      <c r="P498" t="s">
        <v>74</v>
      </c>
      <c r="Q498" t="s">
        <v>74</v>
      </c>
      <c r="R498" t="s">
        <v>74</v>
      </c>
      <c r="S498" t="s">
        <v>74</v>
      </c>
      <c r="T498" t="s">
        <v>8294</v>
      </c>
      <c r="U498" t="s">
        <v>8295</v>
      </c>
      <c r="V498" t="s">
        <v>8296</v>
      </c>
      <c r="W498" t="s">
        <v>8297</v>
      </c>
      <c r="X498" t="s">
        <v>2662</v>
      </c>
      <c r="Y498" t="s">
        <v>8298</v>
      </c>
      <c r="Z498" t="s">
        <v>2664</v>
      </c>
      <c r="AA498" t="s">
        <v>74</v>
      </c>
      <c r="AB498" t="s">
        <v>74</v>
      </c>
      <c r="AC498" t="s">
        <v>74</v>
      </c>
      <c r="AD498" t="s">
        <v>74</v>
      </c>
      <c r="AE498" t="s">
        <v>74</v>
      </c>
      <c r="AF498" t="s">
        <v>74</v>
      </c>
      <c r="AG498">
        <v>66</v>
      </c>
      <c r="AH498">
        <v>17</v>
      </c>
      <c r="AI498">
        <v>18</v>
      </c>
      <c r="AJ498">
        <v>2</v>
      </c>
      <c r="AK498">
        <v>29</v>
      </c>
      <c r="AL498" t="s">
        <v>138</v>
      </c>
      <c r="AM498" t="s">
        <v>246</v>
      </c>
      <c r="AN498" t="s">
        <v>247</v>
      </c>
      <c r="AO498" t="s">
        <v>141</v>
      </c>
      <c r="AP498" t="s">
        <v>142</v>
      </c>
      <c r="AQ498" t="s">
        <v>74</v>
      </c>
      <c r="AR498" t="s">
        <v>143</v>
      </c>
      <c r="AS498" t="s">
        <v>144</v>
      </c>
      <c r="AT498" t="s">
        <v>248</v>
      </c>
      <c r="AU498">
        <v>2020</v>
      </c>
      <c r="AV498">
        <v>199</v>
      </c>
      <c r="AW498" t="s">
        <v>74</v>
      </c>
      <c r="AX498" t="s">
        <v>74</v>
      </c>
      <c r="AY498" t="s">
        <v>74</v>
      </c>
      <c r="AZ498" t="s">
        <v>74</v>
      </c>
      <c r="BA498" t="s">
        <v>74</v>
      </c>
      <c r="BB498" t="s">
        <v>74</v>
      </c>
      <c r="BC498" t="s">
        <v>74</v>
      </c>
      <c r="BD498">
        <v>106893</v>
      </c>
      <c r="BE498" t="s">
        <v>8299</v>
      </c>
      <c r="BF498" t="str">
        <f>HYPERLINK("http://dx.doi.org/10.1016/j.ress.2020.106893","http://dx.doi.org/10.1016/j.ress.2020.106893")</f>
        <v>http://dx.doi.org/10.1016/j.ress.2020.106893</v>
      </c>
      <c r="BG498" t="s">
        <v>74</v>
      </c>
      <c r="BH498" t="s">
        <v>74</v>
      </c>
      <c r="BI498">
        <v>14</v>
      </c>
      <c r="BJ498" t="s">
        <v>148</v>
      </c>
      <c r="BK498" t="s">
        <v>149</v>
      </c>
      <c r="BL498" t="s">
        <v>150</v>
      </c>
      <c r="BM498" t="s">
        <v>8300</v>
      </c>
      <c r="BN498" t="s">
        <v>74</v>
      </c>
      <c r="BO498" t="s">
        <v>74</v>
      </c>
      <c r="BP498" t="s">
        <v>74</v>
      </c>
      <c r="BQ498" t="s">
        <v>74</v>
      </c>
      <c r="BR498" t="s">
        <v>104</v>
      </c>
      <c r="BS498" t="s">
        <v>8301</v>
      </c>
      <c r="BT498" t="str">
        <f>HYPERLINK("https%3A%2F%2Fwww.webofscience.com%2Fwos%2Fwoscc%2Ffull-record%2FWOS:000534159800025","View Full Record in Web of Science")</f>
        <v>View Full Record in Web of Science</v>
      </c>
    </row>
    <row r="499" spans="1:72" x14ac:dyDescent="0.25">
      <c r="A499" t="s">
        <v>72</v>
      </c>
      <c r="B499" t="s">
        <v>8302</v>
      </c>
      <c r="C499" t="s">
        <v>74</v>
      </c>
      <c r="D499" t="s">
        <v>74</v>
      </c>
      <c r="E499" t="s">
        <v>74</v>
      </c>
      <c r="F499" t="s">
        <v>8303</v>
      </c>
      <c r="G499" t="s">
        <v>74</v>
      </c>
      <c r="H499" t="s">
        <v>74</v>
      </c>
      <c r="I499" t="s">
        <v>8304</v>
      </c>
      <c r="J499" t="s">
        <v>128</v>
      </c>
      <c r="K499" t="s">
        <v>74</v>
      </c>
      <c r="L499" t="s">
        <v>74</v>
      </c>
      <c r="M499" t="s">
        <v>78</v>
      </c>
      <c r="N499" t="s">
        <v>79</v>
      </c>
      <c r="O499" t="s">
        <v>74</v>
      </c>
      <c r="P499" t="s">
        <v>74</v>
      </c>
      <c r="Q499" t="s">
        <v>74</v>
      </c>
      <c r="R499" t="s">
        <v>74</v>
      </c>
      <c r="S499" t="s">
        <v>74</v>
      </c>
      <c r="T499" t="s">
        <v>8305</v>
      </c>
      <c r="U499" t="s">
        <v>8306</v>
      </c>
      <c r="V499" t="s">
        <v>8307</v>
      </c>
      <c r="W499" t="s">
        <v>8308</v>
      </c>
      <c r="X499" t="s">
        <v>8309</v>
      </c>
      <c r="Y499" t="s">
        <v>7620</v>
      </c>
      <c r="Z499" t="s">
        <v>7621</v>
      </c>
      <c r="AA499" t="s">
        <v>8310</v>
      </c>
      <c r="AB499" t="s">
        <v>8311</v>
      </c>
      <c r="AC499" t="s">
        <v>74</v>
      </c>
      <c r="AD499" t="s">
        <v>74</v>
      </c>
      <c r="AE499" t="s">
        <v>74</v>
      </c>
      <c r="AF499" t="s">
        <v>74</v>
      </c>
      <c r="AG499">
        <v>30</v>
      </c>
      <c r="AH499">
        <v>10</v>
      </c>
      <c r="AI499">
        <v>10</v>
      </c>
      <c r="AJ499">
        <v>5</v>
      </c>
      <c r="AK499">
        <v>34</v>
      </c>
      <c r="AL499" t="s">
        <v>138</v>
      </c>
      <c r="AM499" t="s">
        <v>246</v>
      </c>
      <c r="AN499" t="s">
        <v>247</v>
      </c>
      <c r="AO499" t="s">
        <v>141</v>
      </c>
      <c r="AP499" t="s">
        <v>142</v>
      </c>
      <c r="AQ499" t="s">
        <v>74</v>
      </c>
      <c r="AR499" t="s">
        <v>143</v>
      </c>
      <c r="AS499" t="s">
        <v>144</v>
      </c>
      <c r="AT499" t="s">
        <v>533</v>
      </c>
      <c r="AU499">
        <v>2023</v>
      </c>
      <c r="AV499">
        <v>230</v>
      </c>
      <c r="AW499" t="s">
        <v>74</v>
      </c>
      <c r="AX499" t="s">
        <v>74</v>
      </c>
      <c r="AY499" t="s">
        <v>74</v>
      </c>
      <c r="AZ499" t="s">
        <v>74</v>
      </c>
      <c r="BA499" t="s">
        <v>74</v>
      </c>
      <c r="BB499" t="s">
        <v>74</v>
      </c>
      <c r="BC499" t="s">
        <v>74</v>
      </c>
      <c r="BD499">
        <v>108878</v>
      </c>
      <c r="BE499" t="s">
        <v>8312</v>
      </c>
      <c r="BF499" t="str">
        <f>HYPERLINK("http://dx.doi.org/10.1016/j.ress.2022.108878","http://dx.doi.org/10.1016/j.ress.2022.108878")</f>
        <v>http://dx.doi.org/10.1016/j.ress.2022.108878</v>
      </c>
      <c r="BG499" t="s">
        <v>74</v>
      </c>
      <c r="BH499" t="s">
        <v>3031</v>
      </c>
      <c r="BI499">
        <v>29</v>
      </c>
      <c r="BJ499" t="s">
        <v>148</v>
      </c>
      <c r="BK499" t="s">
        <v>149</v>
      </c>
      <c r="BL499" t="s">
        <v>150</v>
      </c>
      <c r="BM499" t="s">
        <v>8313</v>
      </c>
      <c r="BN499" t="s">
        <v>74</v>
      </c>
      <c r="BO499" t="s">
        <v>8314</v>
      </c>
      <c r="BP499" t="s">
        <v>74</v>
      </c>
      <c r="BQ499" t="s">
        <v>74</v>
      </c>
      <c r="BR499" t="s">
        <v>104</v>
      </c>
      <c r="BS499" t="s">
        <v>8315</v>
      </c>
      <c r="BT499" t="str">
        <f>HYPERLINK("https%3A%2F%2Fwww.webofscience.com%2Fwos%2Fwoscc%2Ffull-record%2FWOS:000882109500002","View Full Record in Web of Science")</f>
        <v>View Full Record in Web of Science</v>
      </c>
    </row>
    <row r="500" spans="1:72" x14ac:dyDescent="0.25">
      <c r="A500" t="s">
        <v>72</v>
      </c>
      <c r="B500" t="s">
        <v>8316</v>
      </c>
      <c r="C500" t="s">
        <v>74</v>
      </c>
      <c r="D500" t="s">
        <v>74</v>
      </c>
      <c r="E500" t="s">
        <v>74</v>
      </c>
      <c r="F500" t="s">
        <v>8317</v>
      </c>
      <c r="G500" t="s">
        <v>74</v>
      </c>
      <c r="H500" t="s">
        <v>74</v>
      </c>
      <c r="I500" t="s">
        <v>8318</v>
      </c>
      <c r="J500" t="s">
        <v>128</v>
      </c>
      <c r="K500" t="s">
        <v>74</v>
      </c>
      <c r="L500" t="s">
        <v>74</v>
      </c>
      <c r="M500" t="s">
        <v>78</v>
      </c>
      <c r="N500" t="s">
        <v>79</v>
      </c>
      <c r="O500" t="s">
        <v>74</v>
      </c>
      <c r="P500" t="s">
        <v>74</v>
      </c>
      <c r="Q500" t="s">
        <v>74</v>
      </c>
      <c r="R500" t="s">
        <v>74</v>
      </c>
      <c r="S500" t="s">
        <v>74</v>
      </c>
      <c r="T500" t="s">
        <v>8319</v>
      </c>
      <c r="U500" t="s">
        <v>8320</v>
      </c>
      <c r="V500" t="s">
        <v>8321</v>
      </c>
      <c r="W500" t="s">
        <v>8322</v>
      </c>
      <c r="X500" t="s">
        <v>8323</v>
      </c>
      <c r="Y500" t="s">
        <v>8324</v>
      </c>
      <c r="Z500" t="s">
        <v>8325</v>
      </c>
      <c r="AA500" t="s">
        <v>8326</v>
      </c>
      <c r="AB500" t="s">
        <v>8327</v>
      </c>
      <c r="AC500" t="s">
        <v>8328</v>
      </c>
      <c r="AD500" t="s">
        <v>8329</v>
      </c>
      <c r="AE500" t="s">
        <v>8330</v>
      </c>
      <c r="AF500" t="s">
        <v>74</v>
      </c>
      <c r="AG500">
        <v>44</v>
      </c>
      <c r="AH500">
        <v>23</v>
      </c>
      <c r="AI500">
        <v>23</v>
      </c>
      <c r="AJ500">
        <v>3</v>
      </c>
      <c r="AK500">
        <v>40</v>
      </c>
      <c r="AL500" t="s">
        <v>138</v>
      </c>
      <c r="AM500" t="s">
        <v>246</v>
      </c>
      <c r="AN500" t="s">
        <v>247</v>
      </c>
      <c r="AO500" t="s">
        <v>141</v>
      </c>
      <c r="AP500" t="s">
        <v>142</v>
      </c>
      <c r="AQ500" t="s">
        <v>74</v>
      </c>
      <c r="AR500" t="s">
        <v>143</v>
      </c>
      <c r="AS500" t="s">
        <v>144</v>
      </c>
      <c r="AT500" t="s">
        <v>1008</v>
      </c>
      <c r="AU500">
        <v>2022</v>
      </c>
      <c r="AV500">
        <v>217</v>
      </c>
      <c r="AW500" t="s">
        <v>74</v>
      </c>
      <c r="AX500" t="s">
        <v>74</v>
      </c>
      <c r="AY500" t="s">
        <v>74</v>
      </c>
      <c r="AZ500" t="s">
        <v>74</v>
      </c>
      <c r="BA500" t="s">
        <v>74</v>
      </c>
      <c r="BB500" t="s">
        <v>74</v>
      </c>
      <c r="BC500" t="s">
        <v>74</v>
      </c>
      <c r="BD500">
        <v>108097</v>
      </c>
      <c r="BE500" t="s">
        <v>8331</v>
      </c>
      <c r="BF500" t="str">
        <f>HYPERLINK("http://dx.doi.org/10.1016/j.ress.2021.108097","http://dx.doi.org/10.1016/j.ress.2021.108097")</f>
        <v>http://dx.doi.org/10.1016/j.ress.2021.108097</v>
      </c>
      <c r="BG500" t="s">
        <v>74</v>
      </c>
      <c r="BH500" t="s">
        <v>99</v>
      </c>
      <c r="BI500">
        <v>13</v>
      </c>
      <c r="BJ500" t="s">
        <v>148</v>
      </c>
      <c r="BK500" t="s">
        <v>149</v>
      </c>
      <c r="BL500" t="s">
        <v>150</v>
      </c>
      <c r="BM500" t="s">
        <v>4508</v>
      </c>
      <c r="BN500" t="s">
        <v>74</v>
      </c>
      <c r="BO500" t="s">
        <v>74</v>
      </c>
      <c r="BP500" t="s">
        <v>74</v>
      </c>
      <c r="BQ500" t="s">
        <v>74</v>
      </c>
      <c r="BR500" t="s">
        <v>104</v>
      </c>
      <c r="BS500" t="s">
        <v>8332</v>
      </c>
      <c r="BT500" t="str">
        <f>HYPERLINK("https%3A%2F%2Fwww.webofscience.com%2Fwos%2Fwoscc%2Ffull-record%2FWOS:000708365800022","View Full Record in Web of Science")</f>
        <v>View Full Record in Web of Science</v>
      </c>
    </row>
    <row r="501" spans="1:72" x14ac:dyDescent="0.25">
      <c r="A501" t="s">
        <v>72</v>
      </c>
      <c r="B501" t="s">
        <v>8333</v>
      </c>
      <c r="C501" t="s">
        <v>74</v>
      </c>
      <c r="D501" t="s">
        <v>74</v>
      </c>
      <c r="E501" t="s">
        <v>74</v>
      </c>
      <c r="F501" t="s">
        <v>8334</v>
      </c>
      <c r="G501" t="s">
        <v>74</v>
      </c>
      <c r="H501" t="s">
        <v>74</v>
      </c>
      <c r="I501" t="s">
        <v>8335</v>
      </c>
      <c r="J501" t="s">
        <v>128</v>
      </c>
      <c r="K501" t="s">
        <v>74</v>
      </c>
      <c r="L501" t="s">
        <v>74</v>
      </c>
      <c r="M501" t="s">
        <v>78</v>
      </c>
      <c r="N501" t="s">
        <v>79</v>
      </c>
      <c r="O501" t="s">
        <v>74</v>
      </c>
      <c r="P501" t="s">
        <v>74</v>
      </c>
      <c r="Q501" t="s">
        <v>74</v>
      </c>
      <c r="R501" t="s">
        <v>74</v>
      </c>
      <c r="S501" t="s">
        <v>74</v>
      </c>
      <c r="T501" t="s">
        <v>8336</v>
      </c>
      <c r="U501" t="s">
        <v>8337</v>
      </c>
      <c r="V501" t="s">
        <v>8338</v>
      </c>
      <c r="W501" t="s">
        <v>8339</v>
      </c>
      <c r="X501" t="s">
        <v>8340</v>
      </c>
      <c r="Y501" t="s">
        <v>6016</v>
      </c>
      <c r="Z501" t="s">
        <v>6017</v>
      </c>
      <c r="AA501" t="s">
        <v>8341</v>
      </c>
      <c r="AB501" t="s">
        <v>8342</v>
      </c>
      <c r="AC501" t="s">
        <v>8343</v>
      </c>
      <c r="AD501" t="s">
        <v>8344</v>
      </c>
      <c r="AE501" t="s">
        <v>8345</v>
      </c>
      <c r="AF501" t="s">
        <v>74</v>
      </c>
      <c r="AG501">
        <v>50</v>
      </c>
      <c r="AH501">
        <v>26</v>
      </c>
      <c r="AI501">
        <v>26</v>
      </c>
      <c r="AJ501">
        <v>3</v>
      </c>
      <c r="AK501">
        <v>40</v>
      </c>
      <c r="AL501" t="s">
        <v>138</v>
      </c>
      <c r="AM501" t="s">
        <v>246</v>
      </c>
      <c r="AN501" t="s">
        <v>247</v>
      </c>
      <c r="AO501" t="s">
        <v>141</v>
      </c>
      <c r="AP501" t="s">
        <v>142</v>
      </c>
      <c r="AQ501" t="s">
        <v>74</v>
      </c>
      <c r="AR501" t="s">
        <v>143</v>
      </c>
      <c r="AS501" t="s">
        <v>144</v>
      </c>
      <c r="AT501" t="s">
        <v>275</v>
      </c>
      <c r="AU501">
        <v>2021</v>
      </c>
      <c r="AV501">
        <v>207</v>
      </c>
      <c r="AW501" t="s">
        <v>74</v>
      </c>
      <c r="AX501" t="s">
        <v>74</v>
      </c>
      <c r="AY501" t="s">
        <v>74</v>
      </c>
      <c r="AZ501" t="s">
        <v>74</v>
      </c>
      <c r="BA501" t="s">
        <v>74</v>
      </c>
      <c r="BB501" t="s">
        <v>74</v>
      </c>
      <c r="BC501" t="s">
        <v>74</v>
      </c>
      <c r="BD501">
        <v>107335</v>
      </c>
      <c r="BE501" t="s">
        <v>8346</v>
      </c>
      <c r="BF501" t="str">
        <f>HYPERLINK("http://dx.doi.org/10.1016/j.ress.2020.107335","http://dx.doi.org/10.1016/j.ress.2020.107335")</f>
        <v>http://dx.doi.org/10.1016/j.ress.2020.107335</v>
      </c>
      <c r="BG501" t="s">
        <v>74</v>
      </c>
      <c r="BH501" t="s">
        <v>74</v>
      </c>
      <c r="BI501">
        <v>11</v>
      </c>
      <c r="BJ501" t="s">
        <v>148</v>
      </c>
      <c r="BK501" t="s">
        <v>149</v>
      </c>
      <c r="BL501" t="s">
        <v>150</v>
      </c>
      <c r="BM501" t="s">
        <v>5161</v>
      </c>
      <c r="BN501" t="s">
        <v>74</v>
      </c>
      <c r="BO501" t="s">
        <v>74</v>
      </c>
      <c r="BP501" t="s">
        <v>74</v>
      </c>
      <c r="BQ501" t="s">
        <v>74</v>
      </c>
      <c r="BR501" t="s">
        <v>104</v>
      </c>
      <c r="BS501" t="s">
        <v>8347</v>
      </c>
      <c r="BT501" t="str">
        <f>HYPERLINK("https%3A%2F%2Fwww.webofscience.com%2Fwos%2Fwoscc%2Ffull-record%2FWOS:000606682100017","View Full Record in Web of Science")</f>
        <v>View Full Record in Web of Science</v>
      </c>
    </row>
    <row r="502" spans="1:72" x14ac:dyDescent="0.25">
      <c r="A502" t="s">
        <v>72</v>
      </c>
      <c r="B502" t="s">
        <v>8348</v>
      </c>
      <c r="C502" t="s">
        <v>74</v>
      </c>
      <c r="D502" t="s">
        <v>74</v>
      </c>
      <c r="E502" t="s">
        <v>74</v>
      </c>
      <c r="F502" t="s">
        <v>8349</v>
      </c>
      <c r="G502" t="s">
        <v>74</v>
      </c>
      <c r="H502" t="s">
        <v>74</v>
      </c>
      <c r="I502" t="s">
        <v>8350</v>
      </c>
      <c r="J502" t="s">
        <v>8351</v>
      </c>
      <c r="K502" t="s">
        <v>74</v>
      </c>
      <c r="L502" t="s">
        <v>74</v>
      </c>
      <c r="M502" t="s">
        <v>78</v>
      </c>
      <c r="N502" t="s">
        <v>79</v>
      </c>
      <c r="O502" t="s">
        <v>74</v>
      </c>
      <c r="P502" t="s">
        <v>74</v>
      </c>
      <c r="Q502" t="s">
        <v>74</v>
      </c>
      <c r="R502" t="s">
        <v>74</v>
      </c>
      <c r="S502" t="s">
        <v>74</v>
      </c>
      <c r="T502" t="s">
        <v>8352</v>
      </c>
      <c r="U502" t="s">
        <v>8353</v>
      </c>
      <c r="V502" t="s">
        <v>8354</v>
      </c>
      <c r="W502" t="s">
        <v>8355</v>
      </c>
      <c r="X502" t="s">
        <v>8356</v>
      </c>
      <c r="Y502" t="s">
        <v>8357</v>
      </c>
      <c r="Z502" t="s">
        <v>8358</v>
      </c>
      <c r="AA502" t="s">
        <v>8359</v>
      </c>
      <c r="AB502" t="s">
        <v>74</v>
      </c>
      <c r="AC502" t="s">
        <v>74</v>
      </c>
      <c r="AD502" t="s">
        <v>74</v>
      </c>
      <c r="AE502" t="s">
        <v>74</v>
      </c>
      <c r="AF502" t="s">
        <v>74</v>
      </c>
      <c r="AG502">
        <v>47</v>
      </c>
      <c r="AH502">
        <v>19</v>
      </c>
      <c r="AI502">
        <v>18</v>
      </c>
      <c r="AJ502">
        <v>9</v>
      </c>
      <c r="AK502">
        <v>29</v>
      </c>
      <c r="AL502" t="s">
        <v>509</v>
      </c>
      <c r="AM502" t="s">
        <v>510</v>
      </c>
      <c r="AN502" t="s">
        <v>511</v>
      </c>
      <c r="AO502" t="s">
        <v>8360</v>
      </c>
      <c r="AP502" t="s">
        <v>8361</v>
      </c>
      <c r="AQ502" t="s">
        <v>74</v>
      </c>
      <c r="AR502" t="s">
        <v>8362</v>
      </c>
      <c r="AS502" t="s">
        <v>8363</v>
      </c>
      <c r="AT502" t="s">
        <v>559</v>
      </c>
      <c r="AU502">
        <v>2022</v>
      </c>
      <c r="AV502">
        <v>150</v>
      </c>
      <c r="AW502" t="s">
        <v>74</v>
      </c>
      <c r="AX502" t="s">
        <v>74</v>
      </c>
      <c r="AY502" t="s">
        <v>74</v>
      </c>
      <c r="AZ502" t="s">
        <v>74</v>
      </c>
      <c r="BA502" t="s">
        <v>74</v>
      </c>
      <c r="BB502" t="s">
        <v>74</v>
      </c>
      <c r="BC502" t="s">
        <v>74</v>
      </c>
      <c r="BD502">
        <v>105711</v>
      </c>
      <c r="BE502" t="s">
        <v>8364</v>
      </c>
      <c r="BF502" t="str">
        <f>HYPERLINK("http://dx.doi.org/10.1016/j.ssci.2022.105711","http://dx.doi.org/10.1016/j.ssci.2022.105711")</f>
        <v>http://dx.doi.org/10.1016/j.ssci.2022.105711</v>
      </c>
      <c r="BG502" t="s">
        <v>74</v>
      </c>
      <c r="BH502" t="s">
        <v>1971</v>
      </c>
      <c r="BI502">
        <v>15</v>
      </c>
      <c r="BJ502" t="s">
        <v>148</v>
      </c>
      <c r="BK502" t="s">
        <v>149</v>
      </c>
      <c r="BL502" t="s">
        <v>150</v>
      </c>
      <c r="BM502" t="s">
        <v>8365</v>
      </c>
      <c r="BN502" t="s">
        <v>74</v>
      </c>
      <c r="BO502" t="s">
        <v>74</v>
      </c>
      <c r="BP502" t="s">
        <v>74</v>
      </c>
      <c r="BQ502" t="s">
        <v>74</v>
      </c>
      <c r="BR502" t="s">
        <v>104</v>
      </c>
      <c r="BS502" t="s">
        <v>8366</v>
      </c>
      <c r="BT502" t="str">
        <f>HYPERLINK("https%3A%2F%2Fwww.webofscience.com%2Fwos%2Fwoscc%2Ffull-record%2FWOS:000791324600005","View Full Record in Web of Science")</f>
        <v>View Full Record in Web of Science</v>
      </c>
    </row>
    <row r="503" spans="1:72" x14ac:dyDescent="0.25">
      <c r="A503" t="s">
        <v>72</v>
      </c>
      <c r="B503" t="s">
        <v>8367</v>
      </c>
      <c r="C503" t="s">
        <v>74</v>
      </c>
      <c r="D503" t="s">
        <v>74</v>
      </c>
      <c r="E503" t="s">
        <v>74</v>
      </c>
      <c r="F503" t="s">
        <v>8368</v>
      </c>
      <c r="G503" t="s">
        <v>74</v>
      </c>
      <c r="H503" t="s">
        <v>74</v>
      </c>
      <c r="I503" t="s">
        <v>8369</v>
      </c>
      <c r="J503" t="s">
        <v>128</v>
      </c>
      <c r="K503" t="s">
        <v>74</v>
      </c>
      <c r="L503" t="s">
        <v>74</v>
      </c>
      <c r="M503" t="s">
        <v>78</v>
      </c>
      <c r="N503" t="s">
        <v>79</v>
      </c>
      <c r="O503" t="s">
        <v>74</v>
      </c>
      <c r="P503" t="s">
        <v>74</v>
      </c>
      <c r="Q503" t="s">
        <v>74</v>
      </c>
      <c r="R503" t="s">
        <v>74</v>
      </c>
      <c r="S503" t="s">
        <v>74</v>
      </c>
      <c r="T503" t="s">
        <v>8370</v>
      </c>
      <c r="U503" t="s">
        <v>8371</v>
      </c>
      <c r="V503" t="s">
        <v>8372</v>
      </c>
      <c r="W503" t="s">
        <v>8373</v>
      </c>
      <c r="X503" t="s">
        <v>8374</v>
      </c>
      <c r="Y503" t="s">
        <v>8375</v>
      </c>
      <c r="Z503" t="s">
        <v>8376</v>
      </c>
      <c r="AA503" t="s">
        <v>8377</v>
      </c>
      <c r="AB503" t="s">
        <v>8378</v>
      </c>
      <c r="AC503" t="s">
        <v>8379</v>
      </c>
      <c r="AD503" t="s">
        <v>8380</v>
      </c>
      <c r="AE503" t="s">
        <v>8381</v>
      </c>
      <c r="AF503" t="s">
        <v>74</v>
      </c>
      <c r="AG503">
        <v>34</v>
      </c>
      <c r="AH503">
        <v>37</v>
      </c>
      <c r="AI503">
        <v>39</v>
      </c>
      <c r="AJ503">
        <v>8</v>
      </c>
      <c r="AK503">
        <v>51</v>
      </c>
      <c r="AL503" t="s">
        <v>138</v>
      </c>
      <c r="AM503" t="s">
        <v>246</v>
      </c>
      <c r="AN503" t="s">
        <v>247</v>
      </c>
      <c r="AO503" t="s">
        <v>141</v>
      </c>
      <c r="AP503" t="s">
        <v>142</v>
      </c>
      <c r="AQ503" t="s">
        <v>74</v>
      </c>
      <c r="AR503" t="s">
        <v>143</v>
      </c>
      <c r="AS503" t="s">
        <v>144</v>
      </c>
      <c r="AT503" t="s">
        <v>1008</v>
      </c>
      <c r="AU503">
        <v>2021</v>
      </c>
      <c r="AV503">
        <v>205</v>
      </c>
      <c r="AW503" t="s">
        <v>74</v>
      </c>
      <c r="AX503" t="s">
        <v>74</v>
      </c>
      <c r="AY503" t="s">
        <v>74</v>
      </c>
      <c r="AZ503" t="s">
        <v>74</v>
      </c>
      <c r="BA503" t="s">
        <v>74</v>
      </c>
      <c r="BB503" t="s">
        <v>74</v>
      </c>
      <c r="BC503" t="s">
        <v>74</v>
      </c>
      <c r="BD503">
        <v>107240</v>
      </c>
      <c r="BE503" t="s">
        <v>8382</v>
      </c>
      <c r="BF503" t="str">
        <f>HYPERLINK("http://dx.doi.org/10.1016/j.ress.2020.107240","http://dx.doi.org/10.1016/j.ress.2020.107240")</f>
        <v>http://dx.doi.org/10.1016/j.ress.2020.107240</v>
      </c>
      <c r="BG503" t="s">
        <v>74</v>
      </c>
      <c r="BH503" t="s">
        <v>74</v>
      </c>
      <c r="BI503">
        <v>11</v>
      </c>
      <c r="BJ503" t="s">
        <v>148</v>
      </c>
      <c r="BK503" t="s">
        <v>149</v>
      </c>
      <c r="BL503" t="s">
        <v>150</v>
      </c>
      <c r="BM503" t="s">
        <v>2589</v>
      </c>
      <c r="BN503" t="s">
        <v>74</v>
      </c>
      <c r="BO503" t="s">
        <v>74</v>
      </c>
      <c r="BP503" t="s">
        <v>74</v>
      </c>
      <c r="BQ503" t="s">
        <v>74</v>
      </c>
      <c r="BR503" t="s">
        <v>104</v>
      </c>
      <c r="BS503" t="s">
        <v>8383</v>
      </c>
      <c r="BT503" t="str">
        <f>HYPERLINK("https%3A%2F%2Fwww.webofscience.com%2Fwos%2Fwoscc%2Ffull-record%2FWOS:000589091300025","View Full Record in Web of Science")</f>
        <v>View Full Record in Web of Science</v>
      </c>
    </row>
    <row r="504" spans="1:72" x14ac:dyDescent="0.25">
      <c r="A504" t="s">
        <v>72</v>
      </c>
      <c r="B504" t="s">
        <v>8384</v>
      </c>
      <c r="C504" t="s">
        <v>74</v>
      </c>
      <c r="D504" t="s">
        <v>74</v>
      </c>
      <c r="E504" t="s">
        <v>74</v>
      </c>
      <c r="F504" t="s">
        <v>8385</v>
      </c>
      <c r="G504" t="s">
        <v>74</v>
      </c>
      <c r="H504" t="s">
        <v>74</v>
      </c>
      <c r="I504" t="s">
        <v>8386</v>
      </c>
      <c r="J504" t="s">
        <v>128</v>
      </c>
      <c r="K504" t="s">
        <v>74</v>
      </c>
      <c r="L504" t="s">
        <v>74</v>
      </c>
      <c r="M504" t="s">
        <v>78</v>
      </c>
      <c r="N504" t="s">
        <v>79</v>
      </c>
      <c r="O504" t="s">
        <v>74</v>
      </c>
      <c r="P504" t="s">
        <v>74</v>
      </c>
      <c r="Q504" t="s">
        <v>74</v>
      </c>
      <c r="R504" t="s">
        <v>74</v>
      </c>
      <c r="S504" t="s">
        <v>74</v>
      </c>
      <c r="T504" t="s">
        <v>8387</v>
      </c>
      <c r="U504" t="s">
        <v>8388</v>
      </c>
      <c r="V504" t="s">
        <v>8389</v>
      </c>
      <c r="W504" t="s">
        <v>8390</v>
      </c>
      <c r="X504" t="s">
        <v>8391</v>
      </c>
      <c r="Y504" t="s">
        <v>4565</v>
      </c>
      <c r="Z504" t="s">
        <v>4519</v>
      </c>
      <c r="AA504" t="s">
        <v>74</v>
      </c>
      <c r="AB504" t="s">
        <v>4521</v>
      </c>
      <c r="AC504" t="s">
        <v>8392</v>
      </c>
      <c r="AD504" t="s">
        <v>8393</v>
      </c>
      <c r="AE504" t="s">
        <v>8394</v>
      </c>
      <c r="AF504" t="s">
        <v>74</v>
      </c>
      <c r="AG504">
        <v>40</v>
      </c>
      <c r="AH504">
        <v>8</v>
      </c>
      <c r="AI504">
        <v>8</v>
      </c>
      <c r="AJ504">
        <v>6</v>
      </c>
      <c r="AK504">
        <v>31</v>
      </c>
      <c r="AL504" t="s">
        <v>138</v>
      </c>
      <c r="AM504" t="s">
        <v>139</v>
      </c>
      <c r="AN504" t="s">
        <v>140</v>
      </c>
      <c r="AO504" t="s">
        <v>141</v>
      </c>
      <c r="AP504" t="s">
        <v>142</v>
      </c>
      <c r="AQ504" t="s">
        <v>74</v>
      </c>
      <c r="AR504" t="s">
        <v>143</v>
      </c>
      <c r="AS504" t="s">
        <v>144</v>
      </c>
      <c r="AT504" t="s">
        <v>491</v>
      </c>
      <c r="AU504">
        <v>2023</v>
      </c>
      <c r="AV504">
        <v>239</v>
      </c>
      <c r="AW504" t="s">
        <v>74</v>
      </c>
      <c r="AX504" t="s">
        <v>74</v>
      </c>
      <c r="AY504" t="s">
        <v>74</v>
      </c>
      <c r="AZ504" t="s">
        <v>74</v>
      </c>
      <c r="BA504" t="s">
        <v>74</v>
      </c>
      <c r="BB504" t="s">
        <v>74</v>
      </c>
      <c r="BC504" t="s">
        <v>74</v>
      </c>
      <c r="BD504">
        <v>109507</v>
      </c>
      <c r="BE504" t="s">
        <v>8395</v>
      </c>
      <c r="BF504" t="str">
        <f>HYPERLINK("http://dx.doi.org/10.1016/j.ress.2023.109507","http://dx.doi.org/10.1016/j.ress.2023.109507")</f>
        <v>http://dx.doi.org/10.1016/j.ress.2023.109507</v>
      </c>
      <c r="BG504" t="s">
        <v>74</v>
      </c>
      <c r="BH504" t="s">
        <v>1155</v>
      </c>
      <c r="BI504">
        <v>8</v>
      </c>
      <c r="BJ504" t="s">
        <v>148</v>
      </c>
      <c r="BK504" t="s">
        <v>149</v>
      </c>
      <c r="BL504" t="s">
        <v>150</v>
      </c>
      <c r="BM504" t="s">
        <v>8396</v>
      </c>
      <c r="BN504" t="s">
        <v>74</v>
      </c>
      <c r="BO504" t="s">
        <v>74</v>
      </c>
      <c r="BP504" t="s">
        <v>74</v>
      </c>
      <c r="BQ504" t="s">
        <v>74</v>
      </c>
      <c r="BR504" t="s">
        <v>104</v>
      </c>
      <c r="BS504" t="s">
        <v>8397</v>
      </c>
      <c r="BT504" t="str">
        <f>HYPERLINK("https%3A%2F%2Fwww.webofscience.com%2Fwos%2Fwoscc%2Ffull-record%2FWOS:001046717100001","View Full Record in Web of Science")</f>
        <v>View Full Record in Web of Science</v>
      </c>
    </row>
    <row r="505" spans="1:72" x14ac:dyDescent="0.25">
      <c r="A505" t="s">
        <v>72</v>
      </c>
      <c r="B505" t="s">
        <v>8398</v>
      </c>
      <c r="C505" t="s">
        <v>74</v>
      </c>
      <c r="D505" t="s">
        <v>74</v>
      </c>
      <c r="E505" t="s">
        <v>74</v>
      </c>
      <c r="F505" t="s">
        <v>8399</v>
      </c>
      <c r="G505" t="s">
        <v>74</v>
      </c>
      <c r="H505" t="s">
        <v>74</v>
      </c>
      <c r="I505" t="s">
        <v>8400</v>
      </c>
      <c r="J505" t="s">
        <v>1402</v>
      </c>
      <c r="K505" t="s">
        <v>74</v>
      </c>
      <c r="L505" t="s">
        <v>74</v>
      </c>
      <c r="M505" t="s">
        <v>78</v>
      </c>
      <c r="N505" t="s">
        <v>79</v>
      </c>
      <c r="O505" t="s">
        <v>74</v>
      </c>
      <c r="P505" t="s">
        <v>74</v>
      </c>
      <c r="Q505" t="s">
        <v>74</v>
      </c>
      <c r="R505" t="s">
        <v>74</v>
      </c>
      <c r="S505" t="s">
        <v>74</v>
      </c>
      <c r="T505" t="s">
        <v>8401</v>
      </c>
      <c r="U505" t="s">
        <v>8402</v>
      </c>
      <c r="V505" t="s">
        <v>8403</v>
      </c>
      <c r="W505" t="s">
        <v>8404</v>
      </c>
      <c r="X505" t="s">
        <v>8405</v>
      </c>
      <c r="Y505" t="s">
        <v>8406</v>
      </c>
      <c r="Z505" t="s">
        <v>8407</v>
      </c>
      <c r="AA505" t="s">
        <v>8408</v>
      </c>
      <c r="AB505" t="s">
        <v>3795</v>
      </c>
      <c r="AC505" t="s">
        <v>8409</v>
      </c>
      <c r="AD505" t="s">
        <v>8410</v>
      </c>
      <c r="AE505" t="s">
        <v>8411</v>
      </c>
      <c r="AF505" t="s">
        <v>74</v>
      </c>
      <c r="AG505">
        <v>31</v>
      </c>
      <c r="AH505">
        <v>13</v>
      </c>
      <c r="AI505">
        <v>13</v>
      </c>
      <c r="AJ505">
        <v>6</v>
      </c>
      <c r="AK505">
        <v>73</v>
      </c>
      <c r="AL505" t="s">
        <v>1415</v>
      </c>
      <c r="AM505" t="s">
        <v>1416</v>
      </c>
      <c r="AN505" t="s">
        <v>1417</v>
      </c>
      <c r="AO505" t="s">
        <v>1418</v>
      </c>
      <c r="AP505" t="s">
        <v>1419</v>
      </c>
      <c r="AQ505" t="s">
        <v>74</v>
      </c>
      <c r="AR505" t="s">
        <v>1420</v>
      </c>
      <c r="AS505" t="s">
        <v>1421</v>
      </c>
      <c r="AT505" t="s">
        <v>1649</v>
      </c>
      <c r="AU505">
        <v>2020</v>
      </c>
      <c r="AV505">
        <v>52</v>
      </c>
      <c r="AW505">
        <v>1</v>
      </c>
      <c r="AX505" t="s">
        <v>74</v>
      </c>
      <c r="AY505" t="s">
        <v>74</v>
      </c>
      <c r="AZ505" t="s">
        <v>74</v>
      </c>
      <c r="BA505" t="s">
        <v>74</v>
      </c>
      <c r="BB505">
        <v>75</v>
      </c>
      <c r="BC505">
        <v>90</v>
      </c>
      <c r="BD505" t="s">
        <v>74</v>
      </c>
      <c r="BE505" t="s">
        <v>8412</v>
      </c>
      <c r="BF505" t="str">
        <f>HYPERLINK("http://dx.doi.org/10.1080/24725854.2018.1560751","http://dx.doi.org/10.1080/24725854.2018.1560751")</f>
        <v>http://dx.doi.org/10.1080/24725854.2018.1560751</v>
      </c>
      <c r="BG505" t="s">
        <v>74</v>
      </c>
      <c r="BH505" t="s">
        <v>74</v>
      </c>
      <c r="BI505">
        <v>16</v>
      </c>
      <c r="BJ505" t="s">
        <v>148</v>
      </c>
      <c r="BK505" t="s">
        <v>149</v>
      </c>
      <c r="BL505" t="s">
        <v>150</v>
      </c>
      <c r="BM505" t="s">
        <v>8413</v>
      </c>
      <c r="BN505" t="s">
        <v>74</v>
      </c>
      <c r="BO505" t="s">
        <v>74</v>
      </c>
      <c r="BP505" t="s">
        <v>74</v>
      </c>
      <c r="BQ505" t="s">
        <v>74</v>
      </c>
      <c r="BR505" t="s">
        <v>104</v>
      </c>
      <c r="BS505" t="s">
        <v>8414</v>
      </c>
      <c r="BT505" t="str">
        <f>HYPERLINK("https%3A%2F%2Fwww.webofscience.com%2Fwos%2Fwoscc%2Ffull-record%2FWOS:000491352800005","View Full Record in Web of Science")</f>
        <v>View Full Record in Web of Science</v>
      </c>
    </row>
    <row r="506" spans="1:72" x14ac:dyDescent="0.25">
      <c r="A506" t="s">
        <v>72</v>
      </c>
      <c r="B506" t="s">
        <v>8415</v>
      </c>
      <c r="C506" t="s">
        <v>74</v>
      </c>
      <c r="D506" t="s">
        <v>74</v>
      </c>
      <c r="E506" t="s">
        <v>74</v>
      </c>
      <c r="F506" t="s">
        <v>8416</v>
      </c>
      <c r="G506" t="s">
        <v>74</v>
      </c>
      <c r="H506" t="s">
        <v>74</v>
      </c>
      <c r="I506" t="s">
        <v>8417</v>
      </c>
      <c r="J506" t="s">
        <v>128</v>
      </c>
      <c r="K506" t="s">
        <v>74</v>
      </c>
      <c r="L506" t="s">
        <v>74</v>
      </c>
      <c r="M506" t="s">
        <v>78</v>
      </c>
      <c r="N506" t="s">
        <v>79</v>
      </c>
      <c r="O506" t="s">
        <v>74</v>
      </c>
      <c r="P506" t="s">
        <v>74</v>
      </c>
      <c r="Q506" t="s">
        <v>74</v>
      </c>
      <c r="R506" t="s">
        <v>74</v>
      </c>
      <c r="S506" t="s">
        <v>74</v>
      </c>
      <c r="T506" t="s">
        <v>8418</v>
      </c>
      <c r="U506" t="s">
        <v>8419</v>
      </c>
      <c r="V506" t="s">
        <v>8420</v>
      </c>
      <c r="W506" t="s">
        <v>8421</v>
      </c>
      <c r="X506" t="s">
        <v>8422</v>
      </c>
      <c r="Y506" t="s">
        <v>2935</v>
      </c>
      <c r="Z506" t="s">
        <v>2083</v>
      </c>
      <c r="AA506" t="s">
        <v>8423</v>
      </c>
      <c r="AB506" t="s">
        <v>8424</v>
      </c>
      <c r="AC506" t="s">
        <v>8425</v>
      </c>
      <c r="AD506" t="s">
        <v>8426</v>
      </c>
      <c r="AE506" t="s">
        <v>8427</v>
      </c>
      <c r="AF506" t="s">
        <v>74</v>
      </c>
      <c r="AG506">
        <v>56</v>
      </c>
      <c r="AH506">
        <v>0</v>
      </c>
      <c r="AI506">
        <v>0</v>
      </c>
      <c r="AJ506">
        <v>10</v>
      </c>
      <c r="AK506">
        <v>13</v>
      </c>
      <c r="AL506" t="s">
        <v>138</v>
      </c>
      <c r="AM506" t="s">
        <v>139</v>
      </c>
      <c r="AN506" t="s">
        <v>140</v>
      </c>
      <c r="AO506" t="s">
        <v>141</v>
      </c>
      <c r="AP506" t="s">
        <v>142</v>
      </c>
      <c r="AQ506" t="s">
        <v>74</v>
      </c>
      <c r="AR506" t="s">
        <v>143</v>
      </c>
      <c r="AS506" t="s">
        <v>144</v>
      </c>
      <c r="AT506" t="s">
        <v>145</v>
      </c>
      <c r="AU506">
        <v>2024</v>
      </c>
      <c r="AV506">
        <v>252</v>
      </c>
      <c r="AW506" t="s">
        <v>74</v>
      </c>
      <c r="AX506" t="s">
        <v>74</v>
      </c>
      <c r="AY506" t="s">
        <v>74</v>
      </c>
      <c r="AZ506" t="s">
        <v>74</v>
      </c>
      <c r="BA506" t="s">
        <v>74</v>
      </c>
      <c r="BB506" t="s">
        <v>74</v>
      </c>
      <c r="BC506" t="s">
        <v>74</v>
      </c>
      <c r="BD506">
        <v>110420</v>
      </c>
      <c r="BE506" t="s">
        <v>8428</v>
      </c>
      <c r="BF506" t="str">
        <f>HYPERLINK("http://dx.doi.org/10.1016/j.ress.2024.110420","http://dx.doi.org/10.1016/j.ress.2024.110420")</f>
        <v>http://dx.doi.org/10.1016/j.ress.2024.110420</v>
      </c>
      <c r="BG506" t="s">
        <v>74</v>
      </c>
      <c r="BH506" t="s">
        <v>989</v>
      </c>
      <c r="BI506">
        <v>13</v>
      </c>
      <c r="BJ506" t="s">
        <v>148</v>
      </c>
      <c r="BK506" t="s">
        <v>149</v>
      </c>
      <c r="BL506" t="s">
        <v>150</v>
      </c>
      <c r="BM506" t="s">
        <v>8429</v>
      </c>
      <c r="BN506" t="s">
        <v>74</v>
      </c>
      <c r="BO506" t="s">
        <v>74</v>
      </c>
      <c r="BP506" t="s">
        <v>74</v>
      </c>
      <c r="BQ506" t="s">
        <v>74</v>
      </c>
      <c r="BR506" t="s">
        <v>104</v>
      </c>
      <c r="BS506" t="s">
        <v>8430</v>
      </c>
      <c r="BT506" t="str">
        <f>HYPERLINK("https%3A%2F%2Fwww.webofscience.com%2Fwos%2Fwoscc%2Ffull-record%2FWOS:001301271000001","View Full Record in Web of Science")</f>
        <v>View Full Record in Web of Science</v>
      </c>
    </row>
    <row r="507" spans="1:72" x14ac:dyDescent="0.25">
      <c r="A507" t="s">
        <v>72</v>
      </c>
      <c r="B507" t="s">
        <v>8431</v>
      </c>
      <c r="C507" t="s">
        <v>74</v>
      </c>
      <c r="D507" t="s">
        <v>74</v>
      </c>
      <c r="E507" t="s">
        <v>74</v>
      </c>
      <c r="F507" t="s">
        <v>8432</v>
      </c>
      <c r="G507" t="s">
        <v>74</v>
      </c>
      <c r="H507" t="s">
        <v>74</v>
      </c>
      <c r="I507" t="s">
        <v>8433</v>
      </c>
      <c r="J507" t="s">
        <v>8434</v>
      </c>
      <c r="K507" t="s">
        <v>74</v>
      </c>
      <c r="L507" t="s">
        <v>74</v>
      </c>
      <c r="M507" t="s">
        <v>78</v>
      </c>
      <c r="N507" t="s">
        <v>79</v>
      </c>
      <c r="O507" t="s">
        <v>74</v>
      </c>
      <c r="P507" t="s">
        <v>74</v>
      </c>
      <c r="Q507" t="s">
        <v>74</v>
      </c>
      <c r="R507" t="s">
        <v>74</v>
      </c>
      <c r="S507" t="s">
        <v>74</v>
      </c>
      <c r="T507" t="s">
        <v>8435</v>
      </c>
      <c r="U507" t="s">
        <v>8436</v>
      </c>
      <c r="V507" t="s">
        <v>8437</v>
      </c>
      <c r="W507" t="s">
        <v>8438</v>
      </c>
      <c r="X507" t="s">
        <v>8439</v>
      </c>
      <c r="Y507" t="s">
        <v>8440</v>
      </c>
      <c r="Z507" t="s">
        <v>8441</v>
      </c>
      <c r="AA507" t="s">
        <v>8442</v>
      </c>
      <c r="AB507" t="s">
        <v>8443</v>
      </c>
      <c r="AC507" t="s">
        <v>74</v>
      </c>
      <c r="AD507" t="s">
        <v>74</v>
      </c>
      <c r="AE507" t="s">
        <v>74</v>
      </c>
      <c r="AF507" t="s">
        <v>74</v>
      </c>
      <c r="AG507">
        <v>90</v>
      </c>
      <c r="AH507">
        <v>0</v>
      </c>
      <c r="AI507">
        <v>0</v>
      </c>
      <c r="AJ507">
        <v>2</v>
      </c>
      <c r="AK507">
        <v>2</v>
      </c>
      <c r="AL507" t="s">
        <v>8444</v>
      </c>
      <c r="AM507" t="s">
        <v>6513</v>
      </c>
      <c r="AN507" t="s">
        <v>8445</v>
      </c>
      <c r="AO507" t="s">
        <v>74</v>
      </c>
      <c r="AP507" t="s">
        <v>8446</v>
      </c>
      <c r="AQ507" t="s">
        <v>74</v>
      </c>
      <c r="AR507" t="s">
        <v>8447</v>
      </c>
      <c r="AS507" t="s">
        <v>8448</v>
      </c>
      <c r="AT507" t="s">
        <v>74</v>
      </c>
      <c r="AU507">
        <v>2024</v>
      </c>
      <c r="AV507">
        <v>5</v>
      </c>
      <c r="AW507" t="s">
        <v>74</v>
      </c>
      <c r="AX507" t="s">
        <v>74</v>
      </c>
      <c r="AY507" t="s">
        <v>74</v>
      </c>
      <c r="AZ507" t="s">
        <v>74</v>
      </c>
      <c r="BA507" t="s">
        <v>74</v>
      </c>
      <c r="BB507" t="s">
        <v>74</v>
      </c>
      <c r="BC507" t="s">
        <v>74</v>
      </c>
      <c r="BD507" t="s">
        <v>8449</v>
      </c>
      <c r="BE507" t="s">
        <v>8450</v>
      </c>
      <c r="BF507" t="str">
        <f>HYPERLINK("http://dx.doi.org/10.1017/dce.2024.24","http://dx.doi.org/10.1017/dce.2024.24")</f>
        <v>http://dx.doi.org/10.1017/dce.2024.24</v>
      </c>
      <c r="BG507" t="s">
        <v>74</v>
      </c>
      <c r="BH507" t="s">
        <v>74</v>
      </c>
      <c r="BI507">
        <v>15</v>
      </c>
      <c r="BJ507" t="s">
        <v>8451</v>
      </c>
      <c r="BK507" t="s">
        <v>101</v>
      </c>
      <c r="BL507" t="s">
        <v>716</v>
      </c>
      <c r="BM507" t="s">
        <v>8452</v>
      </c>
      <c r="BN507" t="s">
        <v>74</v>
      </c>
      <c r="BO507" t="s">
        <v>278</v>
      </c>
      <c r="BP507" t="s">
        <v>74</v>
      </c>
      <c r="BQ507" t="s">
        <v>74</v>
      </c>
      <c r="BR507" t="s">
        <v>104</v>
      </c>
      <c r="BS507" t="s">
        <v>8453</v>
      </c>
      <c r="BT507" t="str">
        <f>HYPERLINK("https%3A%2F%2Fwww.webofscience.com%2Fwos%2Fwoscc%2Ffull-record%2FWOS:001355328400002","View Full Record in Web of Science")</f>
        <v>View Full Record in Web of Science</v>
      </c>
    </row>
    <row r="508" spans="1:72" x14ac:dyDescent="0.25">
      <c r="A508" t="s">
        <v>72</v>
      </c>
      <c r="B508" t="s">
        <v>8454</v>
      </c>
      <c r="C508" t="s">
        <v>74</v>
      </c>
      <c r="D508" t="s">
        <v>74</v>
      </c>
      <c r="E508" t="s">
        <v>74</v>
      </c>
      <c r="F508" t="s">
        <v>8455</v>
      </c>
      <c r="G508" t="s">
        <v>74</v>
      </c>
      <c r="H508" t="s">
        <v>74</v>
      </c>
      <c r="I508" t="s">
        <v>8456</v>
      </c>
      <c r="J508" t="s">
        <v>472</v>
      </c>
      <c r="K508" t="s">
        <v>74</v>
      </c>
      <c r="L508" t="s">
        <v>74</v>
      </c>
      <c r="M508" t="s">
        <v>78</v>
      </c>
      <c r="N508" t="s">
        <v>79</v>
      </c>
      <c r="O508" t="s">
        <v>74</v>
      </c>
      <c r="P508" t="s">
        <v>74</v>
      </c>
      <c r="Q508" t="s">
        <v>74</v>
      </c>
      <c r="R508" t="s">
        <v>74</v>
      </c>
      <c r="S508" t="s">
        <v>74</v>
      </c>
      <c r="T508" t="s">
        <v>8457</v>
      </c>
      <c r="U508" t="s">
        <v>8458</v>
      </c>
      <c r="V508" t="s">
        <v>8459</v>
      </c>
      <c r="W508" t="s">
        <v>8460</v>
      </c>
      <c r="X508" t="s">
        <v>8461</v>
      </c>
      <c r="Y508" t="s">
        <v>8462</v>
      </c>
      <c r="Z508" t="s">
        <v>3058</v>
      </c>
      <c r="AA508" t="s">
        <v>3149</v>
      </c>
      <c r="AB508" t="s">
        <v>8463</v>
      </c>
      <c r="AC508" t="s">
        <v>8464</v>
      </c>
      <c r="AD508" t="s">
        <v>8465</v>
      </c>
      <c r="AE508" t="s">
        <v>8466</v>
      </c>
      <c r="AF508" t="s">
        <v>74</v>
      </c>
      <c r="AG508">
        <v>38</v>
      </c>
      <c r="AH508">
        <v>15</v>
      </c>
      <c r="AI508">
        <v>17</v>
      </c>
      <c r="AJ508">
        <v>4</v>
      </c>
      <c r="AK508">
        <v>31</v>
      </c>
      <c r="AL508" t="s">
        <v>484</v>
      </c>
      <c r="AM508" t="s">
        <v>485</v>
      </c>
      <c r="AN508" t="s">
        <v>486</v>
      </c>
      <c r="AO508" t="s">
        <v>487</v>
      </c>
      <c r="AP508" t="s">
        <v>488</v>
      </c>
      <c r="AQ508" t="s">
        <v>74</v>
      </c>
      <c r="AR508" t="s">
        <v>489</v>
      </c>
      <c r="AS508" t="s">
        <v>490</v>
      </c>
      <c r="AT508" t="s">
        <v>491</v>
      </c>
      <c r="AU508">
        <v>2020</v>
      </c>
      <c r="AV508">
        <v>36</v>
      </c>
      <c r="AW508">
        <v>7</v>
      </c>
      <c r="AX508" t="s">
        <v>74</v>
      </c>
      <c r="AY508" t="s">
        <v>74</v>
      </c>
      <c r="AZ508" t="s">
        <v>74</v>
      </c>
      <c r="BA508" t="s">
        <v>74</v>
      </c>
      <c r="BB508">
        <v>2338</v>
      </c>
      <c r="BC508">
        <v>2350</v>
      </c>
      <c r="BD508" t="s">
        <v>74</v>
      </c>
      <c r="BE508" t="s">
        <v>8467</v>
      </c>
      <c r="BF508" t="str">
        <f>HYPERLINK("http://dx.doi.org/10.1002/qre.2700","http://dx.doi.org/10.1002/qre.2700")</f>
        <v>http://dx.doi.org/10.1002/qre.2700</v>
      </c>
      <c r="BG508" t="s">
        <v>74</v>
      </c>
      <c r="BH508" t="s">
        <v>7318</v>
      </c>
      <c r="BI508">
        <v>13</v>
      </c>
      <c r="BJ508" t="s">
        <v>494</v>
      </c>
      <c r="BK508" t="s">
        <v>149</v>
      </c>
      <c r="BL508" t="s">
        <v>150</v>
      </c>
      <c r="BM508" t="s">
        <v>8468</v>
      </c>
      <c r="BN508" t="s">
        <v>74</v>
      </c>
      <c r="BO508" t="s">
        <v>74</v>
      </c>
      <c r="BP508" t="s">
        <v>74</v>
      </c>
      <c r="BQ508" t="s">
        <v>74</v>
      </c>
      <c r="BR508" t="s">
        <v>104</v>
      </c>
      <c r="BS508" t="s">
        <v>8469</v>
      </c>
      <c r="BT508" t="str">
        <f>HYPERLINK("https%3A%2F%2Fwww.webofscience.com%2Fwos%2Fwoscc%2Ffull-record%2FWOS:000544625200001","View Full Record in Web of Science")</f>
        <v>View Full Record in Web of Science</v>
      </c>
    </row>
    <row r="509" spans="1:72" x14ac:dyDescent="0.25">
      <c r="A509" t="s">
        <v>72</v>
      </c>
      <c r="B509" t="s">
        <v>8470</v>
      </c>
      <c r="C509" t="s">
        <v>74</v>
      </c>
      <c r="D509" t="s">
        <v>74</v>
      </c>
      <c r="E509" t="s">
        <v>74</v>
      </c>
      <c r="F509" t="s">
        <v>8471</v>
      </c>
      <c r="G509" t="s">
        <v>74</v>
      </c>
      <c r="H509" t="s">
        <v>74</v>
      </c>
      <c r="I509" t="s">
        <v>8472</v>
      </c>
      <c r="J509" t="s">
        <v>128</v>
      </c>
      <c r="K509" t="s">
        <v>74</v>
      </c>
      <c r="L509" t="s">
        <v>74</v>
      </c>
      <c r="M509" t="s">
        <v>78</v>
      </c>
      <c r="N509" t="s">
        <v>79</v>
      </c>
      <c r="O509" t="s">
        <v>74</v>
      </c>
      <c r="P509" t="s">
        <v>74</v>
      </c>
      <c r="Q509" t="s">
        <v>74</v>
      </c>
      <c r="R509" t="s">
        <v>74</v>
      </c>
      <c r="S509" t="s">
        <v>74</v>
      </c>
      <c r="T509" t="s">
        <v>8473</v>
      </c>
      <c r="U509" t="s">
        <v>8474</v>
      </c>
      <c r="V509" t="s">
        <v>8475</v>
      </c>
      <c r="W509" t="s">
        <v>8476</v>
      </c>
      <c r="X509" t="s">
        <v>8477</v>
      </c>
      <c r="Y509" t="s">
        <v>8478</v>
      </c>
      <c r="Z509" t="s">
        <v>8479</v>
      </c>
      <c r="AA509" t="s">
        <v>8480</v>
      </c>
      <c r="AB509" t="s">
        <v>74</v>
      </c>
      <c r="AC509" t="s">
        <v>8481</v>
      </c>
      <c r="AD509" t="s">
        <v>8482</v>
      </c>
      <c r="AE509" t="s">
        <v>8483</v>
      </c>
      <c r="AF509" t="s">
        <v>74</v>
      </c>
      <c r="AG509">
        <v>45</v>
      </c>
      <c r="AH509">
        <v>14</v>
      </c>
      <c r="AI509">
        <v>14</v>
      </c>
      <c r="AJ509">
        <v>3</v>
      </c>
      <c r="AK509">
        <v>30</v>
      </c>
      <c r="AL509" t="s">
        <v>138</v>
      </c>
      <c r="AM509" t="s">
        <v>246</v>
      </c>
      <c r="AN509" t="s">
        <v>247</v>
      </c>
      <c r="AO509" t="s">
        <v>141</v>
      </c>
      <c r="AP509" t="s">
        <v>142</v>
      </c>
      <c r="AQ509" t="s">
        <v>74</v>
      </c>
      <c r="AR509" t="s">
        <v>143</v>
      </c>
      <c r="AS509" t="s">
        <v>144</v>
      </c>
      <c r="AT509" t="s">
        <v>491</v>
      </c>
      <c r="AU509">
        <v>2021</v>
      </c>
      <c r="AV509">
        <v>215</v>
      </c>
      <c r="AW509" t="s">
        <v>74</v>
      </c>
      <c r="AX509" t="s">
        <v>74</v>
      </c>
      <c r="AY509" t="s">
        <v>74</v>
      </c>
      <c r="AZ509" t="s">
        <v>74</v>
      </c>
      <c r="BA509" t="s">
        <v>74</v>
      </c>
      <c r="BB509" t="s">
        <v>74</v>
      </c>
      <c r="BC509" t="s">
        <v>74</v>
      </c>
      <c r="BD509">
        <v>107870</v>
      </c>
      <c r="BE509" t="s">
        <v>8484</v>
      </c>
      <c r="BF509" t="str">
        <f>HYPERLINK("http://dx.doi.org/10.1016/j.ress.2021.107870","http://dx.doi.org/10.1016/j.ress.2021.107870")</f>
        <v>http://dx.doi.org/10.1016/j.ress.2021.107870</v>
      </c>
      <c r="BG509" t="s">
        <v>74</v>
      </c>
      <c r="BH509" t="s">
        <v>1059</v>
      </c>
      <c r="BI509">
        <v>12</v>
      </c>
      <c r="BJ509" t="s">
        <v>148</v>
      </c>
      <c r="BK509" t="s">
        <v>149</v>
      </c>
      <c r="BL509" t="s">
        <v>150</v>
      </c>
      <c r="BM509" t="s">
        <v>2260</v>
      </c>
      <c r="BN509" t="s">
        <v>74</v>
      </c>
      <c r="BO509" t="s">
        <v>74</v>
      </c>
      <c r="BP509" t="s">
        <v>74</v>
      </c>
      <c r="BQ509" t="s">
        <v>74</v>
      </c>
      <c r="BR509" t="s">
        <v>104</v>
      </c>
      <c r="BS509" t="s">
        <v>8485</v>
      </c>
      <c r="BT509" t="str">
        <f>HYPERLINK("https%3A%2F%2Fwww.webofscience.com%2Fwos%2Fwoscc%2Ffull-record%2FWOS:000690283800057","View Full Record in Web of Science")</f>
        <v>View Full Record in Web of Science</v>
      </c>
    </row>
    <row r="510" spans="1:72" x14ac:dyDescent="0.25">
      <c r="A510" t="s">
        <v>72</v>
      </c>
      <c r="B510" t="s">
        <v>8486</v>
      </c>
      <c r="C510" t="s">
        <v>74</v>
      </c>
      <c r="D510" t="s">
        <v>74</v>
      </c>
      <c r="E510" t="s">
        <v>74</v>
      </c>
      <c r="F510" t="s">
        <v>8487</v>
      </c>
      <c r="G510" t="s">
        <v>74</v>
      </c>
      <c r="H510" t="s">
        <v>74</v>
      </c>
      <c r="I510" t="s">
        <v>8488</v>
      </c>
      <c r="J510" t="s">
        <v>1557</v>
      </c>
      <c r="K510" t="s">
        <v>74</v>
      </c>
      <c r="L510" t="s">
        <v>74</v>
      </c>
      <c r="M510" t="s">
        <v>78</v>
      </c>
      <c r="N510" t="s">
        <v>79</v>
      </c>
      <c r="O510" t="s">
        <v>74</v>
      </c>
      <c r="P510" t="s">
        <v>74</v>
      </c>
      <c r="Q510" t="s">
        <v>74</v>
      </c>
      <c r="R510" t="s">
        <v>74</v>
      </c>
      <c r="S510" t="s">
        <v>74</v>
      </c>
      <c r="T510" t="s">
        <v>8489</v>
      </c>
      <c r="U510" t="s">
        <v>8490</v>
      </c>
      <c r="V510" t="s">
        <v>8491</v>
      </c>
      <c r="W510" t="s">
        <v>8492</v>
      </c>
      <c r="X510" t="s">
        <v>8493</v>
      </c>
      <c r="Y510" t="s">
        <v>8494</v>
      </c>
      <c r="Z510" t="s">
        <v>74</v>
      </c>
      <c r="AA510" t="s">
        <v>8495</v>
      </c>
      <c r="AB510" t="s">
        <v>8496</v>
      </c>
      <c r="AC510" t="s">
        <v>8497</v>
      </c>
      <c r="AD510" t="s">
        <v>8498</v>
      </c>
      <c r="AE510" t="s">
        <v>8499</v>
      </c>
      <c r="AF510" t="s">
        <v>74</v>
      </c>
      <c r="AG510">
        <v>31</v>
      </c>
      <c r="AH510">
        <v>33</v>
      </c>
      <c r="AI510">
        <v>36</v>
      </c>
      <c r="AJ510">
        <v>17</v>
      </c>
      <c r="AK510">
        <v>120</v>
      </c>
      <c r="AL510" t="s">
        <v>707</v>
      </c>
      <c r="AM510" t="s">
        <v>246</v>
      </c>
      <c r="AN510" t="s">
        <v>708</v>
      </c>
      <c r="AO510" t="s">
        <v>1569</v>
      </c>
      <c r="AP510" t="s">
        <v>1570</v>
      </c>
      <c r="AQ510" t="s">
        <v>74</v>
      </c>
      <c r="AR510" t="s">
        <v>1571</v>
      </c>
      <c r="AS510" t="s">
        <v>1572</v>
      </c>
      <c r="AT510" t="s">
        <v>1008</v>
      </c>
      <c r="AU510">
        <v>2023</v>
      </c>
      <c r="AV510">
        <v>211</v>
      </c>
      <c r="AW510" t="s">
        <v>74</v>
      </c>
      <c r="AX510" t="s">
        <v>74</v>
      </c>
      <c r="AY510" t="s">
        <v>74</v>
      </c>
      <c r="AZ510" t="s">
        <v>74</v>
      </c>
      <c r="BA510" t="s">
        <v>74</v>
      </c>
      <c r="BB510" t="s">
        <v>74</v>
      </c>
      <c r="BC510" t="s">
        <v>74</v>
      </c>
      <c r="BD510">
        <v>118656</v>
      </c>
      <c r="BE510" t="s">
        <v>8500</v>
      </c>
      <c r="BF510" t="str">
        <f>HYPERLINK("http://dx.doi.org/10.1016/j.eswa.2022.118656","http://dx.doi.org/10.1016/j.eswa.2022.118656")</f>
        <v>http://dx.doi.org/10.1016/j.eswa.2022.118656</v>
      </c>
      <c r="BG510" t="s">
        <v>74</v>
      </c>
      <c r="BH510" t="s">
        <v>658</v>
      </c>
      <c r="BI510">
        <v>12</v>
      </c>
      <c r="BJ510" t="s">
        <v>1575</v>
      </c>
      <c r="BK510" t="s">
        <v>149</v>
      </c>
      <c r="BL510" t="s">
        <v>1576</v>
      </c>
      <c r="BM510" t="s">
        <v>8501</v>
      </c>
      <c r="BN510" t="s">
        <v>74</v>
      </c>
      <c r="BO510" t="s">
        <v>74</v>
      </c>
      <c r="BP510" t="s">
        <v>74</v>
      </c>
      <c r="BQ510" t="s">
        <v>74</v>
      </c>
      <c r="BR510" t="s">
        <v>104</v>
      </c>
      <c r="BS510" t="s">
        <v>8502</v>
      </c>
      <c r="BT510" t="str">
        <f>HYPERLINK("https%3A%2F%2Fwww.webofscience.com%2Fwos%2Fwoscc%2Ffull-record%2FWOS:000877394100003","View Full Record in Web of Science")</f>
        <v>View Full Record in Web of Science</v>
      </c>
    </row>
    <row r="511" spans="1:72" x14ac:dyDescent="0.25">
      <c r="A511" t="s">
        <v>72</v>
      </c>
      <c r="B511" t="s">
        <v>8503</v>
      </c>
      <c r="C511" t="s">
        <v>74</v>
      </c>
      <c r="D511" t="s">
        <v>74</v>
      </c>
      <c r="E511" t="s">
        <v>74</v>
      </c>
      <c r="F511" t="s">
        <v>8504</v>
      </c>
      <c r="G511" t="s">
        <v>74</v>
      </c>
      <c r="H511" t="s">
        <v>74</v>
      </c>
      <c r="I511" t="s">
        <v>8505</v>
      </c>
      <c r="J511" t="s">
        <v>2435</v>
      </c>
      <c r="K511" t="s">
        <v>74</v>
      </c>
      <c r="L511" t="s">
        <v>74</v>
      </c>
      <c r="M511" t="s">
        <v>78</v>
      </c>
      <c r="N511" t="s">
        <v>79</v>
      </c>
      <c r="O511" t="s">
        <v>74</v>
      </c>
      <c r="P511" t="s">
        <v>74</v>
      </c>
      <c r="Q511" t="s">
        <v>74</v>
      </c>
      <c r="R511" t="s">
        <v>74</v>
      </c>
      <c r="S511" t="s">
        <v>74</v>
      </c>
      <c r="T511" t="s">
        <v>8506</v>
      </c>
      <c r="U511" t="s">
        <v>8507</v>
      </c>
      <c r="V511" t="s">
        <v>8508</v>
      </c>
      <c r="W511" t="s">
        <v>8509</v>
      </c>
      <c r="X511" t="s">
        <v>8510</v>
      </c>
      <c r="Y511" t="s">
        <v>8511</v>
      </c>
      <c r="Z511" t="s">
        <v>8512</v>
      </c>
      <c r="AA511" t="s">
        <v>74</v>
      </c>
      <c r="AB511" t="s">
        <v>74</v>
      </c>
      <c r="AC511" t="s">
        <v>74</v>
      </c>
      <c r="AD511" t="s">
        <v>74</v>
      </c>
      <c r="AE511" t="s">
        <v>74</v>
      </c>
      <c r="AF511" t="s">
        <v>74</v>
      </c>
      <c r="AG511">
        <v>22</v>
      </c>
      <c r="AH511">
        <v>1</v>
      </c>
      <c r="AI511">
        <v>1</v>
      </c>
      <c r="AJ511">
        <v>1</v>
      </c>
      <c r="AK511">
        <v>13</v>
      </c>
      <c r="AL511" t="s">
        <v>311</v>
      </c>
      <c r="AM511" t="s">
        <v>312</v>
      </c>
      <c r="AN511" t="s">
        <v>313</v>
      </c>
      <c r="AO511" t="s">
        <v>2445</v>
      </c>
      <c r="AP511" t="s">
        <v>2446</v>
      </c>
      <c r="AQ511" t="s">
        <v>74</v>
      </c>
      <c r="AR511" t="s">
        <v>2447</v>
      </c>
      <c r="AS511" t="s">
        <v>2448</v>
      </c>
      <c r="AT511" t="s">
        <v>2449</v>
      </c>
      <c r="AU511">
        <v>2023</v>
      </c>
      <c r="AV511">
        <v>10</v>
      </c>
      <c r="AW511">
        <v>1</v>
      </c>
      <c r="AX511" t="s">
        <v>74</v>
      </c>
      <c r="AY511" t="s">
        <v>74</v>
      </c>
      <c r="AZ511" t="s">
        <v>74</v>
      </c>
      <c r="BA511" t="s">
        <v>74</v>
      </c>
      <c r="BB511" t="s">
        <v>74</v>
      </c>
      <c r="BC511" t="s">
        <v>74</v>
      </c>
      <c r="BD511">
        <v>2180690</v>
      </c>
      <c r="BE511" t="s">
        <v>8513</v>
      </c>
      <c r="BF511" t="str">
        <f>HYPERLINK("http://dx.doi.org/10.1080/23302674.2023.2180690","http://dx.doi.org/10.1080/23302674.2023.2180690")</f>
        <v>http://dx.doi.org/10.1080/23302674.2023.2180690</v>
      </c>
      <c r="BG511" t="s">
        <v>74</v>
      </c>
      <c r="BH511" t="s">
        <v>74</v>
      </c>
      <c r="BI511">
        <v>11</v>
      </c>
      <c r="BJ511" t="s">
        <v>148</v>
      </c>
      <c r="BK511" t="s">
        <v>149</v>
      </c>
      <c r="BL511" t="s">
        <v>150</v>
      </c>
      <c r="BM511" t="s">
        <v>8514</v>
      </c>
      <c r="BN511" t="s">
        <v>74</v>
      </c>
      <c r="BO511" t="s">
        <v>74</v>
      </c>
      <c r="BP511" t="s">
        <v>74</v>
      </c>
      <c r="BQ511" t="s">
        <v>74</v>
      </c>
      <c r="BR511" t="s">
        <v>104</v>
      </c>
      <c r="BS511" t="s">
        <v>8515</v>
      </c>
      <c r="BT511" t="str">
        <f>HYPERLINK("https%3A%2F%2Fwww.webofscience.com%2Fwos%2Fwoscc%2Ffull-record%2FWOS:000942612100001","View Full Record in Web of Science")</f>
        <v>View Full Record in Web of Science</v>
      </c>
    </row>
    <row r="512" spans="1:72" x14ac:dyDescent="0.25">
      <c r="A512" t="s">
        <v>72</v>
      </c>
      <c r="B512" t="s">
        <v>8516</v>
      </c>
      <c r="C512" t="s">
        <v>74</v>
      </c>
      <c r="D512" t="s">
        <v>74</v>
      </c>
      <c r="E512" t="s">
        <v>74</v>
      </c>
      <c r="F512" t="s">
        <v>8517</v>
      </c>
      <c r="G512" t="s">
        <v>74</v>
      </c>
      <c r="H512" t="s">
        <v>74</v>
      </c>
      <c r="I512" t="s">
        <v>8518</v>
      </c>
      <c r="J512" t="s">
        <v>128</v>
      </c>
      <c r="K512" t="s">
        <v>74</v>
      </c>
      <c r="L512" t="s">
        <v>74</v>
      </c>
      <c r="M512" t="s">
        <v>78</v>
      </c>
      <c r="N512" t="s">
        <v>79</v>
      </c>
      <c r="O512" t="s">
        <v>74</v>
      </c>
      <c r="P512" t="s">
        <v>74</v>
      </c>
      <c r="Q512" t="s">
        <v>74</v>
      </c>
      <c r="R512" t="s">
        <v>74</v>
      </c>
      <c r="S512" t="s">
        <v>74</v>
      </c>
      <c r="T512" t="s">
        <v>8519</v>
      </c>
      <c r="U512" t="s">
        <v>8520</v>
      </c>
      <c r="V512" t="s">
        <v>8521</v>
      </c>
      <c r="W512" t="s">
        <v>8522</v>
      </c>
      <c r="X512" t="s">
        <v>8523</v>
      </c>
      <c r="Y512" t="s">
        <v>8524</v>
      </c>
      <c r="Z512" t="s">
        <v>8525</v>
      </c>
      <c r="AA512" t="s">
        <v>74</v>
      </c>
      <c r="AB512" t="s">
        <v>74</v>
      </c>
      <c r="AC512" t="s">
        <v>8526</v>
      </c>
      <c r="AD512" t="s">
        <v>3704</v>
      </c>
      <c r="AE512" t="s">
        <v>8527</v>
      </c>
      <c r="AF512" t="s">
        <v>74</v>
      </c>
      <c r="AG512">
        <v>63</v>
      </c>
      <c r="AH512">
        <v>6</v>
      </c>
      <c r="AI512">
        <v>6</v>
      </c>
      <c r="AJ512">
        <v>3</v>
      </c>
      <c r="AK512">
        <v>19</v>
      </c>
      <c r="AL512" t="s">
        <v>138</v>
      </c>
      <c r="AM512" t="s">
        <v>139</v>
      </c>
      <c r="AN512" t="s">
        <v>140</v>
      </c>
      <c r="AO512" t="s">
        <v>141</v>
      </c>
      <c r="AP512" t="s">
        <v>142</v>
      </c>
      <c r="AQ512" t="s">
        <v>74</v>
      </c>
      <c r="AR512" t="s">
        <v>143</v>
      </c>
      <c r="AS512" t="s">
        <v>144</v>
      </c>
      <c r="AT512" t="s">
        <v>145</v>
      </c>
      <c r="AU512">
        <v>2022</v>
      </c>
      <c r="AV512">
        <v>228</v>
      </c>
      <c r="AW512" t="s">
        <v>74</v>
      </c>
      <c r="AX512" t="s">
        <v>74</v>
      </c>
      <c r="AY512" t="s">
        <v>74</v>
      </c>
      <c r="AZ512" t="s">
        <v>74</v>
      </c>
      <c r="BA512" t="s">
        <v>74</v>
      </c>
      <c r="BB512" t="s">
        <v>74</v>
      </c>
      <c r="BC512" t="s">
        <v>74</v>
      </c>
      <c r="BD512">
        <v>108779</v>
      </c>
      <c r="BE512" t="s">
        <v>8528</v>
      </c>
      <c r="BF512" t="str">
        <f>HYPERLINK("http://dx.doi.org/10.1016/j.ress.2022.108779","http://dx.doi.org/10.1016/j.ress.2022.108779")</f>
        <v>http://dx.doi.org/10.1016/j.ress.2022.108779</v>
      </c>
      <c r="BG512" t="s">
        <v>74</v>
      </c>
      <c r="BH512" t="s">
        <v>865</v>
      </c>
      <c r="BI512">
        <v>11</v>
      </c>
      <c r="BJ512" t="s">
        <v>148</v>
      </c>
      <c r="BK512" t="s">
        <v>149</v>
      </c>
      <c r="BL512" t="s">
        <v>150</v>
      </c>
      <c r="BM512" t="s">
        <v>3965</v>
      </c>
      <c r="BN512" t="s">
        <v>74</v>
      </c>
      <c r="BO512" t="s">
        <v>74</v>
      </c>
      <c r="BP512" t="s">
        <v>74</v>
      </c>
      <c r="BQ512" t="s">
        <v>74</v>
      </c>
      <c r="BR512" t="s">
        <v>104</v>
      </c>
      <c r="BS512" t="s">
        <v>8529</v>
      </c>
      <c r="BT512" t="str">
        <f>HYPERLINK("https%3A%2F%2Fwww.webofscience.com%2Fwos%2Fwoscc%2Ffull-record%2FWOS:000862580900004","View Full Record in Web of Science")</f>
        <v>View Full Record in Web of Science</v>
      </c>
    </row>
    <row r="513" spans="1:72" x14ac:dyDescent="0.25">
      <c r="A513" t="s">
        <v>72</v>
      </c>
      <c r="B513" t="s">
        <v>8530</v>
      </c>
      <c r="C513" t="s">
        <v>74</v>
      </c>
      <c r="D513" t="s">
        <v>74</v>
      </c>
      <c r="E513" t="s">
        <v>74</v>
      </c>
      <c r="F513" t="s">
        <v>8531</v>
      </c>
      <c r="G513" t="s">
        <v>74</v>
      </c>
      <c r="H513" t="s">
        <v>74</v>
      </c>
      <c r="I513" t="s">
        <v>8532</v>
      </c>
      <c r="J513" t="s">
        <v>3529</v>
      </c>
      <c r="K513" t="s">
        <v>74</v>
      </c>
      <c r="L513" t="s">
        <v>74</v>
      </c>
      <c r="M513" t="s">
        <v>78</v>
      </c>
      <c r="N513" t="s">
        <v>79</v>
      </c>
      <c r="O513" t="s">
        <v>74</v>
      </c>
      <c r="P513" t="s">
        <v>74</v>
      </c>
      <c r="Q513" t="s">
        <v>74</v>
      </c>
      <c r="R513" t="s">
        <v>74</v>
      </c>
      <c r="S513" t="s">
        <v>74</v>
      </c>
      <c r="T513" t="s">
        <v>8533</v>
      </c>
      <c r="U513" t="s">
        <v>8534</v>
      </c>
      <c r="V513" t="s">
        <v>8535</v>
      </c>
      <c r="W513" t="s">
        <v>8536</v>
      </c>
      <c r="X513" t="s">
        <v>8537</v>
      </c>
      <c r="Y513" t="s">
        <v>8538</v>
      </c>
      <c r="Z513" t="s">
        <v>8539</v>
      </c>
      <c r="AA513" t="s">
        <v>8540</v>
      </c>
      <c r="AB513" t="s">
        <v>8541</v>
      </c>
      <c r="AC513" t="s">
        <v>74</v>
      </c>
      <c r="AD513" t="s">
        <v>74</v>
      </c>
      <c r="AE513" t="s">
        <v>74</v>
      </c>
      <c r="AF513" t="s">
        <v>74</v>
      </c>
      <c r="AG513">
        <v>82</v>
      </c>
      <c r="AH513">
        <v>3</v>
      </c>
      <c r="AI513">
        <v>3</v>
      </c>
      <c r="AJ513">
        <v>1</v>
      </c>
      <c r="AK513">
        <v>6</v>
      </c>
      <c r="AL513" t="s">
        <v>3538</v>
      </c>
      <c r="AM513" t="s">
        <v>3539</v>
      </c>
      <c r="AN513" t="s">
        <v>3540</v>
      </c>
      <c r="AO513" t="s">
        <v>3812</v>
      </c>
      <c r="AP513" t="s">
        <v>3541</v>
      </c>
      <c r="AQ513" t="s">
        <v>74</v>
      </c>
      <c r="AR513" t="s">
        <v>3542</v>
      </c>
      <c r="AS513" t="s">
        <v>3543</v>
      </c>
      <c r="AT513" t="s">
        <v>74</v>
      </c>
      <c r="AU513">
        <v>2020</v>
      </c>
      <c r="AV513">
        <v>27</v>
      </c>
      <c r="AW513">
        <v>4</v>
      </c>
      <c r="AX513" t="s">
        <v>74</v>
      </c>
      <c r="AY513" t="s">
        <v>74</v>
      </c>
      <c r="AZ513" t="s">
        <v>74</v>
      </c>
      <c r="BA513" t="s">
        <v>74</v>
      </c>
      <c r="BB513">
        <v>546</v>
      </c>
      <c r="BC513">
        <v>567</v>
      </c>
      <c r="BD513" t="s">
        <v>74</v>
      </c>
      <c r="BE513" t="s">
        <v>74</v>
      </c>
      <c r="BF513" t="s">
        <v>74</v>
      </c>
      <c r="BG513" t="s">
        <v>74</v>
      </c>
      <c r="BH513" t="s">
        <v>74</v>
      </c>
      <c r="BI513">
        <v>22</v>
      </c>
      <c r="BJ513" t="s">
        <v>3544</v>
      </c>
      <c r="BK513" t="s">
        <v>322</v>
      </c>
      <c r="BL513" t="s">
        <v>102</v>
      </c>
      <c r="BM513" t="s">
        <v>8542</v>
      </c>
      <c r="BN513" t="s">
        <v>74</v>
      </c>
      <c r="BO513" t="s">
        <v>74</v>
      </c>
      <c r="BP513" t="s">
        <v>74</v>
      </c>
      <c r="BQ513" t="s">
        <v>74</v>
      </c>
      <c r="BR513" t="s">
        <v>104</v>
      </c>
      <c r="BS513" t="s">
        <v>8543</v>
      </c>
      <c r="BT513" t="str">
        <f>HYPERLINK("https%3A%2F%2Fwww.webofscience.com%2Fwos%2Fwoscc%2Ffull-record%2FWOS:000647660900003","View Full Record in Web of Science")</f>
        <v>View Full Record in Web of Science</v>
      </c>
    </row>
    <row r="514" spans="1:72" x14ac:dyDescent="0.25">
      <c r="A514" t="s">
        <v>72</v>
      </c>
      <c r="B514" t="s">
        <v>8544</v>
      </c>
      <c r="C514" t="s">
        <v>74</v>
      </c>
      <c r="D514" t="s">
        <v>74</v>
      </c>
      <c r="E514" t="s">
        <v>74</v>
      </c>
      <c r="F514" t="s">
        <v>8545</v>
      </c>
      <c r="G514" t="s">
        <v>74</v>
      </c>
      <c r="H514" t="s">
        <v>74</v>
      </c>
      <c r="I514" t="s">
        <v>8546</v>
      </c>
      <c r="J514" t="s">
        <v>3466</v>
      </c>
      <c r="K514" t="s">
        <v>74</v>
      </c>
      <c r="L514" t="s">
        <v>74</v>
      </c>
      <c r="M514" t="s">
        <v>78</v>
      </c>
      <c r="N514" t="s">
        <v>79</v>
      </c>
      <c r="O514" t="s">
        <v>74</v>
      </c>
      <c r="P514" t="s">
        <v>74</v>
      </c>
      <c r="Q514" t="s">
        <v>74</v>
      </c>
      <c r="R514" t="s">
        <v>74</v>
      </c>
      <c r="S514" t="s">
        <v>74</v>
      </c>
      <c r="T514" t="s">
        <v>8547</v>
      </c>
      <c r="U514" t="s">
        <v>8548</v>
      </c>
      <c r="V514" t="s">
        <v>8549</v>
      </c>
      <c r="W514" t="s">
        <v>8550</v>
      </c>
      <c r="X514" t="s">
        <v>8551</v>
      </c>
      <c r="Y514" t="s">
        <v>8552</v>
      </c>
      <c r="Z514" t="s">
        <v>8553</v>
      </c>
      <c r="AA514" t="s">
        <v>74</v>
      </c>
      <c r="AB514" t="s">
        <v>74</v>
      </c>
      <c r="AC514" t="s">
        <v>8554</v>
      </c>
      <c r="AD514" t="s">
        <v>8555</v>
      </c>
      <c r="AE514" t="s">
        <v>8556</v>
      </c>
      <c r="AF514" t="s">
        <v>74</v>
      </c>
      <c r="AG514">
        <v>49</v>
      </c>
      <c r="AH514">
        <v>0</v>
      </c>
      <c r="AI514">
        <v>0</v>
      </c>
      <c r="AJ514">
        <v>2</v>
      </c>
      <c r="AK514">
        <v>2</v>
      </c>
      <c r="AL514" t="s">
        <v>311</v>
      </c>
      <c r="AM514" t="s">
        <v>312</v>
      </c>
      <c r="AN514" t="s">
        <v>313</v>
      </c>
      <c r="AO514" t="s">
        <v>74</v>
      </c>
      <c r="AP514" t="s">
        <v>3478</v>
      </c>
      <c r="AQ514" t="s">
        <v>74</v>
      </c>
      <c r="AR514" t="s">
        <v>3479</v>
      </c>
      <c r="AS514" t="s">
        <v>3480</v>
      </c>
      <c r="AT514" t="s">
        <v>2449</v>
      </c>
      <c r="AU514">
        <v>2024</v>
      </c>
      <c r="AV514">
        <v>12</v>
      </c>
      <c r="AW514">
        <v>1</v>
      </c>
      <c r="AX514" t="s">
        <v>74</v>
      </c>
      <c r="AY514" t="s">
        <v>74</v>
      </c>
      <c r="AZ514" t="s">
        <v>74</v>
      </c>
      <c r="BA514" t="s">
        <v>74</v>
      </c>
      <c r="BB514" t="s">
        <v>74</v>
      </c>
      <c r="BC514" t="s">
        <v>74</v>
      </c>
      <c r="BD514">
        <v>2383656</v>
      </c>
      <c r="BE514" t="s">
        <v>8557</v>
      </c>
      <c r="BF514" t="str">
        <f>HYPERLINK("http://dx.doi.org/10.1080/21693277.2024.2383656","http://dx.doi.org/10.1080/21693277.2024.2383656")</f>
        <v>http://dx.doi.org/10.1080/21693277.2024.2383656</v>
      </c>
      <c r="BG514" t="s">
        <v>74</v>
      </c>
      <c r="BH514" t="s">
        <v>74</v>
      </c>
      <c r="BI514">
        <v>31</v>
      </c>
      <c r="BJ514" t="s">
        <v>100</v>
      </c>
      <c r="BK514" t="s">
        <v>101</v>
      </c>
      <c r="BL514" t="s">
        <v>102</v>
      </c>
      <c r="BM514" t="s">
        <v>8558</v>
      </c>
      <c r="BN514" t="s">
        <v>74</v>
      </c>
      <c r="BO514" t="s">
        <v>208</v>
      </c>
      <c r="BP514" t="s">
        <v>74</v>
      </c>
      <c r="BQ514" t="s">
        <v>74</v>
      </c>
      <c r="BR514" t="s">
        <v>104</v>
      </c>
      <c r="BS514" t="s">
        <v>8559</v>
      </c>
      <c r="BT514" t="str">
        <f>HYPERLINK("https%3A%2F%2Fwww.webofscience.com%2Fwos%2Fwoscc%2Ffull-record%2FWOS:001284125100001","View Full Record in Web of Science")</f>
        <v>View Full Record in Web of Science</v>
      </c>
    </row>
    <row r="515" spans="1:72" x14ac:dyDescent="0.25">
      <c r="A515" t="s">
        <v>72</v>
      </c>
      <c r="B515" t="s">
        <v>8560</v>
      </c>
      <c r="C515" t="s">
        <v>74</v>
      </c>
      <c r="D515" t="s">
        <v>74</v>
      </c>
      <c r="E515" t="s">
        <v>74</v>
      </c>
      <c r="F515" t="s">
        <v>8561</v>
      </c>
      <c r="G515" t="s">
        <v>74</v>
      </c>
      <c r="H515" t="s">
        <v>74</v>
      </c>
      <c r="I515" t="s">
        <v>8562</v>
      </c>
      <c r="J515" t="s">
        <v>542</v>
      </c>
      <c r="K515" t="s">
        <v>74</v>
      </c>
      <c r="L515" t="s">
        <v>74</v>
      </c>
      <c r="M515" t="s">
        <v>78</v>
      </c>
      <c r="N515" t="s">
        <v>79</v>
      </c>
      <c r="O515" t="s">
        <v>74</v>
      </c>
      <c r="P515" t="s">
        <v>74</v>
      </c>
      <c r="Q515" t="s">
        <v>74</v>
      </c>
      <c r="R515" t="s">
        <v>74</v>
      </c>
      <c r="S515" t="s">
        <v>74</v>
      </c>
      <c r="T515" t="s">
        <v>8563</v>
      </c>
      <c r="U515" t="s">
        <v>8564</v>
      </c>
      <c r="V515" t="s">
        <v>8565</v>
      </c>
      <c r="W515" t="s">
        <v>8566</v>
      </c>
      <c r="X515" t="s">
        <v>8567</v>
      </c>
      <c r="Y515" t="s">
        <v>8568</v>
      </c>
      <c r="Z515" t="s">
        <v>6176</v>
      </c>
      <c r="AA515" t="s">
        <v>8569</v>
      </c>
      <c r="AB515" t="s">
        <v>8570</v>
      </c>
      <c r="AC515" t="s">
        <v>8571</v>
      </c>
      <c r="AD515" t="s">
        <v>8572</v>
      </c>
      <c r="AE515" t="s">
        <v>8573</v>
      </c>
      <c r="AF515" t="s">
        <v>74</v>
      </c>
      <c r="AG515">
        <v>38</v>
      </c>
      <c r="AH515">
        <v>3</v>
      </c>
      <c r="AI515">
        <v>3</v>
      </c>
      <c r="AJ515">
        <v>6</v>
      </c>
      <c r="AK515">
        <v>9</v>
      </c>
      <c r="AL515" t="s">
        <v>552</v>
      </c>
      <c r="AM515" t="s">
        <v>553</v>
      </c>
      <c r="AN515" t="s">
        <v>554</v>
      </c>
      <c r="AO515" t="s">
        <v>555</v>
      </c>
      <c r="AP515" t="s">
        <v>556</v>
      </c>
      <c r="AQ515" t="s">
        <v>74</v>
      </c>
      <c r="AR515" t="s">
        <v>557</v>
      </c>
      <c r="AS515" t="s">
        <v>558</v>
      </c>
      <c r="AT515" t="s">
        <v>145</v>
      </c>
      <c r="AU515">
        <v>2024</v>
      </c>
      <c r="AV515">
        <v>238</v>
      </c>
      <c r="AW515">
        <v>6</v>
      </c>
      <c r="AX515" t="s">
        <v>74</v>
      </c>
      <c r="AY515" t="s">
        <v>74</v>
      </c>
      <c r="AZ515" t="s">
        <v>74</v>
      </c>
      <c r="BA515" t="s">
        <v>74</v>
      </c>
      <c r="BB515">
        <v>1136</v>
      </c>
      <c r="BC515">
        <v>1155</v>
      </c>
      <c r="BD515" t="s">
        <v>74</v>
      </c>
      <c r="BE515" t="s">
        <v>8574</v>
      </c>
      <c r="BF515" t="str">
        <f>HYPERLINK("http://dx.doi.org/10.1177/1748006X231207529","http://dx.doi.org/10.1177/1748006X231207529")</f>
        <v>http://dx.doi.org/10.1177/1748006X231207529</v>
      </c>
      <c r="BG515" t="s">
        <v>74</v>
      </c>
      <c r="BH515" t="s">
        <v>449</v>
      </c>
      <c r="BI515">
        <v>20</v>
      </c>
      <c r="BJ515" t="s">
        <v>494</v>
      </c>
      <c r="BK515" t="s">
        <v>149</v>
      </c>
      <c r="BL515" t="s">
        <v>150</v>
      </c>
      <c r="BM515" t="s">
        <v>8575</v>
      </c>
      <c r="BN515" t="s">
        <v>74</v>
      </c>
      <c r="BO515" t="s">
        <v>74</v>
      </c>
      <c r="BP515" t="s">
        <v>74</v>
      </c>
      <c r="BQ515" t="s">
        <v>74</v>
      </c>
      <c r="BR515" t="s">
        <v>104</v>
      </c>
      <c r="BS515" t="s">
        <v>8576</v>
      </c>
      <c r="BT515" t="str">
        <f>HYPERLINK("https%3A%2F%2Fwww.webofscience.com%2Fwos%2Fwoscc%2Ffull-record%2FWOS:001120678100001","View Full Record in Web of Science")</f>
        <v>View Full Record in Web of Science</v>
      </c>
    </row>
    <row r="516" spans="1:72" x14ac:dyDescent="0.25">
      <c r="A516" t="s">
        <v>72</v>
      </c>
      <c r="B516" t="s">
        <v>8577</v>
      </c>
      <c r="C516" t="s">
        <v>74</v>
      </c>
      <c r="D516" t="s">
        <v>74</v>
      </c>
      <c r="E516" t="s">
        <v>74</v>
      </c>
      <c r="F516" t="s">
        <v>8578</v>
      </c>
      <c r="G516" t="s">
        <v>74</v>
      </c>
      <c r="H516" t="s">
        <v>74</v>
      </c>
      <c r="I516" t="s">
        <v>8579</v>
      </c>
      <c r="J516" t="s">
        <v>128</v>
      </c>
      <c r="K516" t="s">
        <v>74</v>
      </c>
      <c r="L516" t="s">
        <v>74</v>
      </c>
      <c r="M516" t="s">
        <v>78</v>
      </c>
      <c r="N516" t="s">
        <v>79</v>
      </c>
      <c r="O516" t="s">
        <v>74</v>
      </c>
      <c r="P516" t="s">
        <v>74</v>
      </c>
      <c r="Q516" t="s">
        <v>74</v>
      </c>
      <c r="R516" t="s">
        <v>74</v>
      </c>
      <c r="S516" t="s">
        <v>74</v>
      </c>
      <c r="T516" t="s">
        <v>8580</v>
      </c>
      <c r="U516" t="s">
        <v>8581</v>
      </c>
      <c r="V516" t="s">
        <v>8582</v>
      </c>
      <c r="W516" t="s">
        <v>8583</v>
      </c>
      <c r="X516" t="s">
        <v>8584</v>
      </c>
      <c r="Y516" t="s">
        <v>8585</v>
      </c>
      <c r="Z516" t="s">
        <v>8586</v>
      </c>
      <c r="AA516" t="s">
        <v>8587</v>
      </c>
      <c r="AB516" t="s">
        <v>8588</v>
      </c>
      <c r="AC516" t="s">
        <v>8589</v>
      </c>
      <c r="AD516" t="s">
        <v>8590</v>
      </c>
      <c r="AE516" t="s">
        <v>8591</v>
      </c>
      <c r="AF516" t="s">
        <v>74</v>
      </c>
      <c r="AG516">
        <v>60</v>
      </c>
      <c r="AH516">
        <v>12</v>
      </c>
      <c r="AI516">
        <v>12</v>
      </c>
      <c r="AJ516">
        <v>1</v>
      </c>
      <c r="AK516">
        <v>22</v>
      </c>
      <c r="AL516" t="s">
        <v>138</v>
      </c>
      <c r="AM516" t="s">
        <v>246</v>
      </c>
      <c r="AN516" t="s">
        <v>247</v>
      </c>
      <c r="AO516" t="s">
        <v>141</v>
      </c>
      <c r="AP516" t="s">
        <v>142</v>
      </c>
      <c r="AQ516" t="s">
        <v>74</v>
      </c>
      <c r="AR516" t="s">
        <v>143</v>
      </c>
      <c r="AS516" t="s">
        <v>144</v>
      </c>
      <c r="AT516" t="s">
        <v>559</v>
      </c>
      <c r="AU516">
        <v>2022</v>
      </c>
      <c r="AV516">
        <v>222</v>
      </c>
      <c r="AW516" t="s">
        <v>74</v>
      </c>
      <c r="AX516" t="s">
        <v>74</v>
      </c>
      <c r="AY516" t="s">
        <v>74</v>
      </c>
      <c r="AZ516" t="s">
        <v>74</v>
      </c>
      <c r="BA516" t="s">
        <v>74</v>
      </c>
      <c r="BB516" t="s">
        <v>74</v>
      </c>
      <c r="BC516" t="s">
        <v>74</v>
      </c>
      <c r="BD516">
        <v>108391</v>
      </c>
      <c r="BE516" t="s">
        <v>8592</v>
      </c>
      <c r="BF516" t="str">
        <f>HYPERLINK("http://dx.doi.org/10.1016/j.ress.2022.108391","http://dx.doi.org/10.1016/j.ress.2022.108391")</f>
        <v>http://dx.doi.org/10.1016/j.ress.2022.108391</v>
      </c>
      <c r="BG516" t="s">
        <v>74</v>
      </c>
      <c r="BH516" t="s">
        <v>1971</v>
      </c>
      <c r="BI516">
        <v>12</v>
      </c>
      <c r="BJ516" t="s">
        <v>148</v>
      </c>
      <c r="BK516" t="s">
        <v>149</v>
      </c>
      <c r="BL516" t="s">
        <v>150</v>
      </c>
      <c r="BM516" t="s">
        <v>814</v>
      </c>
      <c r="BN516" t="s">
        <v>74</v>
      </c>
      <c r="BO516" t="s">
        <v>74</v>
      </c>
      <c r="BP516" t="s">
        <v>74</v>
      </c>
      <c r="BQ516" t="s">
        <v>74</v>
      </c>
      <c r="BR516" t="s">
        <v>104</v>
      </c>
      <c r="BS516" t="s">
        <v>8593</v>
      </c>
      <c r="BT516" t="str">
        <f>HYPERLINK("https%3A%2F%2Fwww.webofscience.com%2Fwos%2Fwoscc%2Ffull-record%2FWOS:000771562000013","View Full Record in Web of Science")</f>
        <v>View Full Record in Web of Science</v>
      </c>
    </row>
    <row r="517" spans="1:72" x14ac:dyDescent="0.25">
      <c r="A517" t="s">
        <v>72</v>
      </c>
      <c r="B517" t="s">
        <v>8594</v>
      </c>
      <c r="C517" t="s">
        <v>74</v>
      </c>
      <c r="D517" t="s">
        <v>74</v>
      </c>
      <c r="E517" t="s">
        <v>74</v>
      </c>
      <c r="F517" t="s">
        <v>8595</v>
      </c>
      <c r="G517" t="s">
        <v>74</v>
      </c>
      <c r="H517" t="s">
        <v>74</v>
      </c>
      <c r="I517" t="s">
        <v>8596</v>
      </c>
      <c r="J517" t="s">
        <v>6961</v>
      </c>
      <c r="K517" t="s">
        <v>74</v>
      </c>
      <c r="L517" t="s">
        <v>74</v>
      </c>
      <c r="M517" t="s">
        <v>78</v>
      </c>
      <c r="N517" t="s">
        <v>79</v>
      </c>
      <c r="O517" t="s">
        <v>74</v>
      </c>
      <c r="P517" t="s">
        <v>74</v>
      </c>
      <c r="Q517" t="s">
        <v>74</v>
      </c>
      <c r="R517" t="s">
        <v>74</v>
      </c>
      <c r="S517" t="s">
        <v>74</v>
      </c>
      <c r="T517" t="s">
        <v>74</v>
      </c>
      <c r="U517" t="s">
        <v>8597</v>
      </c>
      <c r="V517" t="s">
        <v>8598</v>
      </c>
      <c r="W517" t="s">
        <v>8599</v>
      </c>
      <c r="X517" t="s">
        <v>8600</v>
      </c>
      <c r="Y517" t="s">
        <v>8601</v>
      </c>
      <c r="Z517" t="s">
        <v>8602</v>
      </c>
      <c r="AA517" t="s">
        <v>8603</v>
      </c>
      <c r="AB517" t="s">
        <v>74</v>
      </c>
      <c r="AC517" t="s">
        <v>74</v>
      </c>
      <c r="AD517" t="s">
        <v>74</v>
      </c>
      <c r="AE517" t="s">
        <v>74</v>
      </c>
      <c r="AF517" t="s">
        <v>74</v>
      </c>
      <c r="AG517">
        <v>68</v>
      </c>
      <c r="AH517">
        <v>0</v>
      </c>
      <c r="AI517">
        <v>0</v>
      </c>
      <c r="AJ517">
        <v>5</v>
      </c>
      <c r="AK517">
        <v>6</v>
      </c>
      <c r="AL517" t="s">
        <v>6968</v>
      </c>
      <c r="AM517" t="s">
        <v>6799</v>
      </c>
      <c r="AN517" t="s">
        <v>6969</v>
      </c>
      <c r="AO517" t="s">
        <v>6970</v>
      </c>
      <c r="AP517" t="s">
        <v>74</v>
      </c>
      <c r="AQ517" t="s">
        <v>74</v>
      </c>
      <c r="AR517" t="s">
        <v>6971</v>
      </c>
      <c r="AS517" t="s">
        <v>6972</v>
      </c>
      <c r="AT517" t="s">
        <v>8604</v>
      </c>
      <c r="AU517">
        <v>2024</v>
      </c>
      <c r="AV517">
        <v>14</v>
      </c>
      <c r="AW517">
        <v>1</v>
      </c>
      <c r="AX517" t="s">
        <v>74</v>
      </c>
      <c r="AY517" t="s">
        <v>74</v>
      </c>
      <c r="AZ517" t="s">
        <v>74</v>
      </c>
      <c r="BA517" t="s">
        <v>74</v>
      </c>
      <c r="BB517" t="s">
        <v>74</v>
      </c>
      <c r="BC517" t="s">
        <v>74</v>
      </c>
      <c r="BD517">
        <v>12080</v>
      </c>
      <c r="BE517" t="s">
        <v>8605</v>
      </c>
      <c r="BF517" t="str">
        <f>HYPERLINK("http://dx.doi.org/10.1038/s41598-024-62841-2","http://dx.doi.org/10.1038/s41598-024-62841-2")</f>
        <v>http://dx.doi.org/10.1038/s41598-024-62841-2</v>
      </c>
      <c r="BG517" t="s">
        <v>74</v>
      </c>
      <c r="BH517" t="s">
        <v>74</v>
      </c>
      <c r="BI517">
        <v>22</v>
      </c>
      <c r="BJ517" t="s">
        <v>517</v>
      </c>
      <c r="BK517" t="s">
        <v>149</v>
      </c>
      <c r="BL517" t="s">
        <v>518</v>
      </c>
      <c r="BM517" t="s">
        <v>8606</v>
      </c>
      <c r="BN517">
        <v>38802462</v>
      </c>
      <c r="BO517" t="s">
        <v>6520</v>
      </c>
      <c r="BP517" t="s">
        <v>74</v>
      </c>
      <c r="BQ517" t="s">
        <v>74</v>
      </c>
      <c r="BR517" t="s">
        <v>104</v>
      </c>
      <c r="BS517" t="s">
        <v>8607</v>
      </c>
      <c r="BT517" t="str">
        <f>HYPERLINK("https%3A%2F%2Fwww.webofscience.com%2Fwos%2Fwoscc%2Ffull-record%2FWOS:001233645300033","View Full Record in Web of Science")</f>
        <v>View Full Record in Web of Science</v>
      </c>
    </row>
    <row r="518" spans="1:72" x14ac:dyDescent="0.25">
      <c r="A518" t="s">
        <v>72</v>
      </c>
      <c r="B518" t="s">
        <v>8608</v>
      </c>
      <c r="C518" t="s">
        <v>74</v>
      </c>
      <c r="D518" t="s">
        <v>74</v>
      </c>
      <c r="E518" t="s">
        <v>74</v>
      </c>
      <c r="F518" t="s">
        <v>8609</v>
      </c>
      <c r="G518" t="s">
        <v>74</v>
      </c>
      <c r="H518" t="s">
        <v>74</v>
      </c>
      <c r="I518" t="s">
        <v>8610</v>
      </c>
      <c r="J518" t="s">
        <v>8611</v>
      </c>
      <c r="K518" t="s">
        <v>74</v>
      </c>
      <c r="L518" t="s">
        <v>74</v>
      </c>
      <c r="M518" t="s">
        <v>78</v>
      </c>
      <c r="N518" t="s">
        <v>79</v>
      </c>
      <c r="O518" t="s">
        <v>74</v>
      </c>
      <c r="P518" t="s">
        <v>74</v>
      </c>
      <c r="Q518" t="s">
        <v>74</v>
      </c>
      <c r="R518" t="s">
        <v>74</v>
      </c>
      <c r="S518" t="s">
        <v>74</v>
      </c>
      <c r="T518" t="s">
        <v>8612</v>
      </c>
      <c r="U518" t="s">
        <v>8613</v>
      </c>
      <c r="V518" t="s">
        <v>8614</v>
      </c>
      <c r="W518" t="s">
        <v>8615</v>
      </c>
      <c r="X518" t="s">
        <v>8616</v>
      </c>
      <c r="Y518" t="s">
        <v>8617</v>
      </c>
      <c r="Z518" t="s">
        <v>8618</v>
      </c>
      <c r="AA518" t="s">
        <v>8619</v>
      </c>
      <c r="AB518" t="s">
        <v>8620</v>
      </c>
      <c r="AC518" t="s">
        <v>8621</v>
      </c>
      <c r="AD518" t="s">
        <v>8621</v>
      </c>
      <c r="AE518" t="s">
        <v>8622</v>
      </c>
      <c r="AF518" t="s">
        <v>74</v>
      </c>
      <c r="AG518">
        <v>73</v>
      </c>
      <c r="AH518">
        <v>2</v>
      </c>
      <c r="AI518">
        <v>2</v>
      </c>
      <c r="AJ518">
        <v>0</v>
      </c>
      <c r="AK518">
        <v>7</v>
      </c>
      <c r="AL518" t="s">
        <v>8623</v>
      </c>
      <c r="AM518" t="s">
        <v>312</v>
      </c>
      <c r="AN518" t="s">
        <v>8624</v>
      </c>
      <c r="AO518" t="s">
        <v>8625</v>
      </c>
      <c r="AP518" t="s">
        <v>8626</v>
      </c>
      <c r="AQ518" t="s">
        <v>74</v>
      </c>
      <c r="AR518" t="s">
        <v>8627</v>
      </c>
      <c r="AS518" t="s">
        <v>8628</v>
      </c>
      <c r="AT518" t="s">
        <v>8629</v>
      </c>
      <c r="AU518">
        <v>2023</v>
      </c>
      <c r="AV518">
        <v>15</v>
      </c>
      <c r="AW518">
        <v>4</v>
      </c>
      <c r="AX518" t="s">
        <v>74</v>
      </c>
      <c r="AY518" t="s">
        <v>74</v>
      </c>
      <c r="AZ518" t="s">
        <v>74</v>
      </c>
      <c r="BA518" t="s">
        <v>74</v>
      </c>
      <c r="BB518">
        <v>473</v>
      </c>
      <c r="BC518">
        <v>481</v>
      </c>
      <c r="BD518" t="s">
        <v>74</v>
      </c>
      <c r="BE518" t="s">
        <v>8630</v>
      </c>
      <c r="BF518" t="str">
        <f>HYPERLINK("http://dx.doi.org/10.1080/20421338.2022.2125594","http://dx.doi.org/10.1080/20421338.2022.2125594")</f>
        <v>http://dx.doi.org/10.1080/20421338.2022.2125594</v>
      </c>
      <c r="BG518" t="s">
        <v>74</v>
      </c>
      <c r="BH518" t="s">
        <v>1285</v>
      </c>
      <c r="BI518">
        <v>9</v>
      </c>
      <c r="BJ518" t="s">
        <v>517</v>
      </c>
      <c r="BK518" t="s">
        <v>101</v>
      </c>
      <c r="BL518" t="s">
        <v>518</v>
      </c>
      <c r="BM518" t="s">
        <v>8631</v>
      </c>
      <c r="BN518" t="s">
        <v>74</v>
      </c>
      <c r="BO518" t="s">
        <v>74</v>
      </c>
      <c r="BP518" t="s">
        <v>74</v>
      </c>
      <c r="BQ518" t="s">
        <v>74</v>
      </c>
      <c r="BR518" t="s">
        <v>104</v>
      </c>
      <c r="BS518" t="s">
        <v>8632</v>
      </c>
      <c r="BT518" t="str">
        <f>HYPERLINK("https%3A%2F%2Fwww.webofscience.com%2Fwos%2Fwoscc%2Ffull-record%2FWOS:000869147200001","View Full Record in Web of Science")</f>
        <v>View Full Record in Web of Science</v>
      </c>
    </row>
    <row r="519" spans="1:72" x14ac:dyDescent="0.25">
      <c r="A519" t="s">
        <v>72</v>
      </c>
      <c r="B519" t="s">
        <v>8633</v>
      </c>
      <c r="C519" t="s">
        <v>74</v>
      </c>
      <c r="D519" t="s">
        <v>74</v>
      </c>
      <c r="E519" t="s">
        <v>74</v>
      </c>
      <c r="F519" t="s">
        <v>8634</v>
      </c>
      <c r="G519" t="s">
        <v>74</v>
      </c>
      <c r="H519" t="s">
        <v>74</v>
      </c>
      <c r="I519" t="s">
        <v>8635</v>
      </c>
      <c r="J519" t="s">
        <v>8636</v>
      </c>
      <c r="K519" t="s">
        <v>74</v>
      </c>
      <c r="L519" t="s">
        <v>74</v>
      </c>
      <c r="M519" t="s">
        <v>78</v>
      </c>
      <c r="N519" t="s">
        <v>79</v>
      </c>
      <c r="O519" t="s">
        <v>74</v>
      </c>
      <c r="P519" t="s">
        <v>74</v>
      </c>
      <c r="Q519" t="s">
        <v>74</v>
      </c>
      <c r="R519" t="s">
        <v>74</v>
      </c>
      <c r="S519" t="s">
        <v>74</v>
      </c>
      <c r="T519" t="s">
        <v>8637</v>
      </c>
      <c r="U519" t="s">
        <v>8638</v>
      </c>
      <c r="V519" t="s">
        <v>8639</v>
      </c>
      <c r="W519" t="s">
        <v>8640</v>
      </c>
      <c r="X519" t="s">
        <v>8641</v>
      </c>
      <c r="Y519" t="s">
        <v>8642</v>
      </c>
      <c r="Z519" t="s">
        <v>8643</v>
      </c>
      <c r="AA519" t="s">
        <v>8644</v>
      </c>
      <c r="AB519" t="s">
        <v>8645</v>
      </c>
      <c r="AC519" t="s">
        <v>8646</v>
      </c>
      <c r="AD519" t="s">
        <v>8647</v>
      </c>
      <c r="AE519" t="s">
        <v>8648</v>
      </c>
      <c r="AF519" t="s">
        <v>74</v>
      </c>
      <c r="AG519">
        <v>124</v>
      </c>
      <c r="AH519">
        <v>0</v>
      </c>
      <c r="AI519">
        <v>0</v>
      </c>
      <c r="AJ519">
        <v>7</v>
      </c>
      <c r="AK519">
        <v>22</v>
      </c>
      <c r="AL519" t="s">
        <v>509</v>
      </c>
      <c r="AM519" t="s">
        <v>510</v>
      </c>
      <c r="AN519" t="s">
        <v>511</v>
      </c>
      <c r="AO519" t="s">
        <v>8649</v>
      </c>
      <c r="AP519" t="s">
        <v>8650</v>
      </c>
      <c r="AQ519" t="s">
        <v>74</v>
      </c>
      <c r="AR519" t="s">
        <v>8636</v>
      </c>
      <c r="AS519" t="s">
        <v>8651</v>
      </c>
      <c r="AT519" t="s">
        <v>145</v>
      </c>
      <c r="AU519">
        <v>2023</v>
      </c>
      <c r="AV519">
        <v>128</v>
      </c>
      <c r="AW519" t="s">
        <v>74</v>
      </c>
      <c r="AX519" t="s">
        <v>74</v>
      </c>
      <c r="AY519" t="s">
        <v>74</v>
      </c>
      <c r="AZ519" t="s">
        <v>74</v>
      </c>
      <c r="BA519" t="s">
        <v>74</v>
      </c>
      <c r="BB519" t="s">
        <v>74</v>
      </c>
      <c r="BC519" t="s">
        <v>74</v>
      </c>
      <c r="BD519">
        <v>102869</v>
      </c>
      <c r="BE519" t="s">
        <v>8652</v>
      </c>
      <c r="BF519" t="str">
        <f>HYPERLINK("http://dx.doi.org/10.1016/j.technovation.2023.102869","http://dx.doi.org/10.1016/j.technovation.2023.102869")</f>
        <v>http://dx.doi.org/10.1016/j.technovation.2023.102869</v>
      </c>
      <c r="BG519" t="s">
        <v>74</v>
      </c>
      <c r="BH519" t="s">
        <v>147</v>
      </c>
      <c r="BI519">
        <v>12</v>
      </c>
      <c r="BJ519" t="s">
        <v>8653</v>
      </c>
      <c r="BK519" t="s">
        <v>322</v>
      </c>
      <c r="BL519" t="s">
        <v>8654</v>
      </c>
      <c r="BM519" t="s">
        <v>8655</v>
      </c>
      <c r="BN519" t="s">
        <v>74</v>
      </c>
      <c r="BO519" t="s">
        <v>123</v>
      </c>
      <c r="BP519" t="s">
        <v>74</v>
      </c>
      <c r="BQ519" t="s">
        <v>74</v>
      </c>
      <c r="BR519" t="s">
        <v>104</v>
      </c>
      <c r="BS519" t="s">
        <v>8656</v>
      </c>
      <c r="BT519" t="str">
        <f>HYPERLINK("https%3A%2F%2Fwww.webofscience.com%2Fwos%2Fwoscc%2Ffull-record%2FWOS:001080457100001","View Full Record in Web of Science")</f>
        <v>View Full Record in Web of Science</v>
      </c>
    </row>
    <row r="520" spans="1:72" x14ac:dyDescent="0.25">
      <c r="A520" t="s">
        <v>72</v>
      </c>
      <c r="B520" t="s">
        <v>8657</v>
      </c>
      <c r="C520" t="s">
        <v>74</v>
      </c>
      <c r="D520" t="s">
        <v>74</v>
      </c>
      <c r="E520" t="s">
        <v>74</v>
      </c>
      <c r="F520" t="s">
        <v>8658</v>
      </c>
      <c r="G520" t="s">
        <v>74</v>
      </c>
      <c r="H520" t="s">
        <v>74</v>
      </c>
      <c r="I520" t="s">
        <v>8659</v>
      </c>
      <c r="J520" t="s">
        <v>299</v>
      </c>
      <c r="K520" t="s">
        <v>74</v>
      </c>
      <c r="L520" t="s">
        <v>74</v>
      </c>
      <c r="M520" t="s">
        <v>78</v>
      </c>
      <c r="N520" t="s">
        <v>79</v>
      </c>
      <c r="O520" t="s">
        <v>74</v>
      </c>
      <c r="P520" t="s">
        <v>74</v>
      </c>
      <c r="Q520" t="s">
        <v>74</v>
      </c>
      <c r="R520" t="s">
        <v>74</v>
      </c>
      <c r="S520" t="s">
        <v>74</v>
      </c>
      <c r="T520" t="s">
        <v>8660</v>
      </c>
      <c r="U520" t="s">
        <v>8661</v>
      </c>
      <c r="V520" t="s">
        <v>8662</v>
      </c>
      <c r="W520" t="s">
        <v>8663</v>
      </c>
      <c r="X520" t="s">
        <v>8664</v>
      </c>
      <c r="Y520" t="s">
        <v>8665</v>
      </c>
      <c r="Z520" t="s">
        <v>8666</v>
      </c>
      <c r="AA520" t="s">
        <v>8667</v>
      </c>
      <c r="AB520" t="s">
        <v>8668</v>
      </c>
      <c r="AC520" t="s">
        <v>74</v>
      </c>
      <c r="AD520" t="s">
        <v>74</v>
      </c>
      <c r="AE520" t="s">
        <v>74</v>
      </c>
      <c r="AF520" t="s">
        <v>74</v>
      </c>
      <c r="AG520">
        <v>30</v>
      </c>
      <c r="AH520">
        <v>11</v>
      </c>
      <c r="AI520">
        <v>11</v>
      </c>
      <c r="AJ520">
        <v>2</v>
      </c>
      <c r="AK520">
        <v>21</v>
      </c>
      <c r="AL520" t="s">
        <v>311</v>
      </c>
      <c r="AM520" t="s">
        <v>312</v>
      </c>
      <c r="AN520" t="s">
        <v>313</v>
      </c>
      <c r="AO520" t="s">
        <v>314</v>
      </c>
      <c r="AP520" t="s">
        <v>315</v>
      </c>
      <c r="AQ520" t="s">
        <v>74</v>
      </c>
      <c r="AR520" t="s">
        <v>316</v>
      </c>
      <c r="AS520" t="s">
        <v>317</v>
      </c>
      <c r="AT520" t="s">
        <v>8669</v>
      </c>
      <c r="AU520">
        <v>2020</v>
      </c>
      <c r="AV520">
        <v>58</v>
      </c>
      <c r="AW520">
        <v>3</v>
      </c>
      <c r="AX520" t="s">
        <v>74</v>
      </c>
      <c r="AY520" t="s">
        <v>74</v>
      </c>
      <c r="AZ520" t="s">
        <v>74</v>
      </c>
      <c r="BA520" t="s">
        <v>74</v>
      </c>
      <c r="BB520">
        <v>878</v>
      </c>
      <c r="BC520">
        <v>892</v>
      </c>
      <c r="BD520" t="s">
        <v>74</v>
      </c>
      <c r="BE520" t="s">
        <v>8670</v>
      </c>
      <c r="BF520" t="str">
        <f>HYPERLINK("http://dx.doi.org/10.1080/00207543.2019.1602743","http://dx.doi.org/10.1080/00207543.2019.1602743")</f>
        <v>http://dx.doi.org/10.1080/00207543.2019.1602743</v>
      </c>
      <c r="BG520" t="s">
        <v>74</v>
      </c>
      <c r="BH520" t="s">
        <v>8671</v>
      </c>
      <c r="BI520">
        <v>15</v>
      </c>
      <c r="BJ520" t="s">
        <v>321</v>
      </c>
      <c r="BK520" t="s">
        <v>149</v>
      </c>
      <c r="BL520" t="s">
        <v>150</v>
      </c>
      <c r="BM520" t="s">
        <v>8672</v>
      </c>
      <c r="BN520" t="s">
        <v>74</v>
      </c>
      <c r="BO520" t="s">
        <v>74</v>
      </c>
      <c r="BP520" t="s">
        <v>74</v>
      </c>
      <c r="BQ520" t="s">
        <v>74</v>
      </c>
      <c r="BR520" t="s">
        <v>104</v>
      </c>
      <c r="BS520" t="s">
        <v>8673</v>
      </c>
      <c r="BT520" t="str">
        <f>HYPERLINK("https%3A%2F%2Fwww.webofscience.com%2Fwos%2Fwoscc%2Ffull-record%2FWOS:000465961500001","View Full Record in Web of Science")</f>
        <v>View Full Record in Web of Science</v>
      </c>
    </row>
    <row r="521" spans="1:72" x14ac:dyDescent="0.25">
      <c r="A521" t="s">
        <v>72</v>
      </c>
      <c r="B521" t="s">
        <v>8674</v>
      </c>
      <c r="C521" t="s">
        <v>74</v>
      </c>
      <c r="D521" t="s">
        <v>74</v>
      </c>
      <c r="E521" t="s">
        <v>74</v>
      </c>
      <c r="F521" t="s">
        <v>8675</v>
      </c>
      <c r="G521" t="s">
        <v>74</v>
      </c>
      <c r="H521" t="s">
        <v>74</v>
      </c>
      <c r="I521" t="s">
        <v>8676</v>
      </c>
      <c r="J521" t="s">
        <v>3529</v>
      </c>
      <c r="K521" t="s">
        <v>74</v>
      </c>
      <c r="L521" t="s">
        <v>74</v>
      </c>
      <c r="M521" t="s">
        <v>78</v>
      </c>
      <c r="N521" t="s">
        <v>79</v>
      </c>
      <c r="O521" t="s">
        <v>74</v>
      </c>
      <c r="P521" t="s">
        <v>74</v>
      </c>
      <c r="Q521" t="s">
        <v>74</v>
      </c>
      <c r="R521" t="s">
        <v>74</v>
      </c>
      <c r="S521" t="s">
        <v>74</v>
      </c>
      <c r="T521" t="s">
        <v>8677</v>
      </c>
      <c r="U521" t="s">
        <v>8678</v>
      </c>
      <c r="V521" t="s">
        <v>8679</v>
      </c>
      <c r="W521" t="s">
        <v>8680</v>
      </c>
      <c r="X521" t="s">
        <v>74</v>
      </c>
      <c r="Y521" t="s">
        <v>8681</v>
      </c>
      <c r="Z521" t="s">
        <v>8682</v>
      </c>
      <c r="AA521" t="s">
        <v>74</v>
      </c>
      <c r="AB521" t="s">
        <v>74</v>
      </c>
      <c r="AC521" t="s">
        <v>74</v>
      </c>
      <c r="AD521" t="s">
        <v>74</v>
      </c>
      <c r="AE521" t="s">
        <v>74</v>
      </c>
      <c r="AF521" t="s">
        <v>74</v>
      </c>
      <c r="AG521">
        <v>32</v>
      </c>
      <c r="AH521">
        <v>0</v>
      </c>
      <c r="AI521">
        <v>0</v>
      </c>
      <c r="AJ521">
        <v>1</v>
      </c>
      <c r="AK521">
        <v>5</v>
      </c>
      <c r="AL521" t="s">
        <v>3538</v>
      </c>
      <c r="AM521" t="s">
        <v>3539</v>
      </c>
      <c r="AN521" t="s">
        <v>3540</v>
      </c>
      <c r="AO521" t="s">
        <v>3812</v>
      </c>
      <c r="AP521" t="s">
        <v>3541</v>
      </c>
      <c r="AQ521" t="s">
        <v>74</v>
      </c>
      <c r="AR521" t="s">
        <v>3542</v>
      </c>
      <c r="AS521" t="s">
        <v>3543</v>
      </c>
      <c r="AT521" t="s">
        <v>74</v>
      </c>
      <c r="AU521">
        <v>2022</v>
      </c>
      <c r="AV521">
        <v>29</v>
      </c>
      <c r="AW521">
        <v>1</v>
      </c>
      <c r="AX521" t="s">
        <v>74</v>
      </c>
      <c r="AY521" t="s">
        <v>74</v>
      </c>
      <c r="AZ521" t="s">
        <v>74</v>
      </c>
      <c r="BA521" t="s">
        <v>74</v>
      </c>
      <c r="BB521">
        <v>80</v>
      </c>
      <c r="BC521">
        <v>95</v>
      </c>
      <c r="BD521" t="s">
        <v>74</v>
      </c>
      <c r="BE521" t="s">
        <v>8683</v>
      </c>
      <c r="BF521" t="str">
        <f>HYPERLINK("http://dx.doi.org/10.23055/ijietap.2022.29.1.6995","http://dx.doi.org/10.23055/ijietap.2022.29.1.6995")</f>
        <v>http://dx.doi.org/10.23055/ijietap.2022.29.1.6995</v>
      </c>
      <c r="BG521" t="s">
        <v>74</v>
      </c>
      <c r="BH521" t="s">
        <v>74</v>
      </c>
      <c r="BI521">
        <v>16</v>
      </c>
      <c r="BJ521" t="s">
        <v>3544</v>
      </c>
      <c r="BK521" t="s">
        <v>149</v>
      </c>
      <c r="BL521" t="s">
        <v>102</v>
      </c>
      <c r="BM521" t="s">
        <v>8684</v>
      </c>
      <c r="BN521" t="s">
        <v>74</v>
      </c>
      <c r="BO521" t="s">
        <v>74</v>
      </c>
      <c r="BP521" t="s">
        <v>74</v>
      </c>
      <c r="BQ521" t="s">
        <v>74</v>
      </c>
      <c r="BR521" t="s">
        <v>104</v>
      </c>
      <c r="BS521" t="s">
        <v>8685</v>
      </c>
      <c r="BT521" t="str">
        <f>HYPERLINK("https%3A%2F%2Fwww.webofscience.com%2Fwos%2Fwoscc%2Ffull-record%2FWOS:000778397300001","View Full Record in Web of Science")</f>
        <v>View Full Record in Web of Science</v>
      </c>
    </row>
    <row r="522" spans="1:72" x14ac:dyDescent="0.25">
      <c r="A522" t="s">
        <v>72</v>
      </c>
      <c r="B522" t="s">
        <v>8686</v>
      </c>
      <c r="C522" t="s">
        <v>74</v>
      </c>
      <c r="D522" t="s">
        <v>74</v>
      </c>
      <c r="E522" t="s">
        <v>74</v>
      </c>
      <c r="F522" t="s">
        <v>8687</v>
      </c>
      <c r="G522" t="s">
        <v>74</v>
      </c>
      <c r="H522" t="s">
        <v>74</v>
      </c>
      <c r="I522" t="s">
        <v>8688</v>
      </c>
      <c r="J522" t="s">
        <v>128</v>
      </c>
      <c r="K522" t="s">
        <v>74</v>
      </c>
      <c r="L522" t="s">
        <v>74</v>
      </c>
      <c r="M522" t="s">
        <v>78</v>
      </c>
      <c r="N522" t="s">
        <v>79</v>
      </c>
      <c r="O522" t="s">
        <v>74</v>
      </c>
      <c r="P522" t="s">
        <v>74</v>
      </c>
      <c r="Q522" t="s">
        <v>74</v>
      </c>
      <c r="R522" t="s">
        <v>74</v>
      </c>
      <c r="S522" t="s">
        <v>74</v>
      </c>
      <c r="T522" t="s">
        <v>8689</v>
      </c>
      <c r="U522" t="s">
        <v>8690</v>
      </c>
      <c r="V522" t="s">
        <v>8691</v>
      </c>
      <c r="W522" t="s">
        <v>8692</v>
      </c>
      <c r="X522" t="s">
        <v>8693</v>
      </c>
      <c r="Y522" t="s">
        <v>3520</v>
      </c>
      <c r="Z522" t="s">
        <v>806</v>
      </c>
      <c r="AA522" t="s">
        <v>705</v>
      </c>
      <c r="AB522" t="s">
        <v>8694</v>
      </c>
      <c r="AC522" t="s">
        <v>3521</v>
      </c>
      <c r="AD522" t="s">
        <v>482</v>
      </c>
      <c r="AE522" t="s">
        <v>3522</v>
      </c>
      <c r="AF522" t="s">
        <v>74</v>
      </c>
      <c r="AG522">
        <v>43</v>
      </c>
      <c r="AH522">
        <v>17</v>
      </c>
      <c r="AI522">
        <v>17</v>
      </c>
      <c r="AJ522">
        <v>20</v>
      </c>
      <c r="AK522">
        <v>55</v>
      </c>
      <c r="AL522" t="s">
        <v>138</v>
      </c>
      <c r="AM522" t="s">
        <v>139</v>
      </c>
      <c r="AN522" t="s">
        <v>140</v>
      </c>
      <c r="AO522" t="s">
        <v>141</v>
      </c>
      <c r="AP522" t="s">
        <v>142</v>
      </c>
      <c r="AQ522" t="s">
        <v>74</v>
      </c>
      <c r="AR522" t="s">
        <v>143</v>
      </c>
      <c r="AS522" t="s">
        <v>144</v>
      </c>
      <c r="AT522" t="s">
        <v>533</v>
      </c>
      <c r="AU522">
        <v>2024</v>
      </c>
      <c r="AV522">
        <v>242</v>
      </c>
      <c r="AW522" t="s">
        <v>74</v>
      </c>
      <c r="AX522" t="s">
        <v>74</v>
      </c>
      <c r="AY522" t="s">
        <v>74</v>
      </c>
      <c r="AZ522" t="s">
        <v>74</v>
      </c>
      <c r="BA522" t="s">
        <v>74</v>
      </c>
      <c r="BB522" t="s">
        <v>74</v>
      </c>
      <c r="BC522" t="s">
        <v>74</v>
      </c>
      <c r="BD522">
        <v>109773</v>
      </c>
      <c r="BE522" t="s">
        <v>8695</v>
      </c>
      <c r="BF522" t="str">
        <f>HYPERLINK("http://dx.doi.org/10.1016/j.ress.2023.109773","http://dx.doi.org/10.1016/j.ress.2023.109773")</f>
        <v>http://dx.doi.org/10.1016/j.ress.2023.109773</v>
      </c>
      <c r="BG522" t="s">
        <v>74</v>
      </c>
      <c r="BH522" t="s">
        <v>1111</v>
      </c>
      <c r="BI522">
        <v>11</v>
      </c>
      <c r="BJ522" t="s">
        <v>148</v>
      </c>
      <c r="BK522" t="s">
        <v>149</v>
      </c>
      <c r="BL522" t="s">
        <v>150</v>
      </c>
      <c r="BM522" t="s">
        <v>8696</v>
      </c>
      <c r="BN522" t="s">
        <v>74</v>
      </c>
      <c r="BO522" t="s">
        <v>400</v>
      </c>
      <c r="BP522" t="s">
        <v>74</v>
      </c>
      <c r="BQ522" t="s">
        <v>74</v>
      </c>
      <c r="BR522" t="s">
        <v>104</v>
      </c>
      <c r="BS522" t="s">
        <v>8697</v>
      </c>
      <c r="BT522" t="str">
        <f>HYPERLINK("https%3A%2F%2Fwww.webofscience.com%2Fwos%2Fwoscc%2Ffull-record%2FWOS:001112697200001","View Full Record in Web of Science")</f>
        <v>View Full Record in Web of Science</v>
      </c>
    </row>
    <row r="523" spans="1:72" x14ac:dyDescent="0.25">
      <c r="A523" t="s">
        <v>72</v>
      </c>
      <c r="B523" t="s">
        <v>8698</v>
      </c>
      <c r="C523" t="s">
        <v>74</v>
      </c>
      <c r="D523" t="s">
        <v>74</v>
      </c>
      <c r="E523" t="s">
        <v>74</v>
      </c>
      <c r="F523" t="s">
        <v>8699</v>
      </c>
      <c r="G523" t="s">
        <v>74</v>
      </c>
      <c r="H523" t="s">
        <v>74</v>
      </c>
      <c r="I523" t="s">
        <v>8700</v>
      </c>
      <c r="J523" t="s">
        <v>128</v>
      </c>
      <c r="K523" t="s">
        <v>74</v>
      </c>
      <c r="L523" t="s">
        <v>74</v>
      </c>
      <c r="M523" t="s">
        <v>78</v>
      </c>
      <c r="N523" t="s">
        <v>79</v>
      </c>
      <c r="O523" t="s">
        <v>74</v>
      </c>
      <c r="P523" t="s">
        <v>74</v>
      </c>
      <c r="Q523" t="s">
        <v>74</v>
      </c>
      <c r="R523" t="s">
        <v>74</v>
      </c>
      <c r="S523" t="s">
        <v>74</v>
      </c>
      <c r="T523" t="s">
        <v>8701</v>
      </c>
      <c r="U523" t="s">
        <v>8702</v>
      </c>
      <c r="V523" t="s">
        <v>8703</v>
      </c>
      <c r="W523" t="s">
        <v>8704</v>
      </c>
      <c r="X523" t="s">
        <v>8705</v>
      </c>
      <c r="Y523" t="s">
        <v>8706</v>
      </c>
      <c r="Z523" t="s">
        <v>2034</v>
      </c>
      <c r="AA523" t="s">
        <v>8707</v>
      </c>
      <c r="AB523" t="s">
        <v>4487</v>
      </c>
      <c r="AC523" t="s">
        <v>8708</v>
      </c>
      <c r="AD523" t="s">
        <v>8709</v>
      </c>
      <c r="AE523" t="s">
        <v>8710</v>
      </c>
      <c r="AF523" t="s">
        <v>74</v>
      </c>
      <c r="AG523">
        <v>35</v>
      </c>
      <c r="AH523">
        <v>20</v>
      </c>
      <c r="AI523">
        <v>21</v>
      </c>
      <c r="AJ523">
        <v>6</v>
      </c>
      <c r="AK523">
        <v>45</v>
      </c>
      <c r="AL523" t="s">
        <v>138</v>
      </c>
      <c r="AM523" t="s">
        <v>246</v>
      </c>
      <c r="AN523" t="s">
        <v>247</v>
      </c>
      <c r="AO523" t="s">
        <v>141</v>
      </c>
      <c r="AP523" t="s">
        <v>142</v>
      </c>
      <c r="AQ523" t="s">
        <v>74</v>
      </c>
      <c r="AR523" t="s">
        <v>143</v>
      </c>
      <c r="AS523" t="s">
        <v>144</v>
      </c>
      <c r="AT523" t="s">
        <v>1076</v>
      </c>
      <c r="AU523">
        <v>2021</v>
      </c>
      <c r="AV523">
        <v>214</v>
      </c>
      <c r="AW523" t="s">
        <v>74</v>
      </c>
      <c r="AX523" t="s">
        <v>74</v>
      </c>
      <c r="AY523" t="s">
        <v>74</v>
      </c>
      <c r="AZ523" t="s">
        <v>74</v>
      </c>
      <c r="BA523" t="s">
        <v>74</v>
      </c>
      <c r="BB523" t="s">
        <v>74</v>
      </c>
      <c r="BC523" t="s">
        <v>74</v>
      </c>
      <c r="BD523">
        <v>107699</v>
      </c>
      <c r="BE523" t="s">
        <v>8711</v>
      </c>
      <c r="BF523" t="str">
        <f>HYPERLINK("http://dx.doi.org/10.1016/j.ress.2021.107699","http://dx.doi.org/10.1016/j.ress.2021.107699")</f>
        <v>http://dx.doi.org/10.1016/j.ress.2021.107699</v>
      </c>
      <c r="BG523" t="s">
        <v>74</v>
      </c>
      <c r="BH523" t="s">
        <v>714</v>
      </c>
      <c r="BI523">
        <v>11</v>
      </c>
      <c r="BJ523" t="s">
        <v>148</v>
      </c>
      <c r="BK523" t="s">
        <v>149</v>
      </c>
      <c r="BL523" t="s">
        <v>150</v>
      </c>
      <c r="BM523" t="s">
        <v>1615</v>
      </c>
      <c r="BN523" t="s">
        <v>74</v>
      </c>
      <c r="BO523" t="s">
        <v>74</v>
      </c>
      <c r="BP523" t="s">
        <v>74</v>
      </c>
      <c r="BQ523" t="s">
        <v>74</v>
      </c>
      <c r="BR523" t="s">
        <v>104</v>
      </c>
      <c r="BS523" t="s">
        <v>8712</v>
      </c>
      <c r="BT523" t="str">
        <f>HYPERLINK("https%3A%2F%2Fwww.webofscience.com%2Fwos%2Fwoscc%2Ffull-record%2FWOS:000663912500008","View Full Record in Web of Science")</f>
        <v>View Full Record in Web of Science</v>
      </c>
    </row>
    <row r="524" spans="1:72" x14ac:dyDescent="0.25">
      <c r="A524" t="s">
        <v>72</v>
      </c>
      <c r="B524" t="s">
        <v>8713</v>
      </c>
      <c r="C524" t="s">
        <v>74</v>
      </c>
      <c r="D524" t="s">
        <v>74</v>
      </c>
      <c r="E524" t="s">
        <v>74</v>
      </c>
      <c r="F524" t="s">
        <v>8714</v>
      </c>
      <c r="G524" t="s">
        <v>74</v>
      </c>
      <c r="H524" t="s">
        <v>74</v>
      </c>
      <c r="I524" t="s">
        <v>8715</v>
      </c>
      <c r="J524" t="s">
        <v>1557</v>
      </c>
      <c r="K524" t="s">
        <v>74</v>
      </c>
      <c r="L524" t="s">
        <v>74</v>
      </c>
      <c r="M524" t="s">
        <v>78</v>
      </c>
      <c r="N524" t="s">
        <v>79</v>
      </c>
      <c r="O524" t="s">
        <v>74</v>
      </c>
      <c r="P524" t="s">
        <v>74</v>
      </c>
      <c r="Q524" t="s">
        <v>74</v>
      </c>
      <c r="R524" t="s">
        <v>74</v>
      </c>
      <c r="S524" t="s">
        <v>74</v>
      </c>
      <c r="T524" t="s">
        <v>8716</v>
      </c>
      <c r="U524" t="s">
        <v>8717</v>
      </c>
      <c r="V524" t="s">
        <v>8718</v>
      </c>
      <c r="W524" t="s">
        <v>8719</v>
      </c>
      <c r="X524" t="s">
        <v>8720</v>
      </c>
      <c r="Y524" t="s">
        <v>8721</v>
      </c>
      <c r="Z524" t="s">
        <v>8722</v>
      </c>
      <c r="AA524" t="s">
        <v>74</v>
      </c>
      <c r="AB524" t="s">
        <v>8723</v>
      </c>
      <c r="AC524" t="s">
        <v>8724</v>
      </c>
      <c r="AD524" t="s">
        <v>8725</v>
      </c>
      <c r="AE524" t="s">
        <v>8726</v>
      </c>
      <c r="AF524" t="s">
        <v>74</v>
      </c>
      <c r="AG524">
        <v>97</v>
      </c>
      <c r="AH524">
        <v>0</v>
      </c>
      <c r="AI524">
        <v>0</v>
      </c>
      <c r="AJ524">
        <v>16</v>
      </c>
      <c r="AK524">
        <v>16</v>
      </c>
      <c r="AL524" t="s">
        <v>707</v>
      </c>
      <c r="AM524" t="s">
        <v>246</v>
      </c>
      <c r="AN524" t="s">
        <v>708</v>
      </c>
      <c r="AO524" t="s">
        <v>1569</v>
      </c>
      <c r="AP524" t="s">
        <v>1570</v>
      </c>
      <c r="AQ524" t="s">
        <v>74</v>
      </c>
      <c r="AR524" t="s">
        <v>1571</v>
      </c>
      <c r="AS524" t="s">
        <v>1572</v>
      </c>
      <c r="AT524" t="s">
        <v>8727</v>
      </c>
      <c r="AU524">
        <v>2025</v>
      </c>
      <c r="AV524">
        <v>263</v>
      </c>
      <c r="AW524" t="s">
        <v>74</v>
      </c>
      <c r="AX524" t="s">
        <v>74</v>
      </c>
      <c r="AY524" t="s">
        <v>74</v>
      </c>
      <c r="AZ524" t="s">
        <v>74</v>
      </c>
      <c r="BA524" t="s">
        <v>74</v>
      </c>
      <c r="BB524" t="s">
        <v>74</v>
      </c>
      <c r="BC524" t="s">
        <v>74</v>
      </c>
      <c r="BD524">
        <v>125778</v>
      </c>
      <c r="BE524" t="s">
        <v>8728</v>
      </c>
      <c r="BF524" t="str">
        <f>HYPERLINK("http://dx.doi.org/10.1016/j.eswa.2024.125778","http://dx.doi.org/10.1016/j.eswa.2024.125778")</f>
        <v>http://dx.doi.org/10.1016/j.eswa.2024.125778</v>
      </c>
      <c r="BG524" t="s">
        <v>74</v>
      </c>
      <c r="BH524" t="s">
        <v>1174</v>
      </c>
      <c r="BI524">
        <v>17</v>
      </c>
      <c r="BJ524" t="s">
        <v>1575</v>
      </c>
      <c r="BK524" t="s">
        <v>149</v>
      </c>
      <c r="BL524" t="s">
        <v>1576</v>
      </c>
      <c r="BM524" t="s">
        <v>8729</v>
      </c>
      <c r="BN524" t="s">
        <v>74</v>
      </c>
      <c r="BO524" t="s">
        <v>74</v>
      </c>
      <c r="BP524" t="s">
        <v>74</v>
      </c>
      <c r="BQ524" t="s">
        <v>74</v>
      </c>
      <c r="BR524" t="s">
        <v>104</v>
      </c>
      <c r="BS524" t="s">
        <v>8730</v>
      </c>
      <c r="BT524" t="str">
        <f>HYPERLINK("https%3A%2F%2Fwww.webofscience.com%2Fwos%2Fwoscc%2Ffull-record%2FWOS:001361134000001","View Full Record in Web of Science")</f>
        <v>View Full Record in Web of Science</v>
      </c>
    </row>
    <row r="525" spans="1:72" x14ac:dyDescent="0.25">
      <c r="A525" t="s">
        <v>72</v>
      </c>
      <c r="B525" t="s">
        <v>8731</v>
      </c>
      <c r="C525" t="s">
        <v>74</v>
      </c>
      <c r="D525" t="s">
        <v>74</v>
      </c>
      <c r="E525" t="s">
        <v>74</v>
      </c>
      <c r="F525" t="s">
        <v>8732</v>
      </c>
      <c r="G525" t="s">
        <v>74</v>
      </c>
      <c r="H525" t="s">
        <v>74</v>
      </c>
      <c r="I525" t="s">
        <v>8733</v>
      </c>
      <c r="J525" t="s">
        <v>128</v>
      </c>
      <c r="K525" t="s">
        <v>74</v>
      </c>
      <c r="L525" t="s">
        <v>74</v>
      </c>
      <c r="M525" t="s">
        <v>78</v>
      </c>
      <c r="N525" t="s">
        <v>79</v>
      </c>
      <c r="O525" t="s">
        <v>74</v>
      </c>
      <c r="P525" t="s">
        <v>74</v>
      </c>
      <c r="Q525" t="s">
        <v>74</v>
      </c>
      <c r="R525" t="s">
        <v>74</v>
      </c>
      <c r="S525" t="s">
        <v>74</v>
      </c>
      <c r="T525" t="s">
        <v>8734</v>
      </c>
      <c r="U525" t="s">
        <v>8735</v>
      </c>
      <c r="V525" t="s">
        <v>8736</v>
      </c>
      <c r="W525" t="s">
        <v>8737</v>
      </c>
      <c r="X525" t="s">
        <v>8738</v>
      </c>
      <c r="Y525" t="s">
        <v>3520</v>
      </c>
      <c r="Z525" t="s">
        <v>806</v>
      </c>
      <c r="AA525" t="s">
        <v>807</v>
      </c>
      <c r="AB525" t="s">
        <v>1483</v>
      </c>
      <c r="AC525" t="s">
        <v>8739</v>
      </c>
      <c r="AD525" t="s">
        <v>8740</v>
      </c>
      <c r="AE525" t="s">
        <v>8741</v>
      </c>
      <c r="AF525" t="s">
        <v>74</v>
      </c>
      <c r="AG525">
        <v>30</v>
      </c>
      <c r="AH525">
        <v>16</v>
      </c>
      <c r="AI525">
        <v>16</v>
      </c>
      <c r="AJ525">
        <v>4</v>
      </c>
      <c r="AK525">
        <v>32</v>
      </c>
      <c r="AL525" t="s">
        <v>138</v>
      </c>
      <c r="AM525" t="s">
        <v>139</v>
      </c>
      <c r="AN525" t="s">
        <v>140</v>
      </c>
      <c r="AO525" t="s">
        <v>141</v>
      </c>
      <c r="AP525" t="s">
        <v>142</v>
      </c>
      <c r="AQ525" t="s">
        <v>74</v>
      </c>
      <c r="AR525" t="s">
        <v>143</v>
      </c>
      <c r="AS525" t="s">
        <v>144</v>
      </c>
      <c r="AT525" t="s">
        <v>248</v>
      </c>
      <c r="AU525">
        <v>2023</v>
      </c>
      <c r="AV525">
        <v>235</v>
      </c>
      <c r="AW525" t="s">
        <v>74</v>
      </c>
      <c r="AX525" t="s">
        <v>74</v>
      </c>
      <c r="AY525" t="s">
        <v>74</v>
      </c>
      <c r="AZ525" t="s">
        <v>74</v>
      </c>
      <c r="BA525" t="s">
        <v>74</v>
      </c>
      <c r="BB525" t="s">
        <v>74</v>
      </c>
      <c r="BC525" t="s">
        <v>74</v>
      </c>
      <c r="BD525">
        <v>109275</v>
      </c>
      <c r="BE525" t="s">
        <v>8742</v>
      </c>
      <c r="BF525" t="str">
        <f>HYPERLINK("http://dx.doi.org/10.1016/j.ress.2023.109275","http://dx.doi.org/10.1016/j.ress.2023.109275")</f>
        <v>http://dx.doi.org/10.1016/j.ress.2023.109275</v>
      </c>
      <c r="BG525" t="s">
        <v>74</v>
      </c>
      <c r="BH525" t="s">
        <v>1685</v>
      </c>
      <c r="BI525">
        <v>11</v>
      </c>
      <c r="BJ525" t="s">
        <v>148</v>
      </c>
      <c r="BK525" t="s">
        <v>149</v>
      </c>
      <c r="BL525" t="s">
        <v>150</v>
      </c>
      <c r="BM525" t="s">
        <v>8743</v>
      </c>
      <c r="BN525" t="s">
        <v>74</v>
      </c>
      <c r="BO525" t="s">
        <v>74</v>
      </c>
      <c r="BP525" t="s">
        <v>74</v>
      </c>
      <c r="BQ525" t="s">
        <v>74</v>
      </c>
      <c r="BR525" t="s">
        <v>104</v>
      </c>
      <c r="BS525" t="s">
        <v>8744</v>
      </c>
      <c r="BT525" t="str">
        <f>HYPERLINK("https%3A%2F%2Fwww.webofscience.com%2Fwos%2Fwoscc%2Ffull-record%2FWOS:000973647400001","View Full Record in Web of Science")</f>
        <v>View Full Record in Web of Science</v>
      </c>
    </row>
    <row r="526" spans="1:72" x14ac:dyDescent="0.25">
      <c r="A526" t="s">
        <v>72</v>
      </c>
      <c r="B526" t="s">
        <v>8745</v>
      </c>
      <c r="C526" t="s">
        <v>74</v>
      </c>
      <c r="D526" t="s">
        <v>74</v>
      </c>
      <c r="E526" t="s">
        <v>74</v>
      </c>
      <c r="F526" t="s">
        <v>8746</v>
      </c>
      <c r="G526" t="s">
        <v>74</v>
      </c>
      <c r="H526" t="s">
        <v>74</v>
      </c>
      <c r="I526" t="s">
        <v>8747</v>
      </c>
      <c r="J526" t="s">
        <v>128</v>
      </c>
      <c r="K526" t="s">
        <v>74</v>
      </c>
      <c r="L526" t="s">
        <v>74</v>
      </c>
      <c r="M526" t="s">
        <v>78</v>
      </c>
      <c r="N526" t="s">
        <v>79</v>
      </c>
      <c r="O526" t="s">
        <v>74</v>
      </c>
      <c r="P526" t="s">
        <v>74</v>
      </c>
      <c r="Q526" t="s">
        <v>74</v>
      </c>
      <c r="R526" t="s">
        <v>74</v>
      </c>
      <c r="S526" t="s">
        <v>74</v>
      </c>
      <c r="T526" t="s">
        <v>8748</v>
      </c>
      <c r="U526" t="s">
        <v>8749</v>
      </c>
      <c r="V526" t="s">
        <v>8750</v>
      </c>
      <c r="W526" t="s">
        <v>8751</v>
      </c>
      <c r="X526" t="s">
        <v>8752</v>
      </c>
      <c r="Y526" t="s">
        <v>8753</v>
      </c>
      <c r="Z526" t="s">
        <v>8754</v>
      </c>
      <c r="AA526" t="s">
        <v>8755</v>
      </c>
      <c r="AB526" t="s">
        <v>8756</v>
      </c>
      <c r="AC526" t="s">
        <v>8757</v>
      </c>
      <c r="AD526" t="s">
        <v>8758</v>
      </c>
      <c r="AE526" t="s">
        <v>8759</v>
      </c>
      <c r="AF526" t="s">
        <v>74</v>
      </c>
      <c r="AG526">
        <v>39</v>
      </c>
      <c r="AH526">
        <v>2</v>
      </c>
      <c r="AI526">
        <v>2</v>
      </c>
      <c r="AJ526">
        <v>15</v>
      </c>
      <c r="AK526">
        <v>15</v>
      </c>
      <c r="AL526" t="s">
        <v>138</v>
      </c>
      <c r="AM526" t="s">
        <v>139</v>
      </c>
      <c r="AN526" t="s">
        <v>140</v>
      </c>
      <c r="AO526" t="s">
        <v>141</v>
      </c>
      <c r="AP526" t="s">
        <v>142</v>
      </c>
      <c r="AQ526" t="s">
        <v>74</v>
      </c>
      <c r="AR526" t="s">
        <v>143</v>
      </c>
      <c r="AS526" t="s">
        <v>144</v>
      </c>
      <c r="AT526" t="s">
        <v>1076</v>
      </c>
      <c r="AU526">
        <v>2024</v>
      </c>
      <c r="AV526">
        <v>250</v>
      </c>
      <c r="AW526" t="s">
        <v>74</v>
      </c>
      <c r="AX526" t="s">
        <v>74</v>
      </c>
      <c r="AY526" t="s">
        <v>74</v>
      </c>
      <c r="AZ526" t="s">
        <v>74</v>
      </c>
      <c r="BA526" t="s">
        <v>74</v>
      </c>
      <c r="BB526" t="s">
        <v>74</v>
      </c>
      <c r="BC526" t="s">
        <v>74</v>
      </c>
      <c r="BD526">
        <v>110195</v>
      </c>
      <c r="BE526" t="s">
        <v>8760</v>
      </c>
      <c r="BF526" t="str">
        <f>HYPERLINK("http://dx.doi.org/10.1016/j.ress.2024.110195","http://dx.doi.org/10.1016/j.ress.2024.110195")</f>
        <v>http://dx.doi.org/10.1016/j.ress.2024.110195</v>
      </c>
      <c r="BG526" t="s">
        <v>74</v>
      </c>
      <c r="BH526" t="s">
        <v>361</v>
      </c>
      <c r="BI526">
        <v>16</v>
      </c>
      <c r="BJ526" t="s">
        <v>148</v>
      </c>
      <c r="BK526" t="s">
        <v>149</v>
      </c>
      <c r="BL526" t="s">
        <v>150</v>
      </c>
      <c r="BM526" t="s">
        <v>8761</v>
      </c>
      <c r="BN526" t="s">
        <v>74</v>
      </c>
      <c r="BO526" t="s">
        <v>74</v>
      </c>
      <c r="BP526" t="s">
        <v>74</v>
      </c>
      <c r="BQ526" t="s">
        <v>74</v>
      </c>
      <c r="BR526" t="s">
        <v>104</v>
      </c>
      <c r="BS526" t="s">
        <v>8762</v>
      </c>
      <c r="BT526" t="str">
        <f>HYPERLINK("https%3A%2F%2Fwww.webofscience.com%2Fwos%2Fwoscc%2Ffull-record%2FWOS:001361292600001","View Full Record in Web of Science")</f>
        <v>View Full Record in Web of Science</v>
      </c>
    </row>
    <row r="527" spans="1:72" x14ac:dyDescent="0.25">
      <c r="A527" t="s">
        <v>72</v>
      </c>
      <c r="B527" t="s">
        <v>8763</v>
      </c>
      <c r="C527" t="s">
        <v>74</v>
      </c>
      <c r="D527" t="s">
        <v>74</v>
      </c>
      <c r="E527" t="s">
        <v>74</v>
      </c>
      <c r="F527" t="s">
        <v>8764</v>
      </c>
      <c r="G527" t="s">
        <v>74</v>
      </c>
      <c r="H527" t="s">
        <v>74</v>
      </c>
      <c r="I527" t="s">
        <v>8765</v>
      </c>
      <c r="J527" t="s">
        <v>542</v>
      </c>
      <c r="K527" t="s">
        <v>74</v>
      </c>
      <c r="L527" t="s">
        <v>74</v>
      </c>
      <c r="M527" t="s">
        <v>78</v>
      </c>
      <c r="N527" t="s">
        <v>79</v>
      </c>
      <c r="O527" t="s">
        <v>74</v>
      </c>
      <c r="P527" t="s">
        <v>74</v>
      </c>
      <c r="Q527" t="s">
        <v>74</v>
      </c>
      <c r="R527" t="s">
        <v>74</v>
      </c>
      <c r="S527" t="s">
        <v>74</v>
      </c>
      <c r="T527" t="s">
        <v>8766</v>
      </c>
      <c r="U527" t="s">
        <v>8767</v>
      </c>
      <c r="V527" t="s">
        <v>8768</v>
      </c>
      <c r="W527" t="s">
        <v>8769</v>
      </c>
      <c r="X527" t="s">
        <v>8770</v>
      </c>
      <c r="Y527" t="s">
        <v>3423</v>
      </c>
      <c r="Z527" t="s">
        <v>3424</v>
      </c>
      <c r="AA527" t="s">
        <v>74</v>
      </c>
      <c r="AB527" t="s">
        <v>8771</v>
      </c>
      <c r="AC527" t="s">
        <v>8772</v>
      </c>
      <c r="AD527" t="s">
        <v>8773</v>
      </c>
      <c r="AE527" t="s">
        <v>8774</v>
      </c>
      <c r="AF527" t="s">
        <v>74</v>
      </c>
      <c r="AG527">
        <v>43</v>
      </c>
      <c r="AH527">
        <v>16</v>
      </c>
      <c r="AI527">
        <v>16</v>
      </c>
      <c r="AJ527">
        <v>2</v>
      </c>
      <c r="AK527">
        <v>41</v>
      </c>
      <c r="AL527" t="s">
        <v>552</v>
      </c>
      <c r="AM527" t="s">
        <v>553</v>
      </c>
      <c r="AN527" t="s">
        <v>554</v>
      </c>
      <c r="AO527" t="s">
        <v>555</v>
      </c>
      <c r="AP527" t="s">
        <v>556</v>
      </c>
      <c r="AQ527" t="s">
        <v>74</v>
      </c>
      <c r="AR527" t="s">
        <v>557</v>
      </c>
      <c r="AS527" t="s">
        <v>558</v>
      </c>
      <c r="AT527" t="s">
        <v>2225</v>
      </c>
      <c r="AU527">
        <v>2019</v>
      </c>
      <c r="AV527">
        <v>233</v>
      </c>
      <c r="AW527">
        <v>4</v>
      </c>
      <c r="AX527" t="s">
        <v>74</v>
      </c>
      <c r="AY527" t="s">
        <v>74</v>
      </c>
      <c r="AZ527" t="s">
        <v>74</v>
      </c>
      <c r="BA527" t="s">
        <v>74</v>
      </c>
      <c r="BB527">
        <v>623</v>
      </c>
      <c r="BC527">
        <v>638</v>
      </c>
      <c r="BD527" t="s">
        <v>74</v>
      </c>
      <c r="BE527" t="s">
        <v>8775</v>
      </c>
      <c r="BF527" t="str">
        <f>HYPERLINK("http://dx.doi.org/10.1177/1748006X18809498","http://dx.doi.org/10.1177/1748006X18809498")</f>
        <v>http://dx.doi.org/10.1177/1748006X18809498</v>
      </c>
      <c r="BG527" t="s">
        <v>74</v>
      </c>
      <c r="BH527" t="s">
        <v>74</v>
      </c>
      <c r="BI527">
        <v>16</v>
      </c>
      <c r="BJ527" t="s">
        <v>494</v>
      </c>
      <c r="BK527" t="s">
        <v>322</v>
      </c>
      <c r="BL527" t="s">
        <v>150</v>
      </c>
      <c r="BM527" t="s">
        <v>5007</v>
      </c>
      <c r="BN527" t="s">
        <v>74</v>
      </c>
      <c r="BO527" t="s">
        <v>74</v>
      </c>
      <c r="BP527" t="s">
        <v>74</v>
      </c>
      <c r="BQ527" t="s">
        <v>74</v>
      </c>
      <c r="BR527" t="s">
        <v>104</v>
      </c>
      <c r="BS527" t="s">
        <v>8776</v>
      </c>
      <c r="BT527" t="str">
        <f>HYPERLINK("https%3A%2F%2Fwww.webofscience.com%2Fwos%2Fwoscc%2Ffull-record%2FWOS:000478598600010","View Full Record in Web of Science")</f>
        <v>View Full Record in Web of Science</v>
      </c>
    </row>
    <row r="528" spans="1:72" x14ac:dyDescent="0.25">
      <c r="A528" t="s">
        <v>72</v>
      </c>
      <c r="B528" t="s">
        <v>8777</v>
      </c>
      <c r="C528" t="s">
        <v>74</v>
      </c>
      <c r="D528" t="s">
        <v>74</v>
      </c>
      <c r="E528" t="s">
        <v>74</v>
      </c>
      <c r="F528" t="s">
        <v>8778</v>
      </c>
      <c r="G528" t="s">
        <v>74</v>
      </c>
      <c r="H528" t="s">
        <v>74</v>
      </c>
      <c r="I528" t="s">
        <v>8779</v>
      </c>
      <c r="J528" t="s">
        <v>299</v>
      </c>
      <c r="K528" t="s">
        <v>74</v>
      </c>
      <c r="L528" t="s">
        <v>74</v>
      </c>
      <c r="M528" t="s">
        <v>78</v>
      </c>
      <c r="N528" t="s">
        <v>79</v>
      </c>
      <c r="O528" t="s">
        <v>74</v>
      </c>
      <c r="P528" t="s">
        <v>74</v>
      </c>
      <c r="Q528" t="s">
        <v>74</v>
      </c>
      <c r="R528" t="s">
        <v>74</v>
      </c>
      <c r="S528" t="s">
        <v>74</v>
      </c>
      <c r="T528" t="s">
        <v>8780</v>
      </c>
      <c r="U528" t="s">
        <v>8781</v>
      </c>
      <c r="V528" t="s">
        <v>8782</v>
      </c>
      <c r="W528" t="s">
        <v>8783</v>
      </c>
      <c r="X528" t="s">
        <v>8784</v>
      </c>
      <c r="Y528" t="s">
        <v>8785</v>
      </c>
      <c r="Z528" t="s">
        <v>2547</v>
      </c>
      <c r="AA528" t="s">
        <v>2548</v>
      </c>
      <c r="AB528" t="s">
        <v>8786</v>
      </c>
      <c r="AC528" t="s">
        <v>8787</v>
      </c>
      <c r="AD528" t="s">
        <v>7726</v>
      </c>
      <c r="AE528" t="s">
        <v>2552</v>
      </c>
      <c r="AF528" t="s">
        <v>74</v>
      </c>
      <c r="AG528">
        <v>45</v>
      </c>
      <c r="AH528">
        <v>22</v>
      </c>
      <c r="AI528">
        <v>23</v>
      </c>
      <c r="AJ528">
        <v>5</v>
      </c>
      <c r="AK528">
        <v>60</v>
      </c>
      <c r="AL528" t="s">
        <v>311</v>
      </c>
      <c r="AM528" t="s">
        <v>312</v>
      </c>
      <c r="AN528" t="s">
        <v>313</v>
      </c>
      <c r="AO528" t="s">
        <v>314</v>
      </c>
      <c r="AP528" t="s">
        <v>315</v>
      </c>
      <c r="AQ528" t="s">
        <v>74</v>
      </c>
      <c r="AR528" t="s">
        <v>316</v>
      </c>
      <c r="AS528" t="s">
        <v>317</v>
      </c>
      <c r="AT528" t="s">
        <v>8669</v>
      </c>
      <c r="AU528">
        <v>2019</v>
      </c>
      <c r="AV528">
        <v>57</v>
      </c>
      <c r="AW528">
        <v>3</v>
      </c>
      <c r="AX528" t="s">
        <v>74</v>
      </c>
      <c r="AY528" t="s">
        <v>74</v>
      </c>
      <c r="AZ528" t="s">
        <v>74</v>
      </c>
      <c r="BA528" t="s">
        <v>74</v>
      </c>
      <c r="BB528">
        <v>847</v>
      </c>
      <c r="BC528">
        <v>864</v>
      </c>
      <c r="BD528" t="s">
        <v>74</v>
      </c>
      <c r="BE528" t="s">
        <v>8788</v>
      </c>
      <c r="BF528" t="str">
        <f>HYPERLINK("http://dx.doi.org/10.1080/00207543.2018.1488087","http://dx.doi.org/10.1080/00207543.2018.1488087")</f>
        <v>http://dx.doi.org/10.1080/00207543.2018.1488087</v>
      </c>
      <c r="BG528" t="s">
        <v>74</v>
      </c>
      <c r="BH528" t="s">
        <v>74</v>
      </c>
      <c r="BI528">
        <v>18</v>
      </c>
      <c r="BJ528" t="s">
        <v>321</v>
      </c>
      <c r="BK528" t="s">
        <v>149</v>
      </c>
      <c r="BL528" t="s">
        <v>150</v>
      </c>
      <c r="BM528" t="s">
        <v>8789</v>
      </c>
      <c r="BN528" t="s">
        <v>74</v>
      </c>
      <c r="BO528" t="s">
        <v>74</v>
      </c>
      <c r="BP528" t="s">
        <v>74</v>
      </c>
      <c r="BQ528" t="s">
        <v>74</v>
      </c>
      <c r="BR528" t="s">
        <v>104</v>
      </c>
      <c r="BS528" t="s">
        <v>8790</v>
      </c>
      <c r="BT528" t="str">
        <f>HYPERLINK("https%3A%2F%2Fwww.webofscience.com%2Fwos%2Fwoscc%2Ffull-record%2FWOS:000460630300012","View Full Record in Web of Science")</f>
        <v>View Full Record in Web of Science</v>
      </c>
    </row>
    <row r="529" spans="1:72" x14ac:dyDescent="0.25">
      <c r="A529" t="s">
        <v>72</v>
      </c>
      <c r="B529" t="s">
        <v>8791</v>
      </c>
      <c r="C529" t="s">
        <v>74</v>
      </c>
      <c r="D529" t="s">
        <v>74</v>
      </c>
      <c r="E529" t="s">
        <v>74</v>
      </c>
      <c r="F529" t="s">
        <v>8792</v>
      </c>
      <c r="G529" t="s">
        <v>74</v>
      </c>
      <c r="H529" t="s">
        <v>74</v>
      </c>
      <c r="I529" t="s">
        <v>8793</v>
      </c>
      <c r="J529" t="s">
        <v>1557</v>
      </c>
      <c r="K529" t="s">
        <v>74</v>
      </c>
      <c r="L529" t="s">
        <v>74</v>
      </c>
      <c r="M529" t="s">
        <v>78</v>
      </c>
      <c r="N529" t="s">
        <v>79</v>
      </c>
      <c r="O529" t="s">
        <v>74</v>
      </c>
      <c r="P529" t="s">
        <v>74</v>
      </c>
      <c r="Q529" t="s">
        <v>74</v>
      </c>
      <c r="R529" t="s">
        <v>74</v>
      </c>
      <c r="S529" t="s">
        <v>74</v>
      </c>
      <c r="T529" t="s">
        <v>8794</v>
      </c>
      <c r="U529" t="s">
        <v>8795</v>
      </c>
      <c r="V529" t="s">
        <v>8796</v>
      </c>
      <c r="W529" t="s">
        <v>8797</v>
      </c>
      <c r="X529" t="s">
        <v>8798</v>
      </c>
      <c r="Y529" t="s">
        <v>8799</v>
      </c>
      <c r="Z529" t="s">
        <v>8800</v>
      </c>
      <c r="AA529" t="s">
        <v>8801</v>
      </c>
      <c r="AB529" t="s">
        <v>8802</v>
      </c>
      <c r="AC529" t="s">
        <v>74</v>
      </c>
      <c r="AD529" t="s">
        <v>74</v>
      </c>
      <c r="AE529" t="s">
        <v>74</v>
      </c>
      <c r="AF529" t="s">
        <v>74</v>
      </c>
      <c r="AG529">
        <v>32</v>
      </c>
      <c r="AH529">
        <v>79</v>
      </c>
      <c r="AI529">
        <v>84</v>
      </c>
      <c r="AJ529">
        <v>3</v>
      </c>
      <c r="AK529">
        <v>97</v>
      </c>
      <c r="AL529" t="s">
        <v>707</v>
      </c>
      <c r="AM529" t="s">
        <v>246</v>
      </c>
      <c r="AN529" t="s">
        <v>708</v>
      </c>
      <c r="AO529" t="s">
        <v>1569</v>
      </c>
      <c r="AP529" t="s">
        <v>1570</v>
      </c>
      <c r="AQ529" t="s">
        <v>74</v>
      </c>
      <c r="AR529" t="s">
        <v>1571</v>
      </c>
      <c r="AS529" t="s">
        <v>1572</v>
      </c>
      <c r="AT529" t="s">
        <v>8803</v>
      </c>
      <c r="AU529">
        <v>2019</v>
      </c>
      <c r="AV529">
        <v>137</v>
      </c>
      <c r="AW529" t="s">
        <v>74</v>
      </c>
      <c r="AX529" t="s">
        <v>74</v>
      </c>
      <c r="AY529" t="s">
        <v>74</v>
      </c>
      <c r="AZ529" t="s">
        <v>74</v>
      </c>
      <c r="BA529" t="s">
        <v>74</v>
      </c>
      <c r="BB529">
        <v>1</v>
      </c>
      <c r="BC529">
        <v>10</v>
      </c>
      <c r="BD529" t="s">
        <v>74</v>
      </c>
      <c r="BE529" t="s">
        <v>8804</v>
      </c>
      <c r="BF529" t="str">
        <f>HYPERLINK("http://dx.doi.org/10.1016/j.eswa.2019.06.064","http://dx.doi.org/10.1016/j.eswa.2019.06.064")</f>
        <v>http://dx.doi.org/10.1016/j.eswa.2019.06.064</v>
      </c>
      <c r="BG529" t="s">
        <v>74</v>
      </c>
      <c r="BH529" t="s">
        <v>74</v>
      </c>
      <c r="BI529">
        <v>10</v>
      </c>
      <c r="BJ529" t="s">
        <v>1575</v>
      </c>
      <c r="BK529" t="s">
        <v>149</v>
      </c>
      <c r="BL529" t="s">
        <v>1576</v>
      </c>
      <c r="BM529" t="s">
        <v>8805</v>
      </c>
      <c r="BN529" t="s">
        <v>74</v>
      </c>
      <c r="BO529" t="s">
        <v>74</v>
      </c>
      <c r="BP529" t="s">
        <v>74</v>
      </c>
      <c r="BQ529" t="s">
        <v>74</v>
      </c>
      <c r="BR529" t="s">
        <v>104</v>
      </c>
      <c r="BS529" t="s">
        <v>8806</v>
      </c>
      <c r="BT529" t="str">
        <f>HYPERLINK("https%3A%2F%2Fwww.webofscience.com%2Fwos%2Fwoscc%2Ffull-record%2FWOS:000487167500001","View Full Record in Web of Science")</f>
        <v>View Full Record in Web of Science</v>
      </c>
    </row>
    <row r="530" spans="1:72" x14ac:dyDescent="0.25">
      <c r="A530" t="s">
        <v>72</v>
      </c>
      <c r="B530" t="s">
        <v>8807</v>
      </c>
      <c r="C530" t="s">
        <v>74</v>
      </c>
      <c r="D530" t="s">
        <v>74</v>
      </c>
      <c r="E530" t="s">
        <v>74</v>
      </c>
      <c r="F530" t="s">
        <v>8808</v>
      </c>
      <c r="G530" t="s">
        <v>74</v>
      </c>
      <c r="H530" t="s">
        <v>74</v>
      </c>
      <c r="I530" t="s">
        <v>8809</v>
      </c>
      <c r="J530" t="s">
        <v>128</v>
      </c>
      <c r="K530" t="s">
        <v>74</v>
      </c>
      <c r="L530" t="s">
        <v>74</v>
      </c>
      <c r="M530" t="s">
        <v>78</v>
      </c>
      <c r="N530" t="s">
        <v>79</v>
      </c>
      <c r="O530" t="s">
        <v>74</v>
      </c>
      <c r="P530" t="s">
        <v>74</v>
      </c>
      <c r="Q530" t="s">
        <v>74</v>
      </c>
      <c r="R530" t="s">
        <v>74</v>
      </c>
      <c r="S530" t="s">
        <v>74</v>
      </c>
      <c r="T530" t="s">
        <v>8810</v>
      </c>
      <c r="U530" t="s">
        <v>8811</v>
      </c>
      <c r="V530" t="s">
        <v>8812</v>
      </c>
      <c r="W530" t="s">
        <v>8813</v>
      </c>
      <c r="X530" t="s">
        <v>8814</v>
      </c>
      <c r="Y530" t="s">
        <v>8815</v>
      </c>
      <c r="Z530" t="s">
        <v>8816</v>
      </c>
      <c r="AA530" t="s">
        <v>8817</v>
      </c>
      <c r="AB530" t="s">
        <v>8818</v>
      </c>
      <c r="AC530" t="s">
        <v>8819</v>
      </c>
      <c r="AD530" t="s">
        <v>8820</v>
      </c>
      <c r="AE530" t="s">
        <v>8821</v>
      </c>
      <c r="AF530" t="s">
        <v>74</v>
      </c>
      <c r="AG530">
        <v>54</v>
      </c>
      <c r="AH530">
        <v>6</v>
      </c>
      <c r="AI530">
        <v>6</v>
      </c>
      <c r="AJ530">
        <v>4</v>
      </c>
      <c r="AK530">
        <v>15</v>
      </c>
      <c r="AL530" t="s">
        <v>138</v>
      </c>
      <c r="AM530" t="s">
        <v>139</v>
      </c>
      <c r="AN530" t="s">
        <v>140</v>
      </c>
      <c r="AO530" t="s">
        <v>141</v>
      </c>
      <c r="AP530" t="s">
        <v>142</v>
      </c>
      <c r="AQ530" t="s">
        <v>74</v>
      </c>
      <c r="AR530" t="s">
        <v>143</v>
      </c>
      <c r="AS530" t="s">
        <v>144</v>
      </c>
      <c r="AT530" t="s">
        <v>2225</v>
      </c>
      <c r="AU530">
        <v>2023</v>
      </c>
      <c r="AV530">
        <v>236</v>
      </c>
      <c r="AW530" t="s">
        <v>74</v>
      </c>
      <c r="AX530" t="s">
        <v>74</v>
      </c>
      <c r="AY530" t="s">
        <v>74</v>
      </c>
      <c r="AZ530" t="s">
        <v>74</v>
      </c>
      <c r="BA530" t="s">
        <v>74</v>
      </c>
      <c r="BB530" t="s">
        <v>74</v>
      </c>
      <c r="BC530" t="s">
        <v>74</v>
      </c>
      <c r="BD530">
        <v>109307</v>
      </c>
      <c r="BE530" t="s">
        <v>8822</v>
      </c>
      <c r="BF530" t="str">
        <f>HYPERLINK("http://dx.doi.org/10.1016/j.ress.2023.109307","http://dx.doi.org/10.1016/j.ress.2023.109307")</f>
        <v>http://dx.doi.org/10.1016/j.ress.2023.109307</v>
      </c>
      <c r="BG530" t="s">
        <v>74</v>
      </c>
      <c r="BH530" t="s">
        <v>1204</v>
      </c>
      <c r="BI530">
        <v>10</v>
      </c>
      <c r="BJ530" t="s">
        <v>148</v>
      </c>
      <c r="BK530" t="s">
        <v>149</v>
      </c>
      <c r="BL530" t="s">
        <v>150</v>
      </c>
      <c r="BM530" t="s">
        <v>8823</v>
      </c>
      <c r="BN530" t="s">
        <v>74</v>
      </c>
      <c r="BO530" t="s">
        <v>74</v>
      </c>
      <c r="BP530" t="s">
        <v>74</v>
      </c>
      <c r="BQ530" t="s">
        <v>74</v>
      </c>
      <c r="BR530" t="s">
        <v>104</v>
      </c>
      <c r="BS530" t="s">
        <v>8824</v>
      </c>
      <c r="BT530" t="str">
        <f>HYPERLINK("https%3A%2F%2Fwww.webofscience.com%2Fwos%2Fwoscc%2Ffull-record%2FWOS:000983505300001","View Full Record in Web of Science")</f>
        <v>View Full Record in Web of Science</v>
      </c>
    </row>
    <row r="531" spans="1:72" x14ac:dyDescent="0.25">
      <c r="A531" t="s">
        <v>72</v>
      </c>
      <c r="B531" t="s">
        <v>8825</v>
      </c>
      <c r="C531" t="s">
        <v>74</v>
      </c>
      <c r="D531" t="s">
        <v>74</v>
      </c>
      <c r="E531" t="s">
        <v>74</v>
      </c>
      <c r="F531" t="s">
        <v>8826</v>
      </c>
      <c r="G531" t="s">
        <v>74</v>
      </c>
      <c r="H531" t="s">
        <v>74</v>
      </c>
      <c r="I531" t="s">
        <v>8827</v>
      </c>
      <c r="J531" t="s">
        <v>697</v>
      </c>
      <c r="K531" t="s">
        <v>74</v>
      </c>
      <c r="L531" t="s">
        <v>74</v>
      </c>
      <c r="M531" t="s">
        <v>78</v>
      </c>
      <c r="N531" t="s">
        <v>79</v>
      </c>
      <c r="O531" t="s">
        <v>74</v>
      </c>
      <c r="P531" t="s">
        <v>74</v>
      </c>
      <c r="Q531" t="s">
        <v>74</v>
      </c>
      <c r="R531" t="s">
        <v>74</v>
      </c>
      <c r="S531" t="s">
        <v>74</v>
      </c>
      <c r="T531" t="s">
        <v>8828</v>
      </c>
      <c r="U531" t="s">
        <v>8829</v>
      </c>
      <c r="V531" t="s">
        <v>8830</v>
      </c>
      <c r="W531" t="s">
        <v>8831</v>
      </c>
      <c r="X531" t="s">
        <v>8832</v>
      </c>
      <c r="Y531" t="s">
        <v>8833</v>
      </c>
      <c r="Z531" t="s">
        <v>8834</v>
      </c>
      <c r="AA531" t="s">
        <v>74</v>
      </c>
      <c r="AB531" t="s">
        <v>8835</v>
      </c>
      <c r="AC531" t="s">
        <v>8836</v>
      </c>
      <c r="AD531" t="s">
        <v>8837</v>
      </c>
      <c r="AE531" t="s">
        <v>8838</v>
      </c>
      <c r="AF531" t="s">
        <v>74</v>
      </c>
      <c r="AG531">
        <v>35</v>
      </c>
      <c r="AH531">
        <v>9</v>
      </c>
      <c r="AI531">
        <v>9</v>
      </c>
      <c r="AJ531">
        <v>0</v>
      </c>
      <c r="AK531">
        <v>7</v>
      </c>
      <c r="AL531" t="s">
        <v>707</v>
      </c>
      <c r="AM531" t="s">
        <v>246</v>
      </c>
      <c r="AN531" t="s">
        <v>708</v>
      </c>
      <c r="AO531" t="s">
        <v>709</v>
      </c>
      <c r="AP531" t="s">
        <v>710</v>
      </c>
      <c r="AQ531" t="s">
        <v>74</v>
      </c>
      <c r="AR531" t="s">
        <v>711</v>
      </c>
      <c r="AS531" t="s">
        <v>712</v>
      </c>
      <c r="AT531" t="s">
        <v>533</v>
      </c>
      <c r="AU531">
        <v>2022</v>
      </c>
      <c r="AV531">
        <v>164</v>
      </c>
      <c r="AW531" t="s">
        <v>74</v>
      </c>
      <c r="AX531" t="s">
        <v>74</v>
      </c>
      <c r="AY531" t="s">
        <v>74</v>
      </c>
      <c r="AZ531" t="s">
        <v>74</v>
      </c>
      <c r="BA531" t="s">
        <v>74</v>
      </c>
      <c r="BB531" t="s">
        <v>74</v>
      </c>
      <c r="BC531" t="s">
        <v>74</v>
      </c>
      <c r="BD531">
        <v>107877</v>
      </c>
      <c r="BE531" t="s">
        <v>8839</v>
      </c>
      <c r="BF531" t="str">
        <f>HYPERLINK("http://dx.doi.org/10.1016/j.cie.2021.107877","http://dx.doi.org/10.1016/j.cie.2021.107877")</f>
        <v>http://dx.doi.org/10.1016/j.cie.2021.107877</v>
      </c>
      <c r="BG531" t="s">
        <v>74</v>
      </c>
      <c r="BH531" t="s">
        <v>794</v>
      </c>
      <c r="BI531">
        <v>11</v>
      </c>
      <c r="BJ531" t="s">
        <v>715</v>
      </c>
      <c r="BK531" t="s">
        <v>149</v>
      </c>
      <c r="BL531" t="s">
        <v>716</v>
      </c>
      <c r="BM531" t="s">
        <v>2350</v>
      </c>
      <c r="BN531" t="s">
        <v>74</v>
      </c>
      <c r="BO531" t="s">
        <v>74</v>
      </c>
      <c r="BP531" t="s">
        <v>74</v>
      </c>
      <c r="BQ531" t="s">
        <v>74</v>
      </c>
      <c r="BR531" t="s">
        <v>104</v>
      </c>
      <c r="BS531" t="s">
        <v>8840</v>
      </c>
      <c r="BT531" t="str">
        <f>HYPERLINK("https%3A%2F%2Fwww.webofscience.com%2Fwos%2Fwoscc%2Ffull-record%2FWOS:000752860400012","View Full Record in Web of Science")</f>
        <v>View Full Record in Web of Science</v>
      </c>
    </row>
    <row r="532" spans="1:72" x14ac:dyDescent="0.25">
      <c r="A532" t="s">
        <v>72</v>
      </c>
      <c r="B532" t="s">
        <v>8841</v>
      </c>
      <c r="C532" t="s">
        <v>74</v>
      </c>
      <c r="D532" t="s">
        <v>74</v>
      </c>
      <c r="E532" t="s">
        <v>74</v>
      </c>
      <c r="F532" t="s">
        <v>8842</v>
      </c>
      <c r="G532" t="s">
        <v>74</v>
      </c>
      <c r="H532" t="s">
        <v>74</v>
      </c>
      <c r="I532" t="s">
        <v>8843</v>
      </c>
      <c r="J532" t="s">
        <v>1557</v>
      </c>
      <c r="K532" t="s">
        <v>74</v>
      </c>
      <c r="L532" t="s">
        <v>74</v>
      </c>
      <c r="M532" t="s">
        <v>78</v>
      </c>
      <c r="N532" t="s">
        <v>79</v>
      </c>
      <c r="O532" t="s">
        <v>74</v>
      </c>
      <c r="P532" t="s">
        <v>74</v>
      </c>
      <c r="Q532" t="s">
        <v>74</v>
      </c>
      <c r="R532" t="s">
        <v>74</v>
      </c>
      <c r="S532" t="s">
        <v>74</v>
      </c>
      <c r="T532" t="s">
        <v>8844</v>
      </c>
      <c r="U532" t="s">
        <v>74</v>
      </c>
      <c r="V532" t="s">
        <v>8845</v>
      </c>
      <c r="W532" t="s">
        <v>8846</v>
      </c>
      <c r="X532" t="s">
        <v>8847</v>
      </c>
      <c r="Y532" t="s">
        <v>8848</v>
      </c>
      <c r="Z532" t="s">
        <v>8849</v>
      </c>
      <c r="AA532" t="s">
        <v>8850</v>
      </c>
      <c r="AB532" t="s">
        <v>8851</v>
      </c>
      <c r="AC532" t="s">
        <v>8852</v>
      </c>
      <c r="AD532" t="s">
        <v>8853</v>
      </c>
      <c r="AE532" t="s">
        <v>8854</v>
      </c>
      <c r="AF532" t="s">
        <v>74</v>
      </c>
      <c r="AG532">
        <v>38</v>
      </c>
      <c r="AH532">
        <v>0</v>
      </c>
      <c r="AI532">
        <v>0</v>
      </c>
      <c r="AJ532">
        <v>6</v>
      </c>
      <c r="AK532">
        <v>6</v>
      </c>
      <c r="AL532" t="s">
        <v>707</v>
      </c>
      <c r="AM532" t="s">
        <v>246</v>
      </c>
      <c r="AN532" t="s">
        <v>708</v>
      </c>
      <c r="AO532" t="s">
        <v>1569</v>
      </c>
      <c r="AP532" t="s">
        <v>1570</v>
      </c>
      <c r="AQ532" t="s">
        <v>74</v>
      </c>
      <c r="AR532" t="s">
        <v>1571</v>
      </c>
      <c r="AS532" t="s">
        <v>1572</v>
      </c>
      <c r="AT532" t="s">
        <v>8855</v>
      </c>
      <c r="AU532">
        <v>2025</v>
      </c>
      <c r="AV532">
        <v>265</v>
      </c>
      <c r="AW532" t="s">
        <v>74</v>
      </c>
      <c r="AX532" t="s">
        <v>74</v>
      </c>
      <c r="AY532" t="s">
        <v>74</v>
      </c>
      <c r="AZ532" t="s">
        <v>74</v>
      </c>
      <c r="BA532" t="s">
        <v>74</v>
      </c>
      <c r="BB532" t="s">
        <v>74</v>
      </c>
      <c r="BC532" t="s">
        <v>74</v>
      </c>
      <c r="BD532">
        <v>125714</v>
      </c>
      <c r="BE532" t="s">
        <v>8856</v>
      </c>
      <c r="BF532" t="str">
        <f>HYPERLINK("http://dx.doi.org/10.1016/j.eswa.2024.125714","http://dx.doi.org/10.1016/j.eswa.2024.125714")</f>
        <v>http://dx.doi.org/10.1016/j.eswa.2024.125714</v>
      </c>
      <c r="BG532" t="s">
        <v>74</v>
      </c>
      <c r="BH532" t="s">
        <v>1869</v>
      </c>
      <c r="BI532">
        <v>10</v>
      </c>
      <c r="BJ532" t="s">
        <v>1575</v>
      </c>
      <c r="BK532" t="s">
        <v>149</v>
      </c>
      <c r="BL532" t="s">
        <v>1576</v>
      </c>
      <c r="BM532" t="s">
        <v>8857</v>
      </c>
      <c r="BN532" t="s">
        <v>74</v>
      </c>
      <c r="BO532" t="s">
        <v>74</v>
      </c>
      <c r="BP532" t="s">
        <v>74</v>
      </c>
      <c r="BQ532" t="s">
        <v>74</v>
      </c>
      <c r="BR532" t="s">
        <v>104</v>
      </c>
      <c r="BS532" t="s">
        <v>8858</v>
      </c>
      <c r="BT532" t="str">
        <f>HYPERLINK("https%3A%2F%2Fwww.webofscience.com%2Fwos%2Fwoscc%2Ffull-record%2FWOS:001375726600001","View Full Record in Web of Science")</f>
        <v>View Full Record in Web of Science</v>
      </c>
    </row>
    <row r="533" spans="1:72" x14ac:dyDescent="0.25">
      <c r="A533" t="s">
        <v>72</v>
      </c>
      <c r="B533" t="s">
        <v>8859</v>
      </c>
      <c r="C533" t="s">
        <v>74</v>
      </c>
      <c r="D533" t="s">
        <v>74</v>
      </c>
      <c r="E533" t="s">
        <v>74</v>
      </c>
      <c r="F533" t="s">
        <v>8860</v>
      </c>
      <c r="G533" t="s">
        <v>74</v>
      </c>
      <c r="H533" t="s">
        <v>74</v>
      </c>
      <c r="I533" t="s">
        <v>8861</v>
      </c>
      <c r="J533" t="s">
        <v>77</v>
      </c>
      <c r="K533" t="s">
        <v>74</v>
      </c>
      <c r="L533" t="s">
        <v>74</v>
      </c>
      <c r="M533" t="s">
        <v>78</v>
      </c>
      <c r="N533" t="s">
        <v>79</v>
      </c>
      <c r="O533" t="s">
        <v>74</v>
      </c>
      <c r="P533" t="s">
        <v>74</v>
      </c>
      <c r="Q533" t="s">
        <v>74</v>
      </c>
      <c r="R533" t="s">
        <v>74</v>
      </c>
      <c r="S533" t="s">
        <v>74</v>
      </c>
      <c r="T533" t="s">
        <v>8862</v>
      </c>
      <c r="U533" t="s">
        <v>8863</v>
      </c>
      <c r="V533" t="s">
        <v>8864</v>
      </c>
      <c r="W533" t="s">
        <v>8865</v>
      </c>
      <c r="X533" t="s">
        <v>7589</v>
      </c>
      <c r="Y533" t="s">
        <v>8866</v>
      </c>
      <c r="Z533" t="s">
        <v>8867</v>
      </c>
      <c r="AA533" t="s">
        <v>7499</v>
      </c>
      <c r="AB533" t="s">
        <v>8868</v>
      </c>
      <c r="AC533" t="s">
        <v>74</v>
      </c>
      <c r="AD533" t="s">
        <v>74</v>
      </c>
      <c r="AE533" t="s">
        <v>74</v>
      </c>
      <c r="AF533" t="s">
        <v>74</v>
      </c>
      <c r="AG533">
        <v>48</v>
      </c>
      <c r="AH533">
        <v>2</v>
      </c>
      <c r="AI533">
        <v>2</v>
      </c>
      <c r="AJ533">
        <v>0</v>
      </c>
      <c r="AK533">
        <v>14</v>
      </c>
      <c r="AL533" t="s">
        <v>90</v>
      </c>
      <c r="AM533" t="s">
        <v>118</v>
      </c>
      <c r="AN533" t="s">
        <v>119</v>
      </c>
      <c r="AO533" t="s">
        <v>93</v>
      </c>
      <c r="AP533" t="s">
        <v>94</v>
      </c>
      <c r="AQ533" t="s">
        <v>74</v>
      </c>
      <c r="AR533" t="s">
        <v>95</v>
      </c>
      <c r="AS533" t="s">
        <v>96</v>
      </c>
      <c r="AT533" t="s">
        <v>792</v>
      </c>
      <c r="AU533">
        <v>2021</v>
      </c>
      <c r="AV533">
        <v>27</v>
      </c>
      <c r="AW533">
        <v>4</v>
      </c>
      <c r="AX533" t="s">
        <v>74</v>
      </c>
      <c r="AY533" t="s">
        <v>74</v>
      </c>
      <c r="AZ533" t="s">
        <v>74</v>
      </c>
      <c r="BA533" t="s">
        <v>74</v>
      </c>
      <c r="BB533">
        <v>611</v>
      </c>
      <c r="BC533">
        <v>632</v>
      </c>
      <c r="BD533" t="s">
        <v>74</v>
      </c>
      <c r="BE533" t="s">
        <v>8869</v>
      </c>
      <c r="BF533" t="str">
        <f>HYPERLINK("http://dx.doi.org/10.1108/JQME-01-2020-0005","http://dx.doi.org/10.1108/JQME-01-2020-0005")</f>
        <v>http://dx.doi.org/10.1108/JQME-01-2020-0005</v>
      </c>
      <c r="BG533" t="s">
        <v>74</v>
      </c>
      <c r="BH533" t="s">
        <v>7318</v>
      </c>
      <c r="BI533">
        <v>22</v>
      </c>
      <c r="BJ533" t="s">
        <v>100</v>
      </c>
      <c r="BK533" t="s">
        <v>101</v>
      </c>
      <c r="BL533" t="s">
        <v>102</v>
      </c>
      <c r="BM533" t="s">
        <v>8870</v>
      </c>
      <c r="BN533" t="s">
        <v>74</v>
      </c>
      <c r="BO533" t="s">
        <v>74</v>
      </c>
      <c r="BP533" t="s">
        <v>74</v>
      </c>
      <c r="BQ533" t="s">
        <v>74</v>
      </c>
      <c r="BR533" t="s">
        <v>104</v>
      </c>
      <c r="BS533" t="s">
        <v>8871</v>
      </c>
      <c r="BT533" t="str">
        <f>HYPERLINK("https%3A%2F%2Fwww.webofscience.com%2Fwos%2Fwoscc%2Ffull-record%2FWOS:000547889100001","View Full Record in Web of Science")</f>
        <v>View Full Record in Web of Science</v>
      </c>
    </row>
    <row r="534" spans="1:72" x14ac:dyDescent="0.25">
      <c r="A534" t="s">
        <v>72</v>
      </c>
      <c r="B534" t="s">
        <v>6940</v>
      </c>
      <c r="C534" t="s">
        <v>74</v>
      </c>
      <c r="D534" t="s">
        <v>74</v>
      </c>
      <c r="E534" t="s">
        <v>74</v>
      </c>
      <c r="F534" t="s">
        <v>6941</v>
      </c>
      <c r="G534" t="s">
        <v>74</v>
      </c>
      <c r="H534" t="s">
        <v>74</v>
      </c>
      <c r="I534" t="s">
        <v>8872</v>
      </c>
      <c r="J534" t="s">
        <v>128</v>
      </c>
      <c r="K534" t="s">
        <v>74</v>
      </c>
      <c r="L534" t="s">
        <v>74</v>
      </c>
      <c r="M534" t="s">
        <v>78</v>
      </c>
      <c r="N534" t="s">
        <v>79</v>
      </c>
      <c r="O534" t="s">
        <v>74</v>
      </c>
      <c r="P534" t="s">
        <v>74</v>
      </c>
      <c r="Q534" t="s">
        <v>74</v>
      </c>
      <c r="R534" t="s">
        <v>74</v>
      </c>
      <c r="S534" t="s">
        <v>74</v>
      </c>
      <c r="T534" t="s">
        <v>8873</v>
      </c>
      <c r="U534" t="s">
        <v>8874</v>
      </c>
      <c r="V534" t="s">
        <v>8875</v>
      </c>
      <c r="W534" t="s">
        <v>8876</v>
      </c>
      <c r="X534" t="s">
        <v>8877</v>
      </c>
      <c r="Y534" t="s">
        <v>8878</v>
      </c>
      <c r="Z534" t="s">
        <v>8879</v>
      </c>
      <c r="AA534" t="s">
        <v>6950</v>
      </c>
      <c r="AB534" t="s">
        <v>6951</v>
      </c>
      <c r="AC534" t="s">
        <v>8880</v>
      </c>
      <c r="AD534" t="s">
        <v>8881</v>
      </c>
      <c r="AE534" t="s">
        <v>8882</v>
      </c>
      <c r="AF534" t="s">
        <v>74</v>
      </c>
      <c r="AG534">
        <v>86</v>
      </c>
      <c r="AH534">
        <v>127</v>
      </c>
      <c r="AI534">
        <v>140</v>
      </c>
      <c r="AJ534">
        <v>10</v>
      </c>
      <c r="AK534">
        <v>100</v>
      </c>
      <c r="AL534" t="s">
        <v>138</v>
      </c>
      <c r="AM534" t="s">
        <v>246</v>
      </c>
      <c r="AN534" t="s">
        <v>247</v>
      </c>
      <c r="AO534" t="s">
        <v>141</v>
      </c>
      <c r="AP534" t="s">
        <v>142</v>
      </c>
      <c r="AQ534" t="s">
        <v>74</v>
      </c>
      <c r="AR534" t="s">
        <v>143</v>
      </c>
      <c r="AS534" t="s">
        <v>144</v>
      </c>
      <c r="AT534" t="s">
        <v>491</v>
      </c>
      <c r="AU534">
        <v>2019</v>
      </c>
      <c r="AV534">
        <v>191</v>
      </c>
      <c r="AW534" t="s">
        <v>74</v>
      </c>
      <c r="AX534" t="s">
        <v>74</v>
      </c>
      <c r="AY534" t="s">
        <v>74</v>
      </c>
      <c r="AZ534" t="s">
        <v>74</v>
      </c>
      <c r="BA534" t="s">
        <v>74</v>
      </c>
      <c r="BB534" t="s">
        <v>74</v>
      </c>
      <c r="BC534" t="s">
        <v>74</v>
      </c>
      <c r="BD534">
        <v>106483</v>
      </c>
      <c r="BE534" t="s">
        <v>8883</v>
      </c>
      <c r="BF534" t="str">
        <f>HYPERLINK("http://dx.doi.org/10.1016/j.ress.2019.04.036","http://dx.doi.org/10.1016/j.ress.2019.04.036")</f>
        <v>http://dx.doi.org/10.1016/j.ress.2019.04.036</v>
      </c>
      <c r="BG534" t="s">
        <v>74</v>
      </c>
      <c r="BH534" t="s">
        <v>74</v>
      </c>
      <c r="BI534">
        <v>17</v>
      </c>
      <c r="BJ534" t="s">
        <v>148</v>
      </c>
      <c r="BK534" t="s">
        <v>149</v>
      </c>
      <c r="BL534" t="s">
        <v>150</v>
      </c>
      <c r="BM534" t="s">
        <v>3322</v>
      </c>
      <c r="BN534" t="s">
        <v>74</v>
      </c>
      <c r="BO534" t="s">
        <v>5582</v>
      </c>
      <c r="BP534" t="s">
        <v>74</v>
      </c>
      <c r="BQ534" t="s">
        <v>74</v>
      </c>
      <c r="BR534" t="s">
        <v>104</v>
      </c>
      <c r="BS534" t="s">
        <v>8884</v>
      </c>
      <c r="BT534" t="str">
        <f>HYPERLINK("https%3A%2F%2Fwww.webofscience.com%2Fwos%2Fwoscc%2Ffull-record%2FWOS:000491685000004","View Full Record in Web of Science")</f>
        <v>View Full Record in Web of Science</v>
      </c>
    </row>
    <row r="535" spans="1:72" x14ac:dyDescent="0.25">
      <c r="A535" t="s">
        <v>72</v>
      </c>
      <c r="B535" t="s">
        <v>8885</v>
      </c>
      <c r="C535" t="s">
        <v>74</v>
      </c>
      <c r="D535" t="s">
        <v>74</v>
      </c>
      <c r="E535" t="s">
        <v>74</v>
      </c>
      <c r="F535" t="s">
        <v>8886</v>
      </c>
      <c r="G535" t="s">
        <v>74</v>
      </c>
      <c r="H535" t="s">
        <v>74</v>
      </c>
      <c r="I535" t="s">
        <v>8887</v>
      </c>
      <c r="J535" t="s">
        <v>128</v>
      </c>
      <c r="K535" t="s">
        <v>74</v>
      </c>
      <c r="L535" t="s">
        <v>74</v>
      </c>
      <c r="M535" t="s">
        <v>78</v>
      </c>
      <c r="N535" t="s">
        <v>79</v>
      </c>
      <c r="O535" t="s">
        <v>74</v>
      </c>
      <c r="P535" t="s">
        <v>74</v>
      </c>
      <c r="Q535" t="s">
        <v>74</v>
      </c>
      <c r="R535" t="s">
        <v>74</v>
      </c>
      <c r="S535" t="s">
        <v>74</v>
      </c>
      <c r="T535" t="s">
        <v>8888</v>
      </c>
      <c r="U535" t="s">
        <v>8889</v>
      </c>
      <c r="V535" t="s">
        <v>8890</v>
      </c>
      <c r="W535" t="s">
        <v>8891</v>
      </c>
      <c r="X535" t="s">
        <v>823</v>
      </c>
      <c r="Y535" t="s">
        <v>8892</v>
      </c>
      <c r="Z535" t="s">
        <v>8893</v>
      </c>
      <c r="AA535" t="s">
        <v>8894</v>
      </c>
      <c r="AB535" t="s">
        <v>8895</v>
      </c>
      <c r="AC535" t="s">
        <v>8896</v>
      </c>
      <c r="AD535" t="s">
        <v>8897</v>
      </c>
      <c r="AE535" t="s">
        <v>8898</v>
      </c>
      <c r="AF535" t="s">
        <v>74</v>
      </c>
      <c r="AG535">
        <v>65</v>
      </c>
      <c r="AH535">
        <v>23</v>
      </c>
      <c r="AI535">
        <v>24</v>
      </c>
      <c r="AJ535">
        <v>5</v>
      </c>
      <c r="AK535">
        <v>31</v>
      </c>
      <c r="AL535" t="s">
        <v>138</v>
      </c>
      <c r="AM535" t="s">
        <v>246</v>
      </c>
      <c r="AN535" t="s">
        <v>247</v>
      </c>
      <c r="AO535" t="s">
        <v>141</v>
      </c>
      <c r="AP535" t="s">
        <v>142</v>
      </c>
      <c r="AQ535" t="s">
        <v>74</v>
      </c>
      <c r="AR535" t="s">
        <v>143</v>
      </c>
      <c r="AS535" t="s">
        <v>144</v>
      </c>
      <c r="AT535" t="s">
        <v>2225</v>
      </c>
      <c r="AU535">
        <v>2020</v>
      </c>
      <c r="AV535">
        <v>200</v>
      </c>
      <c r="AW535" t="s">
        <v>74</v>
      </c>
      <c r="AX535" t="s">
        <v>74</v>
      </c>
      <c r="AY535" t="s">
        <v>74</v>
      </c>
      <c r="AZ535" t="s">
        <v>74</v>
      </c>
      <c r="BA535" t="s">
        <v>74</v>
      </c>
      <c r="BB535" t="s">
        <v>74</v>
      </c>
      <c r="BC535" t="s">
        <v>74</v>
      </c>
      <c r="BD535">
        <v>106962</v>
      </c>
      <c r="BE535" t="s">
        <v>8899</v>
      </c>
      <c r="BF535" t="str">
        <f>HYPERLINK("http://dx.doi.org/10.1016/j.ress.2020.106962","http://dx.doi.org/10.1016/j.ress.2020.106962")</f>
        <v>http://dx.doi.org/10.1016/j.ress.2020.106962</v>
      </c>
      <c r="BG535" t="s">
        <v>74</v>
      </c>
      <c r="BH535" t="s">
        <v>74</v>
      </c>
      <c r="BI535">
        <v>12</v>
      </c>
      <c r="BJ535" t="s">
        <v>148</v>
      </c>
      <c r="BK535" t="s">
        <v>149</v>
      </c>
      <c r="BL535" t="s">
        <v>150</v>
      </c>
      <c r="BM535" t="s">
        <v>3188</v>
      </c>
      <c r="BN535" t="s">
        <v>74</v>
      </c>
      <c r="BO535" t="s">
        <v>641</v>
      </c>
      <c r="BP535" t="s">
        <v>74</v>
      </c>
      <c r="BQ535" t="s">
        <v>74</v>
      </c>
      <c r="BR535" t="s">
        <v>104</v>
      </c>
      <c r="BS535" t="s">
        <v>8900</v>
      </c>
      <c r="BT535" t="str">
        <f>HYPERLINK("https%3A%2F%2Fwww.webofscience.com%2Fwos%2Fwoscc%2Ffull-record%2FWOS:000531606400022","View Full Record in Web of Science")</f>
        <v>View Full Record in Web of Science</v>
      </c>
    </row>
    <row r="536" spans="1:72" x14ac:dyDescent="0.25">
      <c r="A536" t="s">
        <v>72</v>
      </c>
      <c r="B536" t="s">
        <v>8901</v>
      </c>
      <c r="C536" t="s">
        <v>74</v>
      </c>
      <c r="D536" t="s">
        <v>74</v>
      </c>
      <c r="E536" t="s">
        <v>74</v>
      </c>
      <c r="F536" t="s">
        <v>8902</v>
      </c>
      <c r="G536" t="s">
        <v>74</v>
      </c>
      <c r="H536" t="s">
        <v>74</v>
      </c>
      <c r="I536" t="s">
        <v>8903</v>
      </c>
      <c r="J536" t="s">
        <v>8904</v>
      </c>
      <c r="K536" t="s">
        <v>74</v>
      </c>
      <c r="L536" t="s">
        <v>74</v>
      </c>
      <c r="M536" t="s">
        <v>78</v>
      </c>
      <c r="N536" t="s">
        <v>79</v>
      </c>
      <c r="O536" t="s">
        <v>74</v>
      </c>
      <c r="P536" t="s">
        <v>74</v>
      </c>
      <c r="Q536" t="s">
        <v>74</v>
      </c>
      <c r="R536" t="s">
        <v>74</v>
      </c>
      <c r="S536" t="s">
        <v>74</v>
      </c>
      <c r="T536" t="s">
        <v>8905</v>
      </c>
      <c r="U536" t="s">
        <v>8906</v>
      </c>
      <c r="V536" t="s">
        <v>8907</v>
      </c>
      <c r="W536" t="s">
        <v>8908</v>
      </c>
      <c r="X536" t="s">
        <v>8909</v>
      </c>
      <c r="Y536" t="s">
        <v>8910</v>
      </c>
      <c r="Z536" t="s">
        <v>8911</v>
      </c>
      <c r="AA536" t="s">
        <v>74</v>
      </c>
      <c r="AB536" t="s">
        <v>74</v>
      </c>
      <c r="AC536" t="s">
        <v>74</v>
      </c>
      <c r="AD536" t="s">
        <v>74</v>
      </c>
      <c r="AE536" t="s">
        <v>74</v>
      </c>
      <c r="AF536" t="s">
        <v>74</v>
      </c>
      <c r="AG536">
        <v>97</v>
      </c>
      <c r="AH536">
        <v>0</v>
      </c>
      <c r="AI536">
        <v>0</v>
      </c>
      <c r="AJ536">
        <v>15</v>
      </c>
      <c r="AK536">
        <v>32</v>
      </c>
      <c r="AL536" t="s">
        <v>2421</v>
      </c>
      <c r="AM536" t="s">
        <v>3115</v>
      </c>
      <c r="AN536" t="s">
        <v>3116</v>
      </c>
      <c r="AO536" t="s">
        <v>8912</v>
      </c>
      <c r="AP536" t="s">
        <v>8913</v>
      </c>
      <c r="AQ536" t="s">
        <v>74</v>
      </c>
      <c r="AR536" t="s">
        <v>8914</v>
      </c>
      <c r="AS536" t="s">
        <v>8915</v>
      </c>
      <c r="AT536" t="s">
        <v>533</v>
      </c>
      <c r="AU536">
        <v>2025</v>
      </c>
      <c r="AV536">
        <v>50</v>
      </c>
      <c r="AW536">
        <v>1</v>
      </c>
      <c r="AX536" t="s">
        <v>74</v>
      </c>
      <c r="AY536" t="s">
        <v>74</v>
      </c>
      <c r="AZ536" t="s">
        <v>74</v>
      </c>
      <c r="BA536" t="s">
        <v>74</v>
      </c>
      <c r="BB536">
        <v>114</v>
      </c>
      <c r="BC536">
        <v>137</v>
      </c>
      <c r="BD536" t="s">
        <v>74</v>
      </c>
      <c r="BE536" t="s">
        <v>8916</v>
      </c>
      <c r="BF536" t="str">
        <f>HYPERLINK("http://dx.doi.org/10.1007/s10961-024-10087-5","http://dx.doi.org/10.1007/s10961-024-10087-5")</f>
        <v>http://dx.doi.org/10.1007/s10961-024-10087-5</v>
      </c>
      <c r="BG536" t="s">
        <v>74</v>
      </c>
      <c r="BH536" t="s">
        <v>2039</v>
      </c>
      <c r="BI536">
        <v>24</v>
      </c>
      <c r="BJ536" t="s">
        <v>934</v>
      </c>
      <c r="BK536" t="s">
        <v>8917</v>
      </c>
      <c r="BL536" t="s">
        <v>398</v>
      </c>
      <c r="BM536" t="s">
        <v>8918</v>
      </c>
      <c r="BN536" t="s">
        <v>74</v>
      </c>
      <c r="BO536" t="s">
        <v>74</v>
      </c>
      <c r="BP536" t="s">
        <v>74</v>
      </c>
      <c r="BQ536" t="s">
        <v>74</v>
      </c>
      <c r="BR536" t="s">
        <v>104</v>
      </c>
      <c r="BS536" t="s">
        <v>8919</v>
      </c>
      <c r="BT536" t="str">
        <f>HYPERLINK("https%3A%2F%2Fwww.webofscience.com%2Fwos%2Fwoscc%2Ffull-record%2FWOS:001205419700001","View Full Record in Web of Science")</f>
        <v>View Full Record in Web of Science</v>
      </c>
    </row>
    <row r="537" spans="1:72" x14ac:dyDescent="0.25">
      <c r="A537" t="s">
        <v>72</v>
      </c>
      <c r="B537" t="s">
        <v>8920</v>
      </c>
      <c r="C537" t="s">
        <v>74</v>
      </c>
      <c r="D537" t="s">
        <v>74</v>
      </c>
      <c r="E537" t="s">
        <v>74</v>
      </c>
      <c r="F537" t="s">
        <v>8921</v>
      </c>
      <c r="G537" t="s">
        <v>74</v>
      </c>
      <c r="H537" t="s">
        <v>74</v>
      </c>
      <c r="I537" t="s">
        <v>8922</v>
      </c>
      <c r="J537" t="s">
        <v>77</v>
      </c>
      <c r="K537" t="s">
        <v>74</v>
      </c>
      <c r="L537" t="s">
        <v>74</v>
      </c>
      <c r="M537" t="s">
        <v>78</v>
      </c>
      <c r="N537" t="s">
        <v>79</v>
      </c>
      <c r="O537" t="s">
        <v>74</v>
      </c>
      <c r="P537" t="s">
        <v>74</v>
      </c>
      <c r="Q537" t="s">
        <v>74</v>
      </c>
      <c r="R537" t="s">
        <v>74</v>
      </c>
      <c r="S537" t="s">
        <v>74</v>
      </c>
      <c r="T537" t="s">
        <v>8923</v>
      </c>
      <c r="U537" t="s">
        <v>8924</v>
      </c>
      <c r="V537" t="s">
        <v>8925</v>
      </c>
      <c r="W537" t="s">
        <v>8926</v>
      </c>
      <c r="X537" t="s">
        <v>8927</v>
      </c>
      <c r="Y537" t="s">
        <v>3362</v>
      </c>
      <c r="Z537" t="s">
        <v>3363</v>
      </c>
      <c r="AA537" t="s">
        <v>2317</v>
      </c>
      <c r="AB537" t="s">
        <v>1299</v>
      </c>
      <c r="AC537" t="s">
        <v>8928</v>
      </c>
      <c r="AD537" t="s">
        <v>8929</v>
      </c>
      <c r="AE537" t="s">
        <v>8930</v>
      </c>
      <c r="AF537" t="s">
        <v>74</v>
      </c>
      <c r="AG537">
        <v>42</v>
      </c>
      <c r="AH537">
        <v>15</v>
      </c>
      <c r="AI537">
        <v>15</v>
      </c>
      <c r="AJ537">
        <v>1</v>
      </c>
      <c r="AK537">
        <v>14</v>
      </c>
      <c r="AL537" t="s">
        <v>90</v>
      </c>
      <c r="AM537" t="s">
        <v>91</v>
      </c>
      <c r="AN537" t="s">
        <v>8931</v>
      </c>
      <c r="AO537" t="s">
        <v>93</v>
      </c>
      <c r="AP537" t="s">
        <v>94</v>
      </c>
      <c r="AQ537" t="s">
        <v>74</v>
      </c>
      <c r="AR537" t="s">
        <v>95</v>
      </c>
      <c r="AS537" t="s">
        <v>96</v>
      </c>
      <c r="AT537" t="s">
        <v>579</v>
      </c>
      <c r="AU537">
        <v>2023</v>
      </c>
      <c r="AV537">
        <v>29</v>
      </c>
      <c r="AW537">
        <v>2</v>
      </c>
      <c r="AX537" t="s">
        <v>74</v>
      </c>
      <c r="AY537" t="s">
        <v>74</v>
      </c>
      <c r="AZ537" t="s">
        <v>74</v>
      </c>
      <c r="BA537" t="s">
        <v>74</v>
      </c>
      <c r="BB537">
        <v>481</v>
      </c>
      <c r="BC537">
        <v>508</v>
      </c>
      <c r="BD537" t="s">
        <v>74</v>
      </c>
      <c r="BE537" t="s">
        <v>8932</v>
      </c>
      <c r="BF537" t="str">
        <f>HYPERLINK("http://dx.doi.org/10.1108/JQME-09-2021-0067","http://dx.doi.org/10.1108/JQME-09-2021-0067")</f>
        <v>http://dx.doi.org/10.1108/JQME-09-2021-0067</v>
      </c>
      <c r="BG537" t="s">
        <v>74</v>
      </c>
      <c r="BH537" t="s">
        <v>250</v>
      </c>
      <c r="BI537">
        <v>28</v>
      </c>
      <c r="BJ537" t="s">
        <v>100</v>
      </c>
      <c r="BK537" t="s">
        <v>101</v>
      </c>
      <c r="BL537" t="s">
        <v>102</v>
      </c>
      <c r="BM537" t="s">
        <v>582</v>
      </c>
      <c r="BN537" t="s">
        <v>74</v>
      </c>
      <c r="BO537" t="s">
        <v>74</v>
      </c>
      <c r="BP537" t="s">
        <v>74</v>
      </c>
      <c r="BQ537" t="s">
        <v>74</v>
      </c>
      <c r="BR537" t="s">
        <v>104</v>
      </c>
      <c r="BS537" t="s">
        <v>8933</v>
      </c>
      <c r="BT537" t="str">
        <f>HYPERLINK("https%3A%2F%2Fwww.webofscience.com%2Fwos%2Fwoscc%2Ffull-record%2FWOS:000784776900001","View Full Record in Web of Science")</f>
        <v>View Full Record in Web of Science</v>
      </c>
    </row>
    <row r="538" spans="1:72" x14ac:dyDescent="0.25">
      <c r="A538" t="s">
        <v>72</v>
      </c>
      <c r="B538" t="s">
        <v>8934</v>
      </c>
      <c r="C538" t="s">
        <v>74</v>
      </c>
      <c r="D538" t="s">
        <v>74</v>
      </c>
      <c r="E538" t="s">
        <v>74</v>
      </c>
      <c r="F538" t="s">
        <v>8935</v>
      </c>
      <c r="G538" t="s">
        <v>74</v>
      </c>
      <c r="H538" t="s">
        <v>74</v>
      </c>
      <c r="I538" t="s">
        <v>8936</v>
      </c>
      <c r="J538" t="s">
        <v>8937</v>
      </c>
      <c r="K538" t="s">
        <v>74</v>
      </c>
      <c r="L538" t="s">
        <v>74</v>
      </c>
      <c r="M538" t="s">
        <v>78</v>
      </c>
      <c r="N538" t="s">
        <v>79</v>
      </c>
      <c r="O538" t="s">
        <v>74</v>
      </c>
      <c r="P538" t="s">
        <v>74</v>
      </c>
      <c r="Q538" t="s">
        <v>74</v>
      </c>
      <c r="R538" t="s">
        <v>74</v>
      </c>
      <c r="S538" t="s">
        <v>74</v>
      </c>
      <c r="T538" t="s">
        <v>8938</v>
      </c>
      <c r="U538" t="s">
        <v>8939</v>
      </c>
      <c r="V538" t="s">
        <v>8940</v>
      </c>
      <c r="W538" t="s">
        <v>8941</v>
      </c>
      <c r="X538" t="s">
        <v>8942</v>
      </c>
      <c r="Y538" t="s">
        <v>8943</v>
      </c>
      <c r="Z538" t="s">
        <v>8944</v>
      </c>
      <c r="AA538" t="s">
        <v>74</v>
      </c>
      <c r="AB538" t="s">
        <v>74</v>
      </c>
      <c r="AC538" t="s">
        <v>74</v>
      </c>
      <c r="AD538" t="s">
        <v>74</v>
      </c>
      <c r="AE538" t="s">
        <v>74</v>
      </c>
      <c r="AF538" t="s">
        <v>74</v>
      </c>
      <c r="AG538">
        <v>57</v>
      </c>
      <c r="AH538">
        <v>0</v>
      </c>
      <c r="AI538">
        <v>0</v>
      </c>
      <c r="AJ538">
        <v>2</v>
      </c>
      <c r="AK538">
        <v>2</v>
      </c>
      <c r="AL538" t="s">
        <v>4615</v>
      </c>
      <c r="AM538" t="s">
        <v>4616</v>
      </c>
      <c r="AN538" t="s">
        <v>4617</v>
      </c>
      <c r="AO538" t="s">
        <v>8945</v>
      </c>
      <c r="AP538" t="s">
        <v>8946</v>
      </c>
      <c r="AQ538" t="s">
        <v>74</v>
      </c>
      <c r="AR538" t="s">
        <v>8947</v>
      </c>
      <c r="AS538" t="s">
        <v>8948</v>
      </c>
      <c r="AT538" t="s">
        <v>8949</v>
      </c>
      <c r="AU538">
        <v>2024</v>
      </c>
      <c r="AV538">
        <v>32</v>
      </c>
      <c r="AW538">
        <v>3</v>
      </c>
      <c r="AX538" t="s">
        <v>74</v>
      </c>
      <c r="AY538" t="s">
        <v>74</v>
      </c>
      <c r="AZ538" t="s">
        <v>74</v>
      </c>
      <c r="BA538" t="s">
        <v>74</v>
      </c>
      <c r="BB538">
        <v>326</v>
      </c>
      <c r="BC538">
        <v>338</v>
      </c>
      <c r="BD538" t="s">
        <v>74</v>
      </c>
      <c r="BE538" t="s">
        <v>8950</v>
      </c>
      <c r="BF538" t="str">
        <f>HYPERLINK("http://dx.doi.org/10.2478/mspe-2024-0031","http://dx.doi.org/10.2478/mspe-2024-0031")</f>
        <v>http://dx.doi.org/10.2478/mspe-2024-0031</v>
      </c>
      <c r="BG538" t="s">
        <v>74</v>
      </c>
      <c r="BH538" t="s">
        <v>74</v>
      </c>
      <c r="BI538">
        <v>13</v>
      </c>
      <c r="BJ538" t="s">
        <v>100</v>
      </c>
      <c r="BK538" t="s">
        <v>101</v>
      </c>
      <c r="BL538" t="s">
        <v>102</v>
      </c>
      <c r="BM538" t="s">
        <v>8951</v>
      </c>
      <c r="BN538" t="s">
        <v>74</v>
      </c>
      <c r="BO538" t="s">
        <v>208</v>
      </c>
      <c r="BP538" t="s">
        <v>74</v>
      </c>
      <c r="BQ538" t="s">
        <v>74</v>
      </c>
      <c r="BR538" t="s">
        <v>104</v>
      </c>
      <c r="BS538" t="s">
        <v>8952</v>
      </c>
      <c r="BT538" t="str">
        <f>HYPERLINK("https%3A%2F%2Fwww.webofscience.com%2Fwos%2Fwoscc%2Ffull-record%2FWOS:001307941400014","View Full Record in Web of Science")</f>
        <v>View Full Record in Web of Science</v>
      </c>
    </row>
    <row r="539" spans="1:72" x14ac:dyDescent="0.25">
      <c r="A539" t="s">
        <v>72</v>
      </c>
      <c r="B539" t="s">
        <v>8953</v>
      </c>
      <c r="C539" t="s">
        <v>74</v>
      </c>
      <c r="D539" t="s">
        <v>74</v>
      </c>
      <c r="E539" t="s">
        <v>74</v>
      </c>
      <c r="F539" t="s">
        <v>8954</v>
      </c>
      <c r="G539" t="s">
        <v>74</v>
      </c>
      <c r="H539" t="s">
        <v>74</v>
      </c>
      <c r="I539" t="s">
        <v>8955</v>
      </c>
      <c r="J539" t="s">
        <v>8636</v>
      </c>
      <c r="K539" t="s">
        <v>74</v>
      </c>
      <c r="L539" t="s">
        <v>74</v>
      </c>
      <c r="M539" t="s">
        <v>78</v>
      </c>
      <c r="N539" t="s">
        <v>79</v>
      </c>
      <c r="O539" t="s">
        <v>74</v>
      </c>
      <c r="P539" t="s">
        <v>74</v>
      </c>
      <c r="Q539" t="s">
        <v>74</v>
      </c>
      <c r="R539" t="s">
        <v>74</v>
      </c>
      <c r="S539" t="s">
        <v>74</v>
      </c>
      <c r="T539" t="s">
        <v>8956</v>
      </c>
      <c r="U539" t="s">
        <v>8957</v>
      </c>
      <c r="V539" t="s">
        <v>8958</v>
      </c>
      <c r="W539" t="s">
        <v>8959</v>
      </c>
      <c r="X539" t="s">
        <v>8960</v>
      </c>
      <c r="Y539" t="s">
        <v>8961</v>
      </c>
      <c r="Z539" t="s">
        <v>8962</v>
      </c>
      <c r="AA539" t="s">
        <v>8963</v>
      </c>
      <c r="AB539" t="s">
        <v>8964</v>
      </c>
      <c r="AC539" t="s">
        <v>8965</v>
      </c>
      <c r="AD539" t="s">
        <v>8966</v>
      </c>
      <c r="AE539" t="s">
        <v>8967</v>
      </c>
      <c r="AF539" t="s">
        <v>74</v>
      </c>
      <c r="AG539">
        <v>95</v>
      </c>
      <c r="AH539">
        <v>2</v>
      </c>
      <c r="AI539">
        <v>2</v>
      </c>
      <c r="AJ539">
        <v>31</v>
      </c>
      <c r="AK539">
        <v>42</v>
      </c>
      <c r="AL539" t="s">
        <v>509</v>
      </c>
      <c r="AM539" t="s">
        <v>510</v>
      </c>
      <c r="AN539" t="s">
        <v>511</v>
      </c>
      <c r="AO539" t="s">
        <v>8649</v>
      </c>
      <c r="AP539" t="s">
        <v>8650</v>
      </c>
      <c r="AQ539" t="s">
        <v>74</v>
      </c>
      <c r="AR539" t="s">
        <v>8636</v>
      </c>
      <c r="AS539" t="s">
        <v>8651</v>
      </c>
      <c r="AT539" t="s">
        <v>559</v>
      </c>
      <c r="AU539">
        <v>2024</v>
      </c>
      <c r="AV539">
        <v>134</v>
      </c>
      <c r="AW539" t="s">
        <v>74</v>
      </c>
      <c r="AX539" t="s">
        <v>74</v>
      </c>
      <c r="AY539" t="s">
        <v>74</v>
      </c>
      <c r="AZ539" t="s">
        <v>74</v>
      </c>
      <c r="BA539" t="s">
        <v>74</v>
      </c>
      <c r="BB539" t="s">
        <v>74</v>
      </c>
      <c r="BC539" t="s">
        <v>74</v>
      </c>
      <c r="BD539">
        <v>103029</v>
      </c>
      <c r="BE539" t="s">
        <v>8968</v>
      </c>
      <c r="BF539" t="str">
        <f>HYPERLINK("http://dx.doi.org/10.1016/j.technovation.2024.103029","http://dx.doi.org/10.1016/j.technovation.2024.103029")</f>
        <v>http://dx.doi.org/10.1016/j.technovation.2024.103029</v>
      </c>
      <c r="BG539" t="s">
        <v>74</v>
      </c>
      <c r="BH539" t="s">
        <v>2072</v>
      </c>
      <c r="BI539">
        <v>15</v>
      </c>
      <c r="BJ539" t="s">
        <v>8653</v>
      </c>
      <c r="BK539" t="s">
        <v>322</v>
      </c>
      <c r="BL539" t="s">
        <v>8654</v>
      </c>
      <c r="BM539" t="s">
        <v>8969</v>
      </c>
      <c r="BN539" t="s">
        <v>74</v>
      </c>
      <c r="BO539" t="s">
        <v>123</v>
      </c>
      <c r="BP539" t="s">
        <v>74</v>
      </c>
      <c r="BQ539" t="s">
        <v>74</v>
      </c>
      <c r="BR539" t="s">
        <v>104</v>
      </c>
      <c r="BS539" t="s">
        <v>8970</v>
      </c>
      <c r="BT539" t="str">
        <f>HYPERLINK("https%3A%2F%2Fwww.webofscience.com%2Fwos%2Fwoscc%2Ffull-record%2FWOS:001239965700001","View Full Record in Web of Science")</f>
        <v>View Full Record in Web of Science</v>
      </c>
    </row>
    <row r="540" spans="1:72" x14ac:dyDescent="0.25">
      <c r="A540" t="s">
        <v>72</v>
      </c>
      <c r="B540" t="s">
        <v>8971</v>
      </c>
      <c r="C540" t="s">
        <v>74</v>
      </c>
      <c r="D540" t="s">
        <v>74</v>
      </c>
      <c r="E540" t="s">
        <v>74</v>
      </c>
      <c r="F540" t="s">
        <v>8972</v>
      </c>
      <c r="G540" t="s">
        <v>74</v>
      </c>
      <c r="H540" t="s">
        <v>74</v>
      </c>
      <c r="I540" t="s">
        <v>8973</v>
      </c>
      <c r="J540" t="s">
        <v>1557</v>
      </c>
      <c r="K540" t="s">
        <v>74</v>
      </c>
      <c r="L540" t="s">
        <v>74</v>
      </c>
      <c r="M540" t="s">
        <v>78</v>
      </c>
      <c r="N540" t="s">
        <v>79</v>
      </c>
      <c r="O540" t="s">
        <v>74</v>
      </c>
      <c r="P540" t="s">
        <v>74</v>
      </c>
      <c r="Q540" t="s">
        <v>74</v>
      </c>
      <c r="R540" t="s">
        <v>74</v>
      </c>
      <c r="S540" t="s">
        <v>74</v>
      </c>
      <c r="T540" t="s">
        <v>8974</v>
      </c>
      <c r="U540" t="s">
        <v>8975</v>
      </c>
      <c r="V540" t="s">
        <v>8976</v>
      </c>
      <c r="W540" t="s">
        <v>8977</v>
      </c>
      <c r="X540" t="s">
        <v>8978</v>
      </c>
      <c r="Y540" t="s">
        <v>8979</v>
      </c>
      <c r="Z540" t="s">
        <v>8980</v>
      </c>
      <c r="AA540" t="s">
        <v>74</v>
      </c>
      <c r="AB540" t="s">
        <v>8981</v>
      </c>
      <c r="AC540" t="s">
        <v>8982</v>
      </c>
      <c r="AD540" t="s">
        <v>8982</v>
      </c>
      <c r="AE540" t="s">
        <v>8983</v>
      </c>
      <c r="AF540" t="s">
        <v>74</v>
      </c>
      <c r="AG540">
        <v>45</v>
      </c>
      <c r="AH540">
        <v>26</v>
      </c>
      <c r="AI540">
        <v>27</v>
      </c>
      <c r="AJ540">
        <v>4</v>
      </c>
      <c r="AK540">
        <v>28</v>
      </c>
      <c r="AL540" t="s">
        <v>707</v>
      </c>
      <c r="AM540" t="s">
        <v>246</v>
      </c>
      <c r="AN540" t="s">
        <v>708</v>
      </c>
      <c r="AO540" t="s">
        <v>1569</v>
      </c>
      <c r="AP540" t="s">
        <v>1570</v>
      </c>
      <c r="AQ540" t="s">
        <v>74</v>
      </c>
      <c r="AR540" t="s">
        <v>1571</v>
      </c>
      <c r="AS540" t="s">
        <v>1572</v>
      </c>
      <c r="AT540" t="s">
        <v>6825</v>
      </c>
      <c r="AU540">
        <v>2021</v>
      </c>
      <c r="AV540">
        <v>176</v>
      </c>
      <c r="AW540" t="s">
        <v>74</v>
      </c>
      <c r="AX540" t="s">
        <v>74</v>
      </c>
      <c r="AY540" t="s">
        <v>74</v>
      </c>
      <c r="AZ540" t="s">
        <v>74</v>
      </c>
      <c r="BA540" t="s">
        <v>74</v>
      </c>
      <c r="BB540" t="s">
        <v>74</v>
      </c>
      <c r="BC540" t="s">
        <v>74</v>
      </c>
      <c r="BD540">
        <v>114897</v>
      </c>
      <c r="BE540" t="s">
        <v>8984</v>
      </c>
      <c r="BF540" t="str">
        <f>HYPERLINK("http://dx.doi.org/10.1016/j.eswa.2021.114897","http://dx.doi.org/10.1016/j.eswa.2021.114897")</f>
        <v>http://dx.doi.org/10.1016/j.eswa.2021.114897</v>
      </c>
      <c r="BG540" t="s">
        <v>74</v>
      </c>
      <c r="BH540" t="s">
        <v>756</v>
      </c>
      <c r="BI540">
        <v>17</v>
      </c>
      <c r="BJ540" t="s">
        <v>1575</v>
      </c>
      <c r="BK540" t="s">
        <v>149</v>
      </c>
      <c r="BL540" t="s">
        <v>1576</v>
      </c>
      <c r="BM540" t="s">
        <v>8985</v>
      </c>
      <c r="BN540" t="s">
        <v>74</v>
      </c>
      <c r="BO540" t="s">
        <v>324</v>
      </c>
      <c r="BP540" t="s">
        <v>74</v>
      </c>
      <c r="BQ540" t="s">
        <v>74</v>
      </c>
      <c r="BR540" t="s">
        <v>104</v>
      </c>
      <c r="BS540" t="s">
        <v>8986</v>
      </c>
      <c r="BT540" t="str">
        <f>HYPERLINK("https%3A%2F%2Fwww.webofscience.com%2Fwos%2Fwoscc%2Ffull-record%2FWOS:000649744900005","View Full Record in Web of Science")</f>
        <v>View Full Record in Web of Science</v>
      </c>
    </row>
    <row r="541" spans="1:72" x14ac:dyDescent="0.25">
      <c r="A541" t="s">
        <v>72</v>
      </c>
      <c r="B541" t="s">
        <v>8987</v>
      </c>
      <c r="C541" t="s">
        <v>74</v>
      </c>
      <c r="D541" t="s">
        <v>74</v>
      </c>
      <c r="E541" t="s">
        <v>74</v>
      </c>
      <c r="F541" t="s">
        <v>8988</v>
      </c>
      <c r="G541" t="s">
        <v>74</v>
      </c>
      <c r="H541" t="s">
        <v>74</v>
      </c>
      <c r="I541" t="s">
        <v>8989</v>
      </c>
      <c r="J541" t="s">
        <v>128</v>
      </c>
      <c r="K541" t="s">
        <v>74</v>
      </c>
      <c r="L541" t="s">
        <v>74</v>
      </c>
      <c r="M541" t="s">
        <v>78</v>
      </c>
      <c r="N541" t="s">
        <v>79</v>
      </c>
      <c r="O541" t="s">
        <v>74</v>
      </c>
      <c r="P541" t="s">
        <v>74</v>
      </c>
      <c r="Q541" t="s">
        <v>74</v>
      </c>
      <c r="R541" t="s">
        <v>74</v>
      </c>
      <c r="S541" t="s">
        <v>74</v>
      </c>
      <c r="T541" t="s">
        <v>8990</v>
      </c>
      <c r="U541" t="s">
        <v>8991</v>
      </c>
      <c r="V541" t="s">
        <v>8992</v>
      </c>
      <c r="W541" t="s">
        <v>8993</v>
      </c>
      <c r="X541" t="s">
        <v>2564</v>
      </c>
      <c r="Y541" t="s">
        <v>8994</v>
      </c>
      <c r="Z541" t="s">
        <v>1169</v>
      </c>
      <c r="AA541" t="s">
        <v>74</v>
      </c>
      <c r="AB541" t="s">
        <v>74</v>
      </c>
      <c r="AC541" t="s">
        <v>8995</v>
      </c>
      <c r="AD541" t="s">
        <v>482</v>
      </c>
      <c r="AE541" t="s">
        <v>8996</v>
      </c>
      <c r="AF541" t="s">
        <v>74</v>
      </c>
      <c r="AG541">
        <v>26</v>
      </c>
      <c r="AH541">
        <v>18</v>
      </c>
      <c r="AI541">
        <v>19</v>
      </c>
      <c r="AJ541">
        <v>4</v>
      </c>
      <c r="AK541">
        <v>29</v>
      </c>
      <c r="AL541" t="s">
        <v>138</v>
      </c>
      <c r="AM541" t="s">
        <v>246</v>
      </c>
      <c r="AN541" t="s">
        <v>247</v>
      </c>
      <c r="AO541" t="s">
        <v>141</v>
      </c>
      <c r="AP541" t="s">
        <v>142</v>
      </c>
      <c r="AQ541" t="s">
        <v>74</v>
      </c>
      <c r="AR541" t="s">
        <v>143</v>
      </c>
      <c r="AS541" t="s">
        <v>144</v>
      </c>
      <c r="AT541" t="s">
        <v>275</v>
      </c>
      <c r="AU541">
        <v>2020</v>
      </c>
      <c r="AV541">
        <v>195</v>
      </c>
      <c r="AW541" t="s">
        <v>74</v>
      </c>
      <c r="AX541" t="s">
        <v>74</v>
      </c>
      <c r="AY541" t="s">
        <v>74</v>
      </c>
      <c r="AZ541" t="s">
        <v>74</v>
      </c>
      <c r="BA541" t="s">
        <v>74</v>
      </c>
      <c r="BB541" t="s">
        <v>74</v>
      </c>
      <c r="BC541" t="s">
        <v>74</v>
      </c>
      <c r="BD541">
        <v>106748</v>
      </c>
      <c r="BE541" t="s">
        <v>8997</v>
      </c>
      <c r="BF541" t="str">
        <f>HYPERLINK("http://dx.doi.org/10.1016/j.ress.2019.106748","http://dx.doi.org/10.1016/j.ress.2019.106748")</f>
        <v>http://dx.doi.org/10.1016/j.ress.2019.106748</v>
      </c>
      <c r="BG541" t="s">
        <v>74</v>
      </c>
      <c r="BH541" t="s">
        <v>74</v>
      </c>
      <c r="BI541">
        <v>10</v>
      </c>
      <c r="BJ541" t="s">
        <v>148</v>
      </c>
      <c r="BK541" t="s">
        <v>149</v>
      </c>
      <c r="BL541" t="s">
        <v>150</v>
      </c>
      <c r="BM541" t="s">
        <v>6333</v>
      </c>
      <c r="BN541" t="s">
        <v>74</v>
      </c>
      <c r="BO541" t="s">
        <v>74</v>
      </c>
      <c r="BP541" t="s">
        <v>74</v>
      </c>
      <c r="BQ541" t="s">
        <v>74</v>
      </c>
      <c r="BR541" t="s">
        <v>104</v>
      </c>
      <c r="BS541" t="s">
        <v>8998</v>
      </c>
      <c r="BT541" t="str">
        <f>HYPERLINK("https%3A%2F%2Fwww.webofscience.com%2Fwos%2Fwoscc%2Ffull-record%2FWOS:000515416500040","View Full Record in Web of Science")</f>
        <v>View Full Record in Web of Science</v>
      </c>
    </row>
    <row r="542" spans="1:72" x14ac:dyDescent="0.25">
      <c r="A542" t="s">
        <v>72</v>
      </c>
      <c r="B542" t="s">
        <v>8999</v>
      </c>
      <c r="C542" t="s">
        <v>74</v>
      </c>
      <c r="D542" t="s">
        <v>74</v>
      </c>
      <c r="E542" t="s">
        <v>74</v>
      </c>
      <c r="F542" t="s">
        <v>9000</v>
      </c>
      <c r="G542" t="s">
        <v>74</v>
      </c>
      <c r="H542" t="s">
        <v>74</v>
      </c>
      <c r="I542" t="s">
        <v>9001</v>
      </c>
      <c r="J542" t="s">
        <v>128</v>
      </c>
      <c r="K542" t="s">
        <v>74</v>
      </c>
      <c r="L542" t="s">
        <v>74</v>
      </c>
      <c r="M542" t="s">
        <v>78</v>
      </c>
      <c r="N542" t="s">
        <v>79</v>
      </c>
      <c r="O542" t="s">
        <v>74</v>
      </c>
      <c r="P542" t="s">
        <v>74</v>
      </c>
      <c r="Q542" t="s">
        <v>74</v>
      </c>
      <c r="R542" t="s">
        <v>74</v>
      </c>
      <c r="S542" t="s">
        <v>74</v>
      </c>
      <c r="T542" t="s">
        <v>9002</v>
      </c>
      <c r="U542" t="s">
        <v>9003</v>
      </c>
      <c r="V542" t="s">
        <v>9004</v>
      </c>
      <c r="W542" t="s">
        <v>9005</v>
      </c>
      <c r="X542" t="s">
        <v>9006</v>
      </c>
      <c r="Y542" t="s">
        <v>9007</v>
      </c>
      <c r="Z542" t="s">
        <v>9008</v>
      </c>
      <c r="AA542" t="s">
        <v>9009</v>
      </c>
      <c r="AB542" t="s">
        <v>9010</v>
      </c>
      <c r="AC542" t="s">
        <v>9011</v>
      </c>
      <c r="AD542" t="s">
        <v>9012</v>
      </c>
      <c r="AE542" t="s">
        <v>9013</v>
      </c>
      <c r="AF542" t="s">
        <v>74</v>
      </c>
      <c r="AG542">
        <v>42</v>
      </c>
      <c r="AH542">
        <v>32</v>
      </c>
      <c r="AI542">
        <v>33</v>
      </c>
      <c r="AJ542">
        <v>7</v>
      </c>
      <c r="AK542">
        <v>35</v>
      </c>
      <c r="AL542" t="s">
        <v>138</v>
      </c>
      <c r="AM542" t="s">
        <v>139</v>
      </c>
      <c r="AN542" t="s">
        <v>140</v>
      </c>
      <c r="AO542" t="s">
        <v>141</v>
      </c>
      <c r="AP542" t="s">
        <v>142</v>
      </c>
      <c r="AQ542" t="s">
        <v>74</v>
      </c>
      <c r="AR542" t="s">
        <v>143</v>
      </c>
      <c r="AS542" t="s">
        <v>144</v>
      </c>
      <c r="AT542" t="s">
        <v>1867</v>
      </c>
      <c r="AU542">
        <v>2023</v>
      </c>
      <c r="AV542">
        <v>232</v>
      </c>
      <c r="AW542" t="s">
        <v>74</v>
      </c>
      <c r="AX542" t="s">
        <v>74</v>
      </c>
      <c r="AY542" t="s">
        <v>74</v>
      </c>
      <c r="AZ542" t="s">
        <v>74</v>
      </c>
      <c r="BA542" t="s">
        <v>74</v>
      </c>
      <c r="BB542" t="s">
        <v>74</v>
      </c>
      <c r="BC542" t="s">
        <v>74</v>
      </c>
      <c r="BD542">
        <v>109064</v>
      </c>
      <c r="BE542" t="s">
        <v>9014</v>
      </c>
      <c r="BF542" t="str">
        <f>HYPERLINK("http://dx.doi.org/10.1016/j.ress.2022.109064","http://dx.doi.org/10.1016/j.ress.2022.109064")</f>
        <v>http://dx.doi.org/10.1016/j.ress.2022.109064</v>
      </c>
      <c r="BG542" t="s">
        <v>74</v>
      </c>
      <c r="BH542" t="s">
        <v>396</v>
      </c>
      <c r="BI542">
        <v>13</v>
      </c>
      <c r="BJ542" t="s">
        <v>148</v>
      </c>
      <c r="BK542" t="s">
        <v>149</v>
      </c>
      <c r="BL542" t="s">
        <v>150</v>
      </c>
      <c r="BM542" t="s">
        <v>9015</v>
      </c>
      <c r="BN542" t="s">
        <v>74</v>
      </c>
      <c r="BO542" t="s">
        <v>74</v>
      </c>
      <c r="BP542" t="s">
        <v>74</v>
      </c>
      <c r="BQ542" t="s">
        <v>74</v>
      </c>
      <c r="BR542" t="s">
        <v>104</v>
      </c>
      <c r="BS542" t="s">
        <v>9016</v>
      </c>
      <c r="BT542" t="str">
        <f>HYPERLINK("https%3A%2F%2Fwww.webofscience.com%2Fwos%2Fwoscc%2Ffull-record%2FWOS:000969917500001","View Full Record in Web of Science")</f>
        <v>View Full Record in Web of Science</v>
      </c>
    </row>
    <row r="543" spans="1:72" x14ac:dyDescent="0.25">
      <c r="A543" t="s">
        <v>72</v>
      </c>
      <c r="B543" t="s">
        <v>9017</v>
      </c>
      <c r="C543" t="s">
        <v>74</v>
      </c>
      <c r="D543" t="s">
        <v>74</v>
      </c>
      <c r="E543" t="s">
        <v>74</v>
      </c>
      <c r="F543" t="s">
        <v>9018</v>
      </c>
      <c r="G543" t="s">
        <v>74</v>
      </c>
      <c r="H543" t="s">
        <v>74</v>
      </c>
      <c r="I543" t="s">
        <v>9019</v>
      </c>
      <c r="J543" t="s">
        <v>542</v>
      </c>
      <c r="K543" t="s">
        <v>74</v>
      </c>
      <c r="L543" t="s">
        <v>74</v>
      </c>
      <c r="M543" t="s">
        <v>78</v>
      </c>
      <c r="N543" t="s">
        <v>79</v>
      </c>
      <c r="O543" t="s">
        <v>74</v>
      </c>
      <c r="P543" t="s">
        <v>74</v>
      </c>
      <c r="Q543" t="s">
        <v>74</v>
      </c>
      <c r="R543" t="s">
        <v>74</v>
      </c>
      <c r="S543" t="s">
        <v>74</v>
      </c>
      <c r="T543" t="s">
        <v>9020</v>
      </c>
      <c r="U543" t="s">
        <v>9021</v>
      </c>
      <c r="V543" t="s">
        <v>9022</v>
      </c>
      <c r="W543" t="s">
        <v>9023</v>
      </c>
      <c r="X543" t="s">
        <v>3361</v>
      </c>
      <c r="Y543" t="s">
        <v>9024</v>
      </c>
      <c r="Z543" t="s">
        <v>3363</v>
      </c>
      <c r="AA543" t="s">
        <v>3960</v>
      </c>
      <c r="AB543" t="s">
        <v>1299</v>
      </c>
      <c r="AC543" t="s">
        <v>9025</v>
      </c>
      <c r="AD543" t="s">
        <v>482</v>
      </c>
      <c r="AE543" t="s">
        <v>9026</v>
      </c>
      <c r="AF543" t="s">
        <v>74</v>
      </c>
      <c r="AG543">
        <v>40</v>
      </c>
      <c r="AH543">
        <v>13</v>
      </c>
      <c r="AI543">
        <v>13</v>
      </c>
      <c r="AJ543">
        <v>4</v>
      </c>
      <c r="AK543">
        <v>30</v>
      </c>
      <c r="AL543" t="s">
        <v>552</v>
      </c>
      <c r="AM543" t="s">
        <v>553</v>
      </c>
      <c r="AN543" t="s">
        <v>554</v>
      </c>
      <c r="AO543" t="s">
        <v>555</v>
      </c>
      <c r="AP543" t="s">
        <v>556</v>
      </c>
      <c r="AQ543" t="s">
        <v>74</v>
      </c>
      <c r="AR543" t="s">
        <v>557</v>
      </c>
      <c r="AS543" t="s">
        <v>558</v>
      </c>
      <c r="AT543" t="s">
        <v>533</v>
      </c>
      <c r="AU543">
        <v>2022</v>
      </c>
      <c r="AV543">
        <v>236</v>
      </c>
      <c r="AW543">
        <v>1</v>
      </c>
      <c r="AX543" t="s">
        <v>74</v>
      </c>
      <c r="AY543" t="s">
        <v>74</v>
      </c>
      <c r="AZ543" t="s">
        <v>74</v>
      </c>
      <c r="BA543" t="s">
        <v>74</v>
      </c>
      <c r="BB543">
        <v>173</v>
      </c>
      <c r="BC543">
        <v>193</v>
      </c>
      <c r="BD543" t="s">
        <v>9027</v>
      </c>
      <c r="BE543" t="s">
        <v>9028</v>
      </c>
      <c r="BF543" t="str">
        <f>HYPERLINK("http://dx.doi.org/10.1177/1748006X211013325","http://dx.doi.org/10.1177/1748006X211013325")</f>
        <v>http://dx.doi.org/10.1177/1748006X211013325</v>
      </c>
      <c r="BG543" t="s">
        <v>74</v>
      </c>
      <c r="BH543" t="s">
        <v>1614</v>
      </c>
      <c r="BI543">
        <v>21</v>
      </c>
      <c r="BJ543" t="s">
        <v>494</v>
      </c>
      <c r="BK543" t="s">
        <v>149</v>
      </c>
      <c r="BL543" t="s">
        <v>150</v>
      </c>
      <c r="BM543" t="s">
        <v>4145</v>
      </c>
      <c r="BN543" t="s">
        <v>74</v>
      </c>
      <c r="BO543" t="s">
        <v>74</v>
      </c>
      <c r="BP543" t="s">
        <v>74</v>
      </c>
      <c r="BQ543" t="s">
        <v>74</v>
      </c>
      <c r="BR543" t="s">
        <v>104</v>
      </c>
      <c r="BS543" t="s">
        <v>9029</v>
      </c>
      <c r="BT543" t="str">
        <f>HYPERLINK("https%3A%2F%2Fwww.webofscience.com%2Fwos%2Fwoscc%2Ffull-record%2FWOS:000651170600001","View Full Record in Web of Science")</f>
        <v>View Full Record in Web of Science</v>
      </c>
    </row>
    <row r="544" spans="1:72" x14ac:dyDescent="0.25">
      <c r="A544" t="s">
        <v>72</v>
      </c>
      <c r="B544" t="s">
        <v>9030</v>
      </c>
      <c r="C544" t="s">
        <v>74</v>
      </c>
      <c r="D544" t="s">
        <v>74</v>
      </c>
      <c r="E544" t="s">
        <v>74</v>
      </c>
      <c r="F544" t="s">
        <v>9031</v>
      </c>
      <c r="G544" t="s">
        <v>74</v>
      </c>
      <c r="H544" t="s">
        <v>74</v>
      </c>
      <c r="I544" t="s">
        <v>9032</v>
      </c>
      <c r="J544" t="s">
        <v>128</v>
      </c>
      <c r="K544" t="s">
        <v>74</v>
      </c>
      <c r="L544" t="s">
        <v>74</v>
      </c>
      <c r="M544" t="s">
        <v>78</v>
      </c>
      <c r="N544" t="s">
        <v>79</v>
      </c>
      <c r="O544" t="s">
        <v>74</v>
      </c>
      <c r="P544" t="s">
        <v>74</v>
      </c>
      <c r="Q544" t="s">
        <v>74</v>
      </c>
      <c r="R544" t="s">
        <v>74</v>
      </c>
      <c r="S544" t="s">
        <v>74</v>
      </c>
      <c r="T544" t="s">
        <v>9033</v>
      </c>
      <c r="U544" t="s">
        <v>9034</v>
      </c>
      <c r="V544" t="s">
        <v>9035</v>
      </c>
      <c r="W544" t="s">
        <v>9036</v>
      </c>
      <c r="X544" t="s">
        <v>9037</v>
      </c>
      <c r="Y544" t="s">
        <v>9038</v>
      </c>
      <c r="Z544" t="s">
        <v>9039</v>
      </c>
      <c r="AA544" t="s">
        <v>74</v>
      </c>
      <c r="AB544" t="s">
        <v>74</v>
      </c>
      <c r="AC544" t="s">
        <v>9040</v>
      </c>
      <c r="AD544" t="s">
        <v>9041</v>
      </c>
      <c r="AE544" t="s">
        <v>9042</v>
      </c>
      <c r="AF544" t="s">
        <v>74</v>
      </c>
      <c r="AG544">
        <v>38</v>
      </c>
      <c r="AH544">
        <v>6</v>
      </c>
      <c r="AI544">
        <v>7</v>
      </c>
      <c r="AJ544">
        <v>3</v>
      </c>
      <c r="AK544">
        <v>8</v>
      </c>
      <c r="AL544" t="s">
        <v>138</v>
      </c>
      <c r="AM544" t="s">
        <v>139</v>
      </c>
      <c r="AN544" t="s">
        <v>140</v>
      </c>
      <c r="AO544" t="s">
        <v>141</v>
      </c>
      <c r="AP544" t="s">
        <v>142</v>
      </c>
      <c r="AQ544" t="s">
        <v>74</v>
      </c>
      <c r="AR544" t="s">
        <v>143</v>
      </c>
      <c r="AS544" t="s">
        <v>144</v>
      </c>
      <c r="AT544" t="s">
        <v>2225</v>
      </c>
      <c r="AU544">
        <v>2023</v>
      </c>
      <c r="AV544">
        <v>236</v>
      </c>
      <c r="AW544" t="s">
        <v>74</v>
      </c>
      <c r="AX544" t="s">
        <v>74</v>
      </c>
      <c r="AY544" t="s">
        <v>74</v>
      </c>
      <c r="AZ544" t="s">
        <v>74</v>
      </c>
      <c r="BA544" t="s">
        <v>74</v>
      </c>
      <c r="BB544" t="s">
        <v>74</v>
      </c>
      <c r="BC544" t="s">
        <v>74</v>
      </c>
      <c r="BD544">
        <v>109206</v>
      </c>
      <c r="BE544" t="s">
        <v>9043</v>
      </c>
      <c r="BF544" t="str">
        <f>HYPERLINK("http://dx.doi.org/10.1016/j.ress.2023.109206","http://dx.doi.org/10.1016/j.ress.2023.109206")</f>
        <v>http://dx.doi.org/10.1016/j.ress.2023.109206</v>
      </c>
      <c r="BG544" t="s">
        <v>74</v>
      </c>
      <c r="BH544" t="s">
        <v>1204</v>
      </c>
      <c r="BI544">
        <v>15</v>
      </c>
      <c r="BJ544" t="s">
        <v>148</v>
      </c>
      <c r="BK544" t="s">
        <v>149</v>
      </c>
      <c r="BL544" t="s">
        <v>150</v>
      </c>
      <c r="BM544" t="s">
        <v>9044</v>
      </c>
      <c r="BN544" t="s">
        <v>74</v>
      </c>
      <c r="BO544" t="s">
        <v>1578</v>
      </c>
      <c r="BP544" t="s">
        <v>74</v>
      </c>
      <c r="BQ544" t="s">
        <v>74</v>
      </c>
      <c r="BR544" t="s">
        <v>104</v>
      </c>
      <c r="BS544" t="s">
        <v>9045</v>
      </c>
      <c r="BT544" t="str">
        <f>HYPERLINK("https%3A%2F%2Fwww.webofscience.com%2Fwos%2Fwoscc%2Ffull-record%2FWOS:001055329100001","View Full Record in Web of Science")</f>
        <v>View Full Record in Web of Science</v>
      </c>
    </row>
    <row r="545" spans="1:72" x14ac:dyDescent="0.25">
      <c r="A545" t="s">
        <v>72</v>
      </c>
      <c r="B545" t="s">
        <v>9046</v>
      </c>
      <c r="C545" t="s">
        <v>74</v>
      </c>
      <c r="D545" t="s">
        <v>74</v>
      </c>
      <c r="E545" t="s">
        <v>74</v>
      </c>
      <c r="F545" t="s">
        <v>9047</v>
      </c>
      <c r="G545" t="s">
        <v>74</v>
      </c>
      <c r="H545" t="s">
        <v>74</v>
      </c>
      <c r="I545" t="s">
        <v>9048</v>
      </c>
      <c r="J545" t="s">
        <v>542</v>
      </c>
      <c r="K545" t="s">
        <v>74</v>
      </c>
      <c r="L545" t="s">
        <v>74</v>
      </c>
      <c r="M545" t="s">
        <v>78</v>
      </c>
      <c r="N545" t="s">
        <v>79</v>
      </c>
      <c r="O545" t="s">
        <v>74</v>
      </c>
      <c r="P545" t="s">
        <v>74</v>
      </c>
      <c r="Q545" t="s">
        <v>74</v>
      </c>
      <c r="R545" t="s">
        <v>74</v>
      </c>
      <c r="S545" t="s">
        <v>74</v>
      </c>
      <c r="T545" t="s">
        <v>9049</v>
      </c>
      <c r="U545" t="s">
        <v>74</v>
      </c>
      <c r="V545" t="s">
        <v>9050</v>
      </c>
      <c r="W545" t="s">
        <v>9051</v>
      </c>
      <c r="X545" t="s">
        <v>8770</v>
      </c>
      <c r="Y545" t="s">
        <v>9052</v>
      </c>
      <c r="Z545" t="s">
        <v>3424</v>
      </c>
      <c r="AA545" t="s">
        <v>74</v>
      </c>
      <c r="AB545" t="s">
        <v>9053</v>
      </c>
      <c r="AC545" t="s">
        <v>9054</v>
      </c>
      <c r="AD545" t="s">
        <v>482</v>
      </c>
      <c r="AE545" t="s">
        <v>9055</v>
      </c>
      <c r="AF545" t="s">
        <v>74</v>
      </c>
      <c r="AG545">
        <v>51</v>
      </c>
      <c r="AH545">
        <v>2</v>
      </c>
      <c r="AI545">
        <v>2</v>
      </c>
      <c r="AJ545">
        <v>4</v>
      </c>
      <c r="AK545">
        <v>27</v>
      </c>
      <c r="AL545" t="s">
        <v>552</v>
      </c>
      <c r="AM545" t="s">
        <v>553</v>
      </c>
      <c r="AN545" t="s">
        <v>554</v>
      </c>
      <c r="AO545" t="s">
        <v>555</v>
      </c>
      <c r="AP545" t="s">
        <v>556</v>
      </c>
      <c r="AQ545" t="s">
        <v>74</v>
      </c>
      <c r="AR545" t="s">
        <v>557</v>
      </c>
      <c r="AS545" t="s">
        <v>558</v>
      </c>
      <c r="AT545" t="s">
        <v>2225</v>
      </c>
      <c r="AU545">
        <v>2021</v>
      </c>
      <c r="AV545">
        <v>235</v>
      </c>
      <c r="AW545">
        <v>4</v>
      </c>
      <c r="AX545" t="s">
        <v>74</v>
      </c>
      <c r="AY545" t="s">
        <v>74</v>
      </c>
      <c r="AZ545" t="s">
        <v>560</v>
      </c>
      <c r="BA545" t="s">
        <v>74</v>
      </c>
      <c r="BB545">
        <v>676</v>
      </c>
      <c r="BC545">
        <v>689</v>
      </c>
      <c r="BD545" t="s">
        <v>9056</v>
      </c>
      <c r="BE545" t="s">
        <v>9057</v>
      </c>
      <c r="BF545" t="str">
        <f>HYPERLINK("http://dx.doi.org/10.1177/1748006X20983975","http://dx.doi.org/10.1177/1748006X20983975")</f>
        <v>http://dx.doi.org/10.1177/1748006X20983975</v>
      </c>
      <c r="BG545" t="s">
        <v>74</v>
      </c>
      <c r="BH545" t="s">
        <v>773</v>
      </c>
      <c r="BI545">
        <v>14</v>
      </c>
      <c r="BJ545" t="s">
        <v>494</v>
      </c>
      <c r="BK545" t="s">
        <v>149</v>
      </c>
      <c r="BL545" t="s">
        <v>150</v>
      </c>
      <c r="BM545" t="s">
        <v>4848</v>
      </c>
      <c r="BN545" t="s">
        <v>74</v>
      </c>
      <c r="BO545" t="s">
        <v>74</v>
      </c>
      <c r="BP545" t="s">
        <v>74</v>
      </c>
      <c r="BQ545" t="s">
        <v>74</v>
      </c>
      <c r="BR545" t="s">
        <v>104</v>
      </c>
      <c r="BS545" t="s">
        <v>9058</v>
      </c>
      <c r="BT545" t="str">
        <f>HYPERLINK("https%3A%2F%2Fwww.webofscience.com%2Fwos%2Fwoscc%2Ffull-record%2FWOS:000637915700001","View Full Record in Web of Science")</f>
        <v>View Full Record in Web of Science</v>
      </c>
    </row>
    <row r="546" spans="1:72" x14ac:dyDescent="0.25">
      <c r="A546" t="s">
        <v>72</v>
      </c>
      <c r="B546" t="s">
        <v>9059</v>
      </c>
      <c r="C546" t="s">
        <v>74</v>
      </c>
      <c r="D546" t="s">
        <v>74</v>
      </c>
      <c r="E546" t="s">
        <v>74</v>
      </c>
      <c r="F546" t="s">
        <v>9060</v>
      </c>
      <c r="G546" t="s">
        <v>74</v>
      </c>
      <c r="H546" t="s">
        <v>74</v>
      </c>
      <c r="I546" t="s">
        <v>9061</v>
      </c>
      <c r="J546" t="s">
        <v>128</v>
      </c>
      <c r="K546" t="s">
        <v>74</v>
      </c>
      <c r="L546" t="s">
        <v>74</v>
      </c>
      <c r="M546" t="s">
        <v>78</v>
      </c>
      <c r="N546" t="s">
        <v>79</v>
      </c>
      <c r="O546" t="s">
        <v>74</v>
      </c>
      <c r="P546" t="s">
        <v>74</v>
      </c>
      <c r="Q546" t="s">
        <v>74</v>
      </c>
      <c r="R546" t="s">
        <v>74</v>
      </c>
      <c r="S546" t="s">
        <v>74</v>
      </c>
      <c r="T546" t="s">
        <v>9062</v>
      </c>
      <c r="U546" t="s">
        <v>9063</v>
      </c>
      <c r="V546" t="s">
        <v>9064</v>
      </c>
      <c r="W546" t="s">
        <v>9065</v>
      </c>
      <c r="X546" t="s">
        <v>9066</v>
      </c>
      <c r="Y546" t="s">
        <v>9067</v>
      </c>
      <c r="Z546" t="s">
        <v>9068</v>
      </c>
      <c r="AA546" t="s">
        <v>3441</v>
      </c>
      <c r="AB546" t="s">
        <v>4243</v>
      </c>
      <c r="AC546" t="s">
        <v>9069</v>
      </c>
      <c r="AD546" t="s">
        <v>482</v>
      </c>
      <c r="AE546" t="s">
        <v>9070</v>
      </c>
      <c r="AF546" t="s">
        <v>74</v>
      </c>
      <c r="AG546">
        <v>35</v>
      </c>
      <c r="AH546">
        <v>94</v>
      </c>
      <c r="AI546">
        <v>100</v>
      </c>
      <c r="AJ546">
        <v>12</v>
      </c>
      <c r="AK546">
        <v>101</v>
      </c>
      <c r="AL546" t="s">
        <v>138</v>
      </c>
      <c r="AM546" t="s">
        <v>246</v>
      </c>
      <c r="AN546" t="s">
        <v>247</v>
      </c>
      <c r="AO546" t="s">
        <v>141</v>
      </c>
      <c r="AP546" t="s">
        <v>142</v>
      </c>
      <c r="AQ546" t="s">
        <v>74</v>
      </c>
      <c r="AR546" t="s">
        <v>143</v>
      </c>
      <c r="AS546" t="s">
        <v>144</v>
      </c>
      <c r="AT546" t="s">
        <v>1008</v>
      </c>
      <c r="AU546">
        <v>2021</v>
      </c>
      <c r="AV546">
        <v>205</v>
      </c>
      <c r="AW546" t="s">
        <v>74</v>
      </c>
      <c r="AX546" t="s">
        <v>74</v>
      </c>
      <c r="AY546" t="s">
        <v>74</v>
      </c>
      <c r="AZ546" t="s">
        <v>74</v>
      </c>
      <c r="BA546" t="s">
        <v>74</v>
      </c>
      <c r="BB546" t="s">
        <v>74</v>
      </c>
      <c r="BC546" t="s">
        <v>74</v>
      </c>
      <c r="BD546">
        <v>107251</v>
      </c>
      <c r="BE546" t="s">
        <v>9071</v>
      </c>
      <c r="BF546" t="str">
        <f>HYPERLINK("http://dx.doi.org/10.1016/j.ress.2020.107251","http://dx.doi.org/10.1016/j.ress.2020.107251")</f>
        <v>http://dx.doi.org/10.1016/j.ress.2020.107251</v>
      </c>
      <c r="BG546" t="s">
        <v>74</v>
      </c>
      <c r="BH546" t="s">
        <v>74</v>
      </c>
      <c r="BI546">
        <v>12</v>
      </c>
      <c r="BJ546" t="s">
        <v>148</v>
      </c>
      <c r="BK546" t="s">
        <v>149</v>
      </c>
      <c r="BL546" t="s">
        <v>150</v>
      </c>
      <c r="BM546" t="s">
        <v>2589</v>
      </c>
      <c r="BN546" t="s">
        <v>74</v>
      </c>
      <c r="BO546" t="s">
        <v>74</v>
      </c>
      <c r="BP546" t="s">
        <v>74</v>
      </c>
      <c r="BQ546" t="s">
        <v>74</v>
      </c>
      <c r="BR546" t="s">
        <v>104</v>
      </c>
      <c r="BS546" t="s">
        <v>9072</v>
      </c>
      <c r="BT546" t="str">
        <f>HYPERLINK("https%3A%2F%2Fwww.webofscience.com%2Fwos%2Fwoscc%2Ffull-record%2FWOS:000589091300034","View Full Record in Web of Science")</f>
        <v>View Full Record in Web of Science</v>
      </c>
    </row>
    <row r="547" spans="1:72" x14ac:dyDescent="0.25">
      <c r="A547" t="s">
        <v>72</v>
      </c>
      <c r="B547" t="s">
        <v>9073</v>
      </c>
      <c r="C547" t="s">
        <v>74</v>
      </c>
      <c r="D547" t="s">
        <v>74</v>
      </c>
      <c r="E547" t="s">
        <v>74</v>
      </c>
      <c r="F547" t="s">
        <v>9074</v>
      </c>
      <c r="G547" t="s">
        <v>74</v>
      </c>
      <c r="H547" t="s">
        <v>74</v>
      </c>
      <c r="I547" t="s">
        <v>9075</v>
      </c>
      <c r="J547" t="s">
        <v>940</v>
      </c>
      <c r="K547" t="s">
        <v>74</v>
      </c>
      <c r="L547" t="s">
        <v>74</v>
      </c>
      <c r="M547" t="s">
        <v>78</v>
      </c>
      <c r="N547" t="s">
        <v>79</v>
      </c>
      <c r="O547" t="s">
        <v>74</v>
      </c>
      <c r="P547" t="s">
        <v>74</v>
      </c>
      <c r="Q547" t="s">
        <v>74</v>
      </c>
      <c r="R547" t="s">
        <v>74</v>
      </c>
      <c r="S547" t="s">
        <v>74</v>
      </c>
      <c r="T547" t="s">
        <v>9076</v>
      </c>
      <c r="U547" t="s">
        <v>9077</v>
      </c>
      <c r="V547" t="s">
        <v>9078</v>
      </c>
      <c r="W547" t="s">
        <v>9079</v>
      </c>
      <c r="X547" t="s">
        <v>9080</v>
      </c>
      <c r="Y547" t="s">
        <v>9081</v>
      </c>
      <c r="Z547" t="s">
        <v>9082</v>
      </c>
      <c r="AA547" t="s">
        <v>74</v>
      </c>
      <c r="AB547" t="s">
        <v>9083</v>
      </c>
      <c r="AC547" t="s">
        <v>74</v>
      </c>
      <c r="AD547" t="s">
        <v>74</v>
      </c>
      <c r="AE547" t="s">
        <v>74</v>
      </c>
      <c r="AF547" t="s">
        <v>74</v>
      </c>
      <c r="AG547">
        <v>33</v>
      </c>
      <c r="AH547">
        <v>2</v>
      </c>
      <c r="AI547">
        <v>3</v>
      </c>
      <c r="AJ547">
        <v>5</v>
      </c>
      <c r="AK547">
        <v>17</v>
      </c>
      <c r="AL547" t="s">
        <v>220</v>
      </c>
      <c r="AM547" t="s">
        <v>221</v>
      </c>
      <c r="AN547" t="s">
        <v>222</v>
      </c>
      <c r="AO547" t="s">
        <v>950</v>
      </c>
      <c r="AP547" t="s">
        <v>951</v>
      </c>
      <c r="AQ547" t="s">
        <v>74</v>
      </c>
      <c r="AR547" t="s">
        <v>952</v>
      </c>
      <c r="AS547" t="s">
        <v>953</v>
      </c>
      <c r="AT547" t="s">
        <v>145</v>
      </c>
      <c r="AU547">
        <v>2022</v>
      </c>
      <c r="AV547">
        <v>69</v>
      </c>
      <c r="AW547">
        <v>6</v>
      </c>
      <c r="AX547" t="s">
        <v>74</v>
      </c>
      <c r="AY547" t="s">
        <v>74</v>
      </c>
      <c r="AZ547" t="s">
        <v>74</v>
      </c>
      <c r="BA547" t="s">
        <v>74</v>
      </c>
      <c r="BB547">
        <v>3864</v>
      </c>
      <c r="BC547">
        <v>3873</v>
      </c>
      <c r="BD547" t="s">
        <v>74</v>
      </c>
      <c r="BE547" t="s">
        <v>9084</v>
      </c>
      <c r="BF547" t="str">
        <f>HYPERLINK("http://dx.doi.org/10.1109/TEM.2021.3059372","http://dx.doi.org/10.1109/TEM.2021.3059372")</f>
        <v>http://dx.doi.org/10.1109/TEM.2021.3059372</v>
      </c>
      <c r="BG547" t="s">
        <v>74</v>
      </c>
      <c r="BH547" t="s">
        <v>756</v>
      </c>
      <c r="BI547">
        <v>10</v>
      </c>
      <c r="BJ547" t="s">
        <v>955</v>
      </c>
      <c r="BK547" t="s">
        <v>322</v>
      </c>
      <c r="BL547" t="s">
        <v>956</v>
      </c>
      <c r="BM547" t="s">
        <v>4585</v>
      </c>
      <c r="BN547" t="s">
        <v>74</v>
      </c>
      <c r="BO547" t="s">
        <v>74</v>
      </c>
      <c r="BP547" t="s">
        <v>74</v>
      </c>
      <c r="BQ547" t="s">
        <v>74</v>
      </c>
      <c r="BR547" t="s">
        <v>104</v>
      </c>
      <c r="BS547" t="s">
        <v>9085</v>
      </c>
      <c r="BT547" t="str">
        <f>HYPERLINK("https%3A%2F%2Fwww.webofscience.com%2Fwos%2Fwoscc%2Ffull-record%2FWOS:000732696400001","View Full Record in Web of Science")</f>
        <v>View Full Record in Web of Science</v>
      </c>
    </row>
    <row r="548" spans="1:72" x14ac:dyDescent="0.25">
      <c r="A548" t="s">
        <v>72</v>
      </c>
      <c r="B548" t="s">
        <v>9086</v>
      </c>
      <c r="C548" t="s">
        <v>74</v>
      </c>
      <c r="D548" t="s">
        <v>74</v>
      </c>
      <c r="E548" t="s">
        <v>74</v>
      </c>
      <c r="F548" t="s">
        <v>9087</v>
      </c>
      <c r="G548" t="s">
        <v>74</v>
      </c>
      <c r="H548" t="s">
        <v>74</v>
      </c>
      <c r="I548" t="s">
        <v>9088</v>
      </c>
      <c r="J548" t="s">
        <v>128</v>
      </c>
      <c r="K548" t="s">
        <v>74</v>
      </c>
      <c r="L548" t="s">
        <v>74</v>
      </c>
      <c r="M548" t="s">
        <v>78</v>
      </c>
      <c r="N548" t="s">
        <v>79</v>
      </c>
      <c r="O548" t="s">
        <v>74</v>
      </c>
      <c r="P548" t="s">
        <v>74</v>
      </c>
      <c r="Q548" t="s">
        <v>74</v>
      </c>
      <c r="R548" t="s">
        <v>74</v>
      </c>
      <c r="S548" t="s">
        <v>74</v>
      </c>
      <c r="T548" t="s">
        <v>9089</v>
      </c>
      <c r="U548" t="s">
        <v>9090</v>
      </c>
      <c r="V548" t="s">
        <v>9091</v>
      </c>
      <c r="W548" t="s">
        <v>9092</v>
      </c>
      <c r="X548" t="s">
        <v>9093</v>
      </c>
      <c r="Y548" t="s">
        <v>9094</v>
      </c>
      <c r="Z548" t="s">
        <v>9095</v>
      </c>
      <c r="AA548" t="s">
        <v>9096</v>
      </c>
      <c r="AB548" t="s">
        <v>9097</v>
      </c>
      <c r="AC548" t="s">
        <v>9098</v>
      </c>
      <c r="AD548" t="s">
        <v>9099</v>
      </c>
      <c r="AE548" t="s">
        <v>9100</v>
      </c>
      <c r="AF548" t="s">
        <v>74</v>
      </c>
      <c r="AG548">
        <v>37</v>
      </c>
      <c r="AH548">
        <v>39</v>
      </c>
      <c r="AI548">
        <v>39</v>
      </c>
      <c r="AJ548">
        <v>7</v>
      </c>
      <c r="AK548">
        <v>38</v>
      </c>
      <c r="AL548" t="s">
        <v>138</v>
      </c>
      <c r="AM548" t="s">
        <v>246</v>
      </c>
      <c r="AN548" t="s">
        <v>247</v>
      </c>
      <c r="AO548" t="s">
        <v>141</v>
      </c>
      <c r="AP548" t="s">
        <v>142</v>
      </c>
      <c r="AQ548" t="s">
        <v>74</v>
      </c>
      <c r="AR548" t="s">
        <v>143</v>
      </c>
      <c r="AS548" t="s">
        <v>144</v>
      </c>
      <c r="AT548" t="s">
        <v>275</v>
      </c>
      <c r="AU548">
        <v>2021</v>
      </c>
      <c r="AV548">
        <v>207</v>
      </c>
      <c r="AW548" t="s">
        <v>74</v>
      </c>
      <c r="AX548" t="s">
        <v>74</v>
      </c>
      <c r="AY548" t="s">
        <v>74</v>
      </c>
      <c r="AZ548" t="s">
        <v>74</v>
      </c>
      <c r="BA548" t="s">
        <v>74</v>
      </c>
      <c r="BB548" t="s">
        <v>74</v>
      </c>
      <c r="BC548" t="s">
        <v>74</v>
      </c>
      <c r="BD548">
        <v>107381</v>
      </c>
      <c r="BE548" t="s">
        <v>9101</v>
      </c>
      <c r="BF548" t="str">
        <f>HYPERLINK("http://dx.doi.org/10.1016/j.ress.2020.107381","http://dx.doi.org/10.1016/j.ress.2020.107381")</f>
        <v>http://dx.doi.org/10.1016/j.ress.2020.107381</v>
      </c>
      <c r="BG548" t="s">
        <v>74</v>
      </c>
      <c r="BH548" t="s">
        <v>74</v>
      </c>
      <c r="BI548">
        <v>15</v>
      </c>
      <c r="BJ548" t="s">
        <v>148</v>
      </c>
      <c r="BK548" t="s">
        <v>149</v>
      </c>
      <c r="BL548" t="s">
        <v>150</v>
      </c>
      <c r="BM548" t="s">
        <v>5161</v>
      </c>
      <c r="BN548" t="s">
        <v>74</v>
      </c>
      <c r="BO548" t="s">
        <v>74</v>
      </c>
      <c r="BP548" t="s">
        <v>74</v>
      </c>
      <c r="BQ548" t="s">
        <v>74</v>
      </c>
      <c r="BR548" t="s">
        <v>104</v>
      </c>
      <c r="BS548" t="s">
        <v>9102</v>
      </c>
      <c r="BT548" t="str">
        <f>HYPERLINK("https%3A%2F%2Fwww.webofscience.com%2Fwos%2Fwoscc%2Ffull-record%2FWOS:000606682100040","View Full Record in Web of Science")</f>
        <v>View Full Record in Web of Science</v>
      </c>
    </row>
    <row r="549" spans="1:72" x14ac:dyDescent="0.25">
      <c r="A549" t="s">
        <v>72</v>
      </c>
      <c r="B549" t="s">
        <v>9103</v>
      </c>
      <c r="C549" t="s">
        <v>74</v>
      </c>
      <c r="D549" t="s">
        <v>74</v>
      </c>
      <c r="E549" t="s">
        <v>74</v>
      </c>
      <c r="F549" t="s">
        <v>9104</v>
      </c>
      <c r="G549" t="s">
        <v>74</v>
      </c>
      <c r="H549" t="s">
        <v>74</v>
      </c>
      <c r="I549" t="s">
        <v>9105</v>
      </c>
      <c r="J549" t="s">
        <v>128</v>
      </c>
      <c r="K549" t="s">
        <v>74</v>
      </c>
      <c r="L549" t="s">
        <v>74</v>
      </c>
      <c r="M549" t="s">
        <v>78</v>
      </c>
      <c r="N549" t="s">
        <v>79</v>
      </c>
      <c r="O549" t="s">
        <v>74</v>
      </c>
      <c r="P549" t="s">
        <v>74</v>
      </c>
      <c r="Q549" t="s">
        <v>74</v>
      </c>
      <c r="R549" t="s">
        <v>74</v>
      </c>
      <c r="S549" t="s">
        <v>74</v>
      </c>
      <c r="T549" t="s">
        <v>9106</v>
      </c>
      <c r="U549" t="s">
        <v>9107</v>
      </c>
      <c r="V549" t="s">
        <v>9108</v>
      </c>
      <c r="W549" t="s">
        <v>9109</v>
      </c>
      <c r="X549" t="s">
        <v>9110</v>
      </c>
      <c r="Y549" t="s">
        <v>9111</v>
      </c>
      <c r="Z549" t="s">
        <v>9112</v>
      </c>
      <c r="AA549" t="s">
        <v>9113</v>
      </c>
      <c r="AB549" t="s">
        <v>9114</v>
      </c>
      <c r="AC549" t="s">
        <v>9115</v>
      </c>
      <c r="AD549" t="s">
        <v>9116</v>
      </c>
      <c r="AE549" t="s">
        <v>9117</v>
      </c>
      <c r="AF549" t="s">
        <v>74</v>
      </c>
      <c r="AG549">
        <v>57</v>
      </c>
      <c r="AH549">
        <v>24</v>
      </c>
      <c r="AI549">
        <v>24</v>
      </c>
      <c r="AJ549">
        <v>14</v>
      </c>
      <c r="AK549">
        <v>49</v>
      </c>
      <c r="AL549" t="s">
        <v>138</v>
      </c>
      <c r="AM549" t="s">
        <v>139</v>
      </c>
      <c r="AN549" t="s">
        <v>140</v>
      </c>
      <c r="AO549" t="s">
        <v>141</v>
      </c>
      <c r="AP549" t="s">
        <v>142</v>
      </c>
      <c r="AQ549" t="s">
        <v>74</v>
      </c>
      <c r="AR549" t="s">
        <v>143</v>
      </c>
      <c r="AS549" t="s">
        <v>144</v>
      </c>
      <c r="AT549" t="s">
        <v>248</v>
      </c>
      <c r="AU549">
        <v>2023</v>
      </c>
      <c r="AV549">
        <v>235</v>
      </c>
      <c r="AW549" t="s">
        <v>74</v>
      </c>
      <c r="AX549" t="s">
        <v>74</v>
      </c>
      <c r="AY549" t="s">
        <v>74</v>
      </c>
      <c r="AZ549" t="s">
        <v>74</v>
      </c>
      <c r="BA549" t="s">
        <v>74</v>
      </c>
      <c r="BB549" t="s">
        <v>74</v>
      </c>
      <c r="BC549" t="s">
        <v>74</v>
      </c>
      <c r="BD549">
        <v>109144</v>
      </c>
      <c r="BE549" t="s">
        <v>9118</v>
      </c>
      <c r="BF549" t="str">
        <f>HYPERLINK("http://dx.doi.org/10.1016/j.ress.2023.109144","http://dx.doi.org/10.1016/j.ress.2023.109144")</f>
        <v>http://dx.doi.org/10.1016/j.ress.2023.109144</v>
      </c>
      <c r="BG549" t="s">
        <v>74</v>
      </c>
      <c r="BH549" t="s">
        <v>1685</v>
      </c>
      <c r="BI549">
        <v>17</v>
      </c>
      <c r="BJ549" t="s">
        <v>148</v>
      </c>
      <c r="BK549" t="s">
        <v>149</v>
      </c>
      <c r="BL549" t="s">
        <v>150</v>
      </c>
      <c r="BM549" t="s">
        <v>9119</v>
      </c>
      <c r="BN549" t="s">
        <v>74</v>
      </c>
      <c r="BO549" t="s">
        <v>9120</v>
      </c>
      <c r="BP549" t="s">
        <v>74</v>
      </c>
      <c r="BQ549" t="s">
        <v>74</v>
      </c>
      <c r="BR549" t="s">
        <v>104</v>
      </c>
      <c r="BS549" t="s">
        <v>9121</v>
      </c>
      <c r="BT549" t="str">
        <f>HYPERLINK("https%3A%2F%2Fwww.webofscience.com%2Fwos%2Fwoscc%2Ffull-record%2FWOS:000960156700001","View Full Record in Web of Science")</f>
        <v>View Full Record in Web of Science</v>
      </c>
    </row>
    <row r="550" spans="1:72" x14ac:dyDescent="0.25">
      <c r="A550" t="s">
        <v>72</v>
      </c>
      <c r="B550" t="s">
        <v>9122</v>
      </c>
      <c r="C550" t="s">
        <v>74</v>
      </c>
      <c r="D550" t="s">
        <v>74</v>
      </c>
      <c r="E550" t="s">
        <v>74</v>
      </c>
      <c r="F550" t="s">
        <v>9123</v>
      </c>
      <c r="G550" t="s">
        <v>74</v>
      </c>
      <c r="H550" t="s">
        <v>74</v>
      </c>
      <c r="I550" t="s">
        <v>9124</v>
      </c>
      <c r="J550" t="s">
        <v>77</v>
      </c>
      <c r="K550" t="s">
        <v>74</v>
      </c>
      <c r="L550" t="s">
        <v>74</v>
      </c>
      <c r="M550" t="s">
        <v>78</v>
      </c>
      <c r="N550" t="s">
        <v>79</v>
      </c>
      <c r="O550" t="s">
        <v>74</v>
      </c>
      <c r="P550" t="s">
        <v>74</v>
      </c>
      <c r="Q550" t="s">
        <v>74</v>
      </c>
      <c r="R550" t="s">
        <v>74</v>
      </c>
      <c r="S550" t="s">
        <v>74</v>
      </c>
      <c r="T550" t="s">
        <v>9125</v>
      </c>
      <c r="U550" t="s">
        <v>74</v>
      </c>
      <c r="V550" t="s">
        <v>9126</v>
      </c>
      <c r="W550" t="s">
        <v>9127</v>
      </c>
      <c r="X550" t="s">
        <v>9128</v>
      </c>
      <c r="Y550" t="s">
        <v>9129</v>
      </c>
      <c r="Z550" t="s">
        <v>9130</v>
      </c>
      <c r="AA550" t="s">
        <v>74</v>
      </c>
      <c r="AB550" t="s">
        <v>9131</v>
      </c>
      <c r="AC550" t="s">
        <v>74</v>
      </c>
      <c r="AD550" t="s">
        <v>74</v>
      </c>
      <c r="AE550" t="s">
        <v>74</v>
      </c>
      <c r="AF550" t="s">
        <v>74</v>
      </c>
      <c r="AG550">
        <v>20</v>
      </c>
      <c r="AH550">
        <v>0</v>
      </c>
      <c r="AI550">
        <v>0</v>
      </c>
      <c r="AJ550">
        <v>0</v>
      </c>
      <c r="AK550">
        <v>0</v>
      </c>
      <c r="AL550" t="s">
        <v>90</v>
      </c>
      <c r="AM550" t="s">
        <v>91</v>
      </c>
      <c r="AN550" t="s">
        <v>92</v>
      </c>
      <c r="AO550" t="s">
        <v>93</v>
      </c>
      <c r="AP550" t="s">
        <v>94</v>
      </c>
      <c r="AQ550" t="s">
        <v>74</v>
      </c>
      <c r="AR550" t="s">
        <v>95</v>
      </c>
      <c r="AS550" t="s">
        <v>96</v>
      </c>
      <c r="AT550" t="s">
        <v>6935</v>
      </c>
      <c r="AU550">
        <v>2024</v>
      </c>
      <c r="AV550">
        <v>30</v>
      </c>
      <c r="AW550">
        <v>3</v>
      </c>
      <c r="AX550" t="s">
        <v>74</v>
      </c>
      <c r="AY550" t="s">
        <v>74</v>
      </c>
      <c r="AZ550" t="s">
        <v>74</v>
      </c>
      <c r="BA550" t="s">
        <v>74</v>
      </c>
      <c r="BB550">
        <v>508</v>
      </c>
      <c r="BC550">
        <v>520</v>
      </c>
      <c r="BD550" t="s">
        <v>74</v>
      </c>
      <c r="BE550" t="s">
        <v>9132</v>
      </c>
      <c r="BF550" t="str">
        <f>HYPERLINK("http://dx.doi.org/10.1108/JQME-07-2023-0062","http://dx.doi.org/10.1108/JQME-07-2023-0062")</f>
        <v>http://dx.doi.org/10.1108/JQME-07-2023-0062</v>
      </c>
      <c r="BG550" t="s">
        <v>74</v>
      </c>
      <c r="BH550" t="s">
        <v>493</v>
      </c>
      <c r="BI550">
        <v>13</v>
      </c>
      <c r="BJ550" t="s">
        <v>100</v>
      </c>
      <c r="BK550" t="s">
        <v>101</v>
      </c>
      <c r="BL550" t="s">
        <v>102</v>
      </c>
      <c r="BM550" t="s">
        <v>9133</v>
      </c>
      <c r="BN550" t="s">
        <v>74</v>
      </c>
      <c r="BO550" t="s">
        <v>74</v>
      </c>
      <c r="BP550" t="s">
        <v>74</v>
      </c>
      <c r="BQ550" t="s">
        <v>74</v>
      </c>
      <c r="BR550" t="s">
        <v>104</v>
      </c>
      <c r="BS550" t="s">
        <v>9134</v>
      </c>
      <c r="BT550" t="str">
        <f>HYPERLINK("https%3A%2F%2Fwww.webofscience.com%2Fwos%2Fwoscc%2Ffull-record%2FWOS:001271193200001","View Full Record in Web of Science")</f>
        <v>View Full Record in Web of Science</v>
      </c>
    </row>
    <row r="551" spans="1:72" x14ac:dyDescent="0.25">
      <c r="A551" t="s">
        <v>72</v>
      </c>
      <c r="B551" t="s">
        <v>9135</v>
      </c>
      <c r="C551" t="s">
        <v>74</v>
      </c>
      <c r="D551" t="s">
        <v>74</v>
      </c>
      <c r="E551" t="s">
        <v>74</v>
      </c>
      <c r="F551" t="s">
        <v>9136</v>
      </c>
      <c r="G551" t="s">
        <v>74</v>
      </c>
      <c r="H551" t="s">
        <v>74</v>
      </c>
      <c r="I551" t="s">
        <v>9137</v>
      </c>
      <c r="J551" t="s">
        <v>128</v>
      </c>
      <c r="K551" t="s">
        <v>74</v>
      </c>
      <c r="L551" t="s">
        <v>74</v>
      </c>
      <c r="M551" t="s">
        <v>78</v>
      </c>
      <c r="N551" t="s">
        <v>79</v>
      </c>
      <c r="O551" t="s">
        <v>74</v>
      </c>
      <c r="P551" t="s">
        <v>74</v>
      </c>
      <c r="Q551" t="s">
        <v>74</v>
      </c>
      <c r="R551" t="s">
        <v>74</v>
      </c>
      <c r="S551" t="s">
        <v>74</v>
      </c>
      <c r="T551" t="s">
        <v>9138</v>
      </c>
      <c r="U551" t="s">
        <v>9139</v>
      </c>
      <c r="V551" t="s">
        <v>9140</v>
      </c>
      <c r="W551" t="s">
        <v>9141</v>
      </c>
      <c r="X551" t="s">
        <v>1802</v>
      </c>
      <c r="Y551" t="s">
        <v>1803</v>
      </c>
      <c r="Z551" t="s">
        <v>1804</v>
      </c>
      <c r="AA551" t="s">
        <v>74</v>
      </c>
      <c r="AB551" t="s">
        <v>74</v>
      </c>
      <c r="AC551" t="s">
        <v>5075</v>
      </c>
      <c r="AD551" t="s">
        <v>482</v>
      </c>
      <c r="AE551" t="s">
        <v>9142</v>
      </c>
      <c r="AF551" t="s">
        <v>74</v>
      </c>
      <c r="AG551">
        <v>52</v>
      </c>
      <c r="AH551">
        <v>2</v>
      </c>
      <c r="AI551">
        <v>2</v>
      </c>
      <c r="AJ551">
        <v>30</v>
      </c>
      <c r="AK551">
        <v>35</v>
      </c>
      <c r="AL551" t="s">
        <v>138</v>
      </c>
      <c r="AM551" t="s">
        <v>139</v>
      </c>
      <c r="AN551" t="s">
        <v>140</v>
      </c>
      <c r="AO551" t="s">
        <v>141</v>
      </c>
      <c r="AP551" t="s">
        <v>142</v>
      </c>
      <c r="AQ551" t="s">
        <v>74</v>
      </c>
      <c r="AR551" t="s">
        <v>143</v>
      </c>
      <c r="AS551" t="s">
        <v>144</v>
      </c>
      <c r="AT551" t="s">
        <v>1076</v>
      </c>
      <c r="AU551">
        <v>2024</v>
      </c>
      <c r="AV551">
        <v>250</v>
      </c>
      <c r="AW551" t="s">
        <v>74</v>
      </c>
      <c r="AX551" t="s">
        <v>74</v>
      </c>
      <c r="AY551" t="s">
        <v>74</v>
      </c>
      <c r="AZ551" t="s">
        <v>74</v>
      </c>
      <c r="BA551" t="s">
        <v>74</v>
      </c>
      <c r="BB551" t="s">
        <v>74</v>
      </c>
      <c r="BC551" t="s">
        <v>74</v>
      </c>
      <c r="BD551">
        <v>110272</v>
      </c>
      <c r="BE551" t="s">
        <v>9143</v>
      </c>
      <c r="BF551" t="str">
        <f>HYPERLINK("http://dx.doi.org/10.1016/j.ress.2024.110272","http://dx.doi.org/10.1016/j.ress.2024.110272")</f>
        <v>http://dx.doi.org/10.1016/j.ress.2024.110272</v>
      </c>
      <c r="BG551" t="s">
        <v>74</v>
      </c>
      <c r="BH551" t="s">
        <v>361</v>
      </c>
      <c r="BI551">
        <v>14</v>
      </c>
      <c r="BJ551" t="s">
        <v>148</v>
      </c>
      <c r="BK551" t="s">
        <v>149</v>
      </c>
      <c r="BL551" t="s">
        <v>150</v>
      </c>
      <c r="BM551" t="s">
        <v>9144</v>
      </c>
      <c r="BN551" t="s">
        <v>74</v>
      </c>
      <c r="BO551" t="s">
        <v>74</v>
      </c>
      <c r="BP551" t="s">
        <v>74</v>
      </c>
      <c r="BQ551" t="s">
        <v>74</v>
      </c>
      <c r="BR551" t="s">
        <v>104</v>
      </c>
      <c r="BS551" t="s">
        <v>9145</v>
      </c>
      <c r="BT551" t="str">
        <f>HYPERLINK("https%3A%2F%2Fwww.webofscience.com%2Fwos%2Fwoscc%2Ffull-record%2FWOS:001258605600001","View Full Record in Web of Science")</f>
        <v>View Full Record in Web of Science</v>
      </c>
    </row>
    <row r="552" spans="1:72" x14ac:dyDescent="0.25">
      <c r="A552" t="s">
        <v>72</v>
      </c>
      <c r="B552" t="s">
        <v>7158</v>
      </c>
      <c r="C552" t="s">
        <v>74</v>
      </c>
      <c r="D552" t="s">
        <v>74</v>
      </c>
      <c r="E552" t="s">
        <v>74</v>
      </c>
      <c r="F552" t="s">
        <v>9146</v>
      </c>
      <c r="G552" t="s">
        <v>74</v>
      </c>
      <c r="H552" t="s">
        <v>74</v>
      </c>
      <c r="I552" t="s">
        <v>9147</v>
      </c>
      <c r="J552" t="s">
        <v>472</v>
      </c>
      <c r="K552" t="s">
        <v>74</v>
      </c>
      <c r="L552" t="s">
        <v>74</v>
      </c>
      <c r="M552" t="s">
        <v>78</v>
      </c>
      <c r="N552" t="s">
        <v>79</v>
      </c>
      <c r="O552" t="s">
        <v>74</v>
      </c>
      <c r="P552" t="s">
        <v>74</v>
      </c>
      <c r="Q552" t="s">
        <v>74</v>
      </c>
      <c r="R552" t="s">
        <v>74</v>
      </c>
      <c r="S552" t="s">
        <v>74</v>
      </c>
      <c r="T552" t="s">
        <v>9148</v>
      </c>
      <c r="U552" t="s">
        <v>9149</v>
      </c>
      <c r="V552" t="s">
        <v>9150</v>
      </c>
      <c r="W552" t="s">
        <v>9151</v>
      </c>
      <c r="X552" t="s">
        <v>7164</v>
      </c>
      <c r="Y552" t="s">
        <v>9152</v>
      </c>
      <c r="Z552" t="s">
        <v>9153</v>
      </c>
      <c r="AA552" t="s">
        <v>74</v>
      </c>
      <c r="AB552" t="s">
        <v>74</v>
      </c>
      <c r="AC552" t="s">
        <v>9154</v>
      </c>
      <c r="AD552" t="s">
        <v>9154</v>
      </c>
      <c r="AE552" t="s">
        <v>9155</v>
      </c>
      <c r="AF552" t="s">
        <v>74</v>
      </c>
      <c r="AG552">
        <v>48</v>
      </c>
      <c r="AH552">
        <v>5</v>
      </c>
      <c r="AI552">
        <v>5</v>
      </c>
      <c r="AJ552">
        <v>1</v>
      </c>
      <c r="AK552">
        <v>23</v>
      </c>
      <c r="AL552" t="s">
        <v>484</v>
      </c>
      <c r="AM552" t="s">
        <v>485</v>
      </c>
      <c r="AN552" t="s">
        <v>486</v>
      </c>
      <c r="AO552" t="s">
        <v>487</v>
      </c>
      <c r="AP552" t="s">
        <v>488</v>
      </c>
      <c r="AQ552" t="s">
        <v>74</v>
      </c>
      <c r="AR552" t="s">
        <v>489</v>
      </c>
      <c r="AS552" t="s">
        <v>490</v>
      </c>
      <c r="AT552" t="s">
        <v>275</v>
      </c>
      <c r="AU552">
        <v>2020</v>
      </c>
      <c r="AV552">
        <v>36</v>
      </c>
      <c r="AW552">
        <v>2</v>
      </c>
      <c r="AX552" t="s">
        <v>74</v>
      </c>
      <c r="AY552" t="s">
        <v>74</v>
      </c>
      <c r="AZ552" t="s">
        <v>74</v>
      </c>
      <c r="BA552" t="s">
        <v>74</v>
      </c>
      <c r="BB552">
        <v>784</v>
      </c>
      <c r="BC552">
        <v>796</v>
      </c>
      <c r="BD552" t="s">
        <v>74</v>
      </c>
      <c r="BE552" t="s">
        <v>9156</v>
      </c>
      <c r="BF552" t="str">
        <f>HYPERLINK("http://dx.doi.org/10.1002/qre.2573","http://dx.doi.org/10.1002/qre.2573")</f>
        <v>http://dx.doi.org/10.1002/qre.2573</v>
      </c>
      <c r="BG552" t="s">
        <v>74</v>
      </c>
      <c r="BH552" t="s">
        <v>5390</v>
      </c>
      <c r="BI552">
        <v>13</v>
      </c>
      <c r="BJ552" t="s">
        <v>494</v>
      </c>
      <c r="BK552" t="s">
        <v>149</v>
      </c>
      <c r="BL552" t="s">
        <v>150</v>
      </c>
      <c r="BM552" t="s">
        <v>1705</v>
      </c>
      <c r="BN552" t="s">
        <v>74</v>
      </c>
      <c r="BO552" t="s">
        <v>74</v>
      </c>
      <c r="BP552" t="s">
        <v>74</v>
      </c>
      <c r="BQ552" t="s">
        <v>74</v>
      </c>
      <c r="BR552" t="s">
        <v>104</v>
      </c>
      <c r="BS552" t="s">
        <v>9157</v>
      </c>
      <c r="BT552" t="str">
        <f>HYPERLINK("https%3A%2F%2Fwww.webofscience.com%2Fwos%2Fwoscc%2Ffull-record%2FWOS:000498290400001","View Full Record in Web of Science")</f>
        <v>View Full Record in Web of Science</v>
      </c>
    </row>
    <row r="553" spans="1:72" x14ac:dyDescent="0.25">
      <c r="A553" t="s">
        <v>72</v>
      </c>
      <c r="B553" t="s">
        <v>9158</v>
      </c>
      <c r="C553" t="s">
        <v>74</v>
      </c>
      <c r="D553" t="s">
        <v>74</v>
      </c>
      <c r="E553" t="s">
        <v>74</v>
      </c>
      <c r="F553" t="s">
        <v>9159</v>
      </c>
      <c r="G553" t="s">
        <v>74</v>
      </c>
      <c r="H553" t="s">
        <v>74</v>
      </c>
      <c r="I553" t="s">
        <v>9160</v>
      </c>
      <c r="J553" t="s">
        <v>472</v>
      </c>
      <c r="K553" t="s">
        <v>74</v>
      </c>
      <c r="L553" t="s">
        <v>74</v>
      </c>
      <c r="M553" t="s">
        <v>78</v>
      </c>
      <c r="N553" t="s">
        <v>79</v>
      </c>
      <c r="O553" t="s">
        <v>74</v>
      </c>
      <c r="P553" t="s">
        <v>74</v>
      </c>
      <c r="Q553" t="s">
        <v>74</v>
      </c>
      <c r="R553" t="s">
        <v>74</v>
      </c>
      <c r="S553" t="s">
        <v>74</v>
      </c>
      <c r="T553" t="s">
        <v>9161</v>
      </c>
      <c r="U553" t="s">
        <v>9162</v>
      </c>
      <c r="V553" t="s">
        <v>9163</v>
      </c>
      <c r="W553" t="s">
        <v>9164</v>
      </c>
      <c r="X553" t="s">
        <v>9165</v>
      </c>
      <c r="Y553" t="s">
        <v>3423</v>
      </c>
      <c r="Z553" t="s">
        <v>3424</v>
      </c>
      <c r="AA553" t="s">
        <v>9166</v>
      </c>
      <c r="AB553" t="s">
        <v>74</v>
      </c>
      <c r="AC553" t="s">
        <v>9167</v>
      </c>
      <c r="AD553" t="s">
        <v>2774</v>
      </c>
      <c r="AE553" t="s">
        <v>9168</v>
      </c>
      <c r="AF553" t="s">
        <v>74</v>
      </c>
      <c r="AG553">
        <v>36</v>
      </c>
      <c r="AH553">
        <v>12</v>
      </c>
      <c r="AI553">
        <v>12</v>
      </c>
      <c r="AJ553">
        <v>5</v>
      </c>
      <c r="AK553">
        <v>24</v>
      </c>
      <c r="AL553" t="s">
        <v>484</v>
      </c>
      <c r="AM553" t="s">
        <v>485</v>
      </c>
      <c r="AN553" t="s">
        <v>486</v>
      </c>
      <c r="AO553" t="s">
        <v>487</v>
      </c>
      <c r="AP553" t="s">
        <v>488</v>
      </c>
      <c r="AQ553" t="s">
        <v>74</v>
      </c>
      <c r="AR553" t="s">
        <v>489</v>
      </c>
      <c r="AS553" t="s">
        <v>490</v>
      </c>
      <c r="AT553" t="s">
        <v>1076</v>
      </c>
      <c r="AU553">
        <v>2022</v>
      </c>
      <c r="AV553">
        <v>38</v>
      </c>
      <c r="AW553">
        <v>6</v>
      </c>
      <c r="AX553" t="s">
        <v>74</v>
      </c>
      <c r="AY553" t="s">
        <v>74</v>
      </c>
      <c r="AZ553" t="s">
        <v>74</v>
      </c>
      <c r="BA553" t="s">
        <v>74</v>
      </c>
      <c r="BB553">
        <v>2908</v>
      </c>
      <c r="BC553">
        <v>2920</v>
      </c>
      <c r="BD553" t="s">
        <v>74</v>
      </c>
      <c r="BE553" t="s">
        <v>9169</v>
      </c>
      <c r="BF553" t="str">
        <f>HYPERLINK("http://dx.doi.org/10.1002/qre.2867","http://dx.doi.org/10.1002/qre.2867")</f>
        <v>http://dx.doi.org/10.1002/qre.2867</v>
      </c>
      <c r="BG553" t="s">
        <v>74</v>
      </c>
      <c r="BH553" t="s">
        <v>714</v>
      </c>
      <c r="BI553">
        <v>13</v>
      </c>
      <c r="BJ553" t="s">
        <v>494</v>
      </c>
      <c r="BK553" t="s">
        <v>149</v>
      </c>
      <c r="BL553" t="s">
        <v>150</v>
      </c>
      <c r="BM553" t="s">
        <v>9170</v>
      </c>
      <c r="BN553" t="s">
        <v>74</v>
      </c>
      <c r="BO553" t="s">
        <v>74</v>
      </c>
      <c r="BP553" t="s">
        <v>74</v>
      </c>
      <c r="BQ553" t="s">
        <v>74</v>
      </c>
      <c r="BR553" t="s">
        <v>104</v>
      </c>
      <c r="BS553" t="s">
        <v>9171</v>
      </c>
      <c r="BT553" t="str">
        <f>HYPERLINK("https%3A%2F%2Fwww.webofscience.com%2Fwos%2Fwoscc%2Ffull-record%2FWOS:000643930100001","View Full Record in Web of Science")</f>
        <v>View Full Record in Web of Science</v>
      </c>
    </row>
    <row r="554" spans="1:72" x14ac:dyDescent="0.25">
      <c r="A554" t="s">
        <v>72</v>
      </c>
      <c r="B554" t="s">
        <v>9172</v>
      </c>
      <c r="C554" t="s">
        <v>74</v>
      </c>
      <c r="D554" t="s">
        <v>74</v>
      </c>
      <c r="E554" t="s">
        <v>74</v>
      </c>
      <c r="F554" t="s">
        <v>9173</v>
      </c>
      <c r="G554" t="s">
        <v>74</v>
      </c>
      <c r="H554" t="s">
        <v>74</v>
      </c>
      <c r="I554" t="s">
        <v>9174</v>
      </c>
      <c r="J554" t="s">
        <v>77</v>
      </c>
      <c r="K554" t="s">
        <v>74</v>
      </c>
      <c r="L554" t="s">
        <v>74</v>
      </c>
      <c r="M554" t="s">
        <v>78</v>
      </c>
      <c r="N554" t="s">
        <v>79</v>
      </c>
      <c r="O554" t="s">
        <v>74</v>
      </c>
      <c r="P554" t="s">
        <v>74</v>
      </c>
      <c r="Q554" t="s">
        <v>74</v>
      </c>
      <c r="R554" t="s">
        <v>74</v>
      </c>
      <c r="S554" t="s">
        <v>74</v>
      </c>
      <c r="T554" t="s">
        <v>9175</v>
      </c>
      <c r="U554" t="s">
        <v>6790</v>
      </c>
      <c r="V554" t="s">
        <v>9176</v>
      </c>
      <c r="W554" t="s">
        <v>9177</v>
      </c>
      <c r="X554" t="s">
        <v>9178</v>
      </c>
      <c r="Y554" t="s">
        <v>9179</v>
      </c>
      <c r="Z554" t="s">
        <v>9180</v>
      </c>
      <c r="AA554" t="s">
        <v>74</v>
      </c>
      <c r="AB554" t="s">
        <v>9181</v>
      </c>
      <c r="AC554" t="s">
        <v>74</v>
      </c>
      <c r="AD554" t="s">
        <v>74</v>
      </c>
      <c r="AE554" t="s">
        <v>74</v>
      </c>
      <c r="AF554" t="s">
        <v>74</v>
      </c>
      <c r="AG554">
        <v>29</v>
      </c>
      <c r="AH554">
        <v>0</v>
      </c>
      <c r="AI554">
        <v>0</v>
      </c>
      <c r="AJ554">
        <v>1</v>
      </c>
      <c r="AK554">
        <v>1</v>
      </c>
      <c r="AL554" t="s">
        <v>90</v>
      </c>
      <c r="AM554" t="s">
        <v>118</v>
      </c>
      <c r="AN554" t="s">
        <v>119</v>
      </c>
      <c r="AO554" t="s">
        <v>93</v>
      </c>
      <c r="AP554" t="s">
        <v>94</v>
      </c>
      <c r="AQ554" t="s">
        <v>74</v>
      </c>
      <c r="AR554" t="s">
        <v>95</v>
      </c>
      <c r="AS554" t="s">
        <v>96</v>
      </c>
      <c r="AT554" t="s">
        <v>9182</v>
      </c>
      <c r="AU554">
        <v>2021</v>
      </c>
      <c r="AV554">
        <v>27</v>
      </c>
      <c r="AW554">
        <v>3</v>
      </c>
      <c r="AX554" t="s">
        <v>74</v>
      </c>
      <c r="AY554" t="s">
        <v>74</v>
      </c>
      <c r="AZ554" t="s">
        <v>74</v>
      </c>
      <c r="BA554" t="s">
        <v>74</v>
      </c>
      <c r="BB554">
        <v>537</v>
      </c>
      <c r="BC554">
        <v>549</v>
      </c>
      <c r="BD554" t="s">
        <v>74</v>
      </c>
      <c r="BE554" t="s">
        <v>9183</v>
      </c>
      <c r="BF554" t="str">
        <f>HYPERLINK("http://dx.doi.org/10.1108/JQME-05-2020-0037","http://dx.doi.org/10.1108/JQME-05-2020-0037")</f>
        <v>http://dx.doi.org/10.1108/JQME-05-2020-0037</v>
      </c>
      <c r="BG554" t="s">
        <v>74</v>
      </c>
      <c r="BH554" t="s">
        <v>1771</v>
      </c>
      <c r="BI554">
        <v>13</v>
      </c>
      <c r="BJ554" t="s">
        <v>100</v>
      </c>
      <c r="BK554" t="s">
        <v>101</v>
      </c>
      <c r="BL554" t="s">
        <v>102</v>
      </c>
      <c r="BM554" t="s">
        <v>9184</v>
      </c>
      <c r="BN554" t="s">
        <v>74</v>
      </c>
      <c r="BO554" t="s">
        <v>152</v>
      </c>
      <c r="BP554" t="s">
        <v>74</v>
      </c>
      <c r="BQ554" t="s">
        <v>74</v>
      </c>
      <c r="BR554" t="s">
        <v>104</v>
      </c>
      <c r="BS554" t="s">
        <v>9185</v>
      </c>
      <c r="BT554" t="str">
        <f>HYPERLINK("https%3A%2F%2Fwww.webofscience.com%2Fwos%2Fwoscc%2Ffull-record%2FWOS:000658317800001","View Full Record in Web of Science")</f>
        <v>View Full Record in Web of Science</v>
      </c>
    </row>
    <row r="555" spans="1:72" x14ac:dyDescent="0.25">
      <c r="A555" t="s">
        <v>72</v>
      </c>
      <c r="B555" t="s">
        <v>9186</v>
      </c>
      <c r="C555" t="s">
        <v>74</v>
      </c>
      <c r="D555" t="s">
        <v>74</v>
      </c>
      <c r="E555" t="s">
        <v>74</v>
      </c>
      <c r="F555" t="s">
        <v>9187</v>
      </c>
      <c r="G555" t="s">
        <v>74</v>
      </c>
      <c r="H555" t="s">
        <v>74</v>
      </c>
      <c r="I555" t="s">
        <v>9188</v>
      </c>
      <c r="J555" t="s">
        <v>697</v>
      </c>
      <c r="K555" t="s">
        <v>74</v>
      </c>
      <c r="L555" t="s">
        <v>74</v>
      </c>
      <c r="M555" t="s">
        <v>78</v>
      </c>
      <c r="N555" t="s">
        <v>79</v>
      </c>
      <c r="O555" t="s">
        <v>74</v>
      </c>
      <c r="P555" t="s">
        <v>74</v>
      </c>
      <c r="Q555" t="s">
        <v>74</v>
      </c>
      <c r="R555" t="s">
        <v>74</v>
      </c>
      <c r="S555" t="s">
        <v>74</v>
      </c>
      <c r="T555" t="s">
        <v>9189</v>
      </c>
      <c r="U555" t="s">
        <v>9190</v>
      </c>
      <c r="V555" t="s">
        <v>9191</v>
      </c>
      <c r="W555" t="s">
        <v>9192</v>
      </c>
      <c r="X555" t="s">
        <v>9193</v>
      </c>
      <c r="Y555" t="s">
        <v>9194</v>
      </c>
      <c r="Z555" t="s">
        <v>9195</v>
      </c>
      <c r="AA555" t="s">
        <v>9196</v>
      </c>
      <c r="AB555" t="s">
        <v>9197</v>
      </c>
      <c r="AC555" t="s">
        <v>9198</v>
      </c>
      <c r="AD555" t="s">
        <v>9199</v>
      </c>
      <c r="AE555" t="s">
        <v>9200</v>
      </c>
      <c r="AF555" t="s">
        <v>74</v>
      </c>
      <c r="AG555">
        <v>34</v>
      </c>
      <c r="AH555">
        <v>8</v>
      </c>
      <c r="AI555">
        <v>8</v>
      </c>
      <c r="AJ555">
        <v>2</v>
      </c>
      <c r="AK555">
        <v>16</v>
      </c>
      <c r="AL555" t="s">
        <v>707</v>
      </c>
      <c r="AM555" t="s">
        <v>246</v>
      </c>
      <c r="AN555" t="s">
        <v>708</v>
      </c>
      <c r="AO555" t="s">
        <v>709</v>
      </c>
      <c r="AP555" t="s">
        <v>710</v>
      </c>
      <c r="AQ555" t="s">
        <v>74</v>
      </c>
      <c r="AR555" t="s">
        <v>711</v>
      </c>
      <c r="AS555" t="s">
        <v>712</v>
      </c>
      <c r="AT555" t="s">
        <v>248</v>
      </c>
      <c r="AU555">
        <v>2022</v>
      </c>
      <c r="AV555">
        <v>169</v>
      </c>
      <c r="AW555" t="s">
        <v>74</v>
      </c>
      <c r="AX555" t="s">
        <v>74</v>
      </c>
      <c r="AY555" t="s">
        <v>74</v>
      </c>
      <c r="AZ555" t="s">
        <v>74</v>
      </c>
      <c r="BA555" t="s">
        <v>74</v>
      </c>
      <c r="BB555" t="s">
        <v>74</v>
      </c>
      <c r="BC555" t="s">
        <v>74</v>
      </c>
      <c r="BD555">
        <v>108172</v>
      </c>
      <c r="BE555" t="s">
        <v>9201</v>
      </c>
      <c r="BF555" t="str">
        <f>HYPERLINK("http://dx.doi.org/10.1016/j.cie.2022.108172","http://dx.doi.org/10.1016/j.cie.2022.108172")</f>
        <v>http://dx.doi.org/10.1016/j.cie.2022.108172</v>
      </c>
      <c r="BG555" t="s">
        <v>74</v>
      </c>
      <c r="BH555" t="s">
        <v>250</v>
      </c>
      <c r="BI555">
        <v>11</v>
      </c>
      <c r="BJ555" t="s">
        <v>715</v>
      </c>
      <c r="BK555" t="s">
        <v>149</v>
      </c>
      <c r="BL555" t="s">
        <v>716</v>
      </c>
      <c r="BM555" t="s">
        <v>2940</v>
      </c>
      <c r="BN555" t="s">
        <v>74</v>
      </c>
      <c r="BO555" t="s">
        <v>74</v>
      </c>
      <c r="BP555" t="s">
        <v>74</v>
      </c>
      <c r="BQ555" t="s">
        <v>74</v>
      </c>
      <c r="BR555" t="s">
        <v>104</v>
      </c>
      <c r="BS555" t="s">
        <v>9202</v>
      </c>
      <c r="BT555" t="str">
        <f>HYPERLINK("https%3A%2F%2Fwww.webofscience.com%2Fwos%2Fwoscc%2Ffull-record%2FWOS:000804773500010","View Full Record in Web of Science")</f>
        <v>View Full Record in Web of Science</v>
      </c>
    </row>
    <row r="556" spans="1:72" x14ac:dyDescent="0.25">
      <c r="A556" t="s">
        <v>72</v>
      </c>
      <c r="B556" t="s">
        <v>9203</v>
      </c>
      <c r="C556" t="s">
        <v>74</v>
      </c>
      <c r="D556" t="s">
        <v>74</v>
      </c>
      <c r="E556" t="s">
        <v>74</v>
      </c>
      <c r="F556" t="s">
        <v>9204</v>
      </c>
      <c r="G556" t="s">
        <v>74</v>
      </c>
      <c r="H556" t="s">
        <v>74</v>
      </c>
      <c r="I556" t="s">
        <v>9205</v>
      </c>
      <c r="J556" t="s">
        <v>128</v>
      </c>
      <c r="K556" t="s">
        <v>74</v>
      </c>
      <c r="L556" t="s">
        <v>74</v>
      </c>
      <c r="M556" t="s">
        <v>78</v>
      </c>
      <c r="N556" t="s">
        <v>79</v>
      </c>
      <c r="O556" t="s">
        <v>74</v>
      </c>
      <c r="P556" t="s">
        <v>74</v>
      </c>
      <c r="Q556" t="s">
        <v>74</v>
      </c>
      <c r="R556" t="s">
        <v>74</v>
      </c>
      <c r="S556" t="s">
        <v>74</v>
      </c>
      <c r="T556" t="s">
        <v>9206</v>
      </c>
      <c r="U556" t="s">
        <v>9207</v>
      </c>
      <c r="V556" t="s">
        <v>9208</v>
      </c>
      <c r="W556" t="s">
        <v>9209</v>
      </c>
      <c r="X556" t="s">
        <v>9210</v>
      </c>
      <c r="Y556" t="s">
        <v>9211</v>
      </c>
      <c r="Z556" t="s">
        <v>9212</v>
      </c>
      <c r="AA556" t="s">
        <v>9213</v>
      </c>
      <c r="AB556" t="s">
        <v>9214</v>
      </c>
      <c r="AC556" t="s">
        <v>9215</v>
      </c>
      <c r="AD556" t="s">
        <v>9216</v>
      </c>
      <c r="AE556" t="s">
        <v>9217</v>
      </c>
      <c r="AF556" t="s">
        <v>74</v>
      </c>
      <c r="AG556">
        <v>67</v>
      </c>
      <c r="AH556">
        <v>17</v>
      </c>
      <c r="AI556">
        <v>18</v>
      </c>
      <c r="AJ556">
        <v>3</v>
      </c>
      <c r="AK556">
        <v>34</v>
      </c>
      <c r="AL556" t="s">
        <v>138</v>
      </c>
      <c r="AM556" t="s">
        <v>139</v>
      </c>
      <c r="AN556" t="s">
        <v>140</v>
      </c>
      <c r="AO556" t="s">
        <v>141</v>
      </c>
      <c r="AP556" t="s">
        <v>142</v>
      </c>
      <c r="AQ556" t="s">
        <v>74</v>
      </c>
      <c r="AR556" t="s">
        <v>143</v>
      </c>
      <c r="AS556" t="s">
        <v>144</v>
      </c>
      <c r="AT556" t="s">
        <v>275</v>
      </c>
      <c r="AU556">
        <v>2023</v>
      </c>
      <c r="AV556">
        <v>231</v>
      </c>
      <c r="AW556" t="s">
        <v>74</v>
      </c>
      <c r="AX556" t="s">
        <v>74</v>
      </c>
      <c r="AY556" t="s">
        <v>74</v>
      </c>
      <c r="AZ556" t="s">
        <v>74</v>
      </c>
      <c r="BA556" t="s">
        <v>74</v>
      </c>
      <c r="BB556" t="s">
        <v>74</v>
      </c>
      <c r="BC556" t="s">
        <v>74</v>
      </c>
      <c r="BD556">
        <v>108992</v>
      </c>
      <c r="BE556" t="s">
        <v>9218</v>
      </c>
      <c r="BF556" t="str">
        <f>HYPERLINK("http://dx.doi.org/10.1016/j.ress.2022.108992","http://dx.doi.org/10.1016/j.ress.2022.108992")</f>
        <v>http://dx.doi.org/10.1016/j.ress.2022.108992</v>
      </c>
      <c r="BG556" t="s">
        <v>74</v>
      </c>
      <c r="BH556" t="s">
        <v>3031</v>
      </c>
      <c r="BI556">
        <v>15</v>
      </c>
      <c r="BJ556" t="s">
        <v>148</v>
      </c>
      <c r="BK556" t="s">
        <v>149</v>
      </c>
      <c r="BL556" t="s">
        <v>150</v>
      </c>
      <c r="BM556" t="s">
        <v>9219</v>
      </c>
      <c r="BN556" t="s">
        <v>74</v>
      </c>
      <c r="BO556" t="s">
        <v>74</v>
      </c>
      <c r="BP556" t="s">
        <v>74</v>
      </c>
      <c r="BQ556" t="s">
        <v>74</v>
      </c>
      <c r="BR556" t="s">
        <v>104</v>
      </c>
      <c r="BS556" t="s">
        <v>9220</v>
      </c>
      <c r="BT556" t="str">
        <f>HYPERLINK("https%3A%2F%2Fwww.webofscience.com%2Fwos%2Fwoscc%2Ffull-record%2FWOS:000896960400007","View Full Record in Web of Science")</f>
        <v>View Full Record in Web of Science</v>
      </c>
    </row>
    <row r="557" spans="1:72" x14ac:dyDescent="0.25">
      <c r="A557" t="s">
        <v>72</v>
      </c>
      <c r="B557" t="s">
        <v>9221</v>
      </c>
      <c r="C557" t="s">
        <v>74</v>
      </c>
      <c r="D557" t="s">
        <v>74</v>
      </c>
      <c r="E557" t="s">
        <v>74</v>
      </c>
      <c r="F557" t="s">
        <v>9222</v>
      </c>
      <c r="G557" t="s">
        <v>74</v>
      </c>
      <c r="H557" t="s">
        <v>74</v>
      </c>
      <c r="I557" t="s">
        <v>9223</v>
      </c>
      <c r="J557" t="s">
        <v>128</v>
      </c>
      <c r="K557" t="s">
        <v>74</v>
      </c>
      <c r="L557" t="s">
        <v>74</v>
      </c>
      <c r="M557" t="s">
        <v>78</v>
      </c>
      <c r="N557" t="s">
        <v>79</v>
      </c>
      <c r="O557" t="s">
        <v>74</v>
      </c>
      <c r="P557" t="s">
        <v>74</v>
      </c>
      <c r="Q557" t="s">
        <v>74</v>
      </c>
      <c r="R557" t="s">
        <v>74</v>
      </c>
      <c r="S557" t="s">
        <v>74</v>
      </c>
      <c r="T557" t="s">
        <v>74</v>
      </c>
      <c r="U557" t="s">
        <v>9224</v>
      </c>
      <c r="V557" t="s">
        <v>9225</v>
      </c>
      <c r="W557" t="s">
        <v>9226</v>
      </c>
      <c r="X557" t="s">
        <v>9227</v>
      </c>
      <c r="Y557" t="s">
        <v>9228</v>
      </c>
      <c r="Z557" t="s">
        <v>9229</v>
      </c>
      <c r="AA557" t="s">
        <v>5447</v>
      </c>
      <c r="AB557" t="s">
        <v>5448</v>
      </c>
      <c r="AC557" t="s">
        <v>9230</v>
      </c>
      <c r="AD557" t="s">
        <v>9231</v>
      </c>
      <c r="AE557" t="s">
        <v>9232</v>
      </c>
      <c r="AF557" t="s">
        <v>74</v>
      </c>
      <c r="AG557">
        <v>32</v>
      </c>
      <c r="AH557">
        <v>6</v>
      </c>
      <c r="AI557">
        <v>6</v>
      </c>
      <c r="AJ557">
        <v>4</v>
      </c>
      <c r="AK557">
        <v>16</v>
      </c>
      <c r="AL557" t="s">
        <v>138</v>
      </c>
      <c r="AM557" t="s">
        <v>139</v>
      </c>
      <c r="AN557" t="s">
        <v>140</v>
      </c>
      <c r="AO557" t="s">
        <v>141</v>
      </c>
      <c r="AP557" t="s">
        <v>142</v>
      </c>
      <c r="AQ557" t="s">
        <v>74</v>
      </c>
      <c r="AR557" t="s">
        <v>143</v>
      </c>
      <c r="AS557" t="s">
        <v>144</v>
      </c>
      <c r="AT557" t="s">
        <v>1202</v>
      </c>
      <c r="AU557">
        <v>2023</v>
      </c>
      <c r="AV557">
        <v>233</v>
      </c>
      <c r="AW557" t="s">
        <v>74</v>
      </c>
      <c r="AX557" t="s">
        <v>74</v>
      </c>
      <c r="AY557" t="s">
        <v>74</v>
      </c>
      <c r="AZ557" t="s">
        <v>74</v>
      </c>
      <c r="BA557" t="s">
        <v>74</v>
      </c>
      <c r="BB557" t="s">
        <v>74</v>
      </c>
      <c r="BC557" t="s">
        <v>74</v>
      </c>
      <c r="BD557">
        <v>109121</v>
      </c>
      <c r="BE557" t="s">
        <v>9233</v>
      </c>
      <c r="BF557" t="str">
        <f>HYPERLINK("http://dx.doi.org/10.1016/j.ress.2023.109121","http://dx.doi.org/10.1016/j.ress.2023.109121")</f>
        <v>http://dx.doi.org/10.1016/j.ress.2023.109121</v>
      </c>
      <c r="BG557" t="s">
        <v>74</v>
      </c>
      <c r="BH557" t="s">
        <v>2022</v>
      </c>
      <c r="BI557">
        <v>9</v>
      </c>
      <c r="BJ557" t="s">
        <v>148</v>
      </c>
      <c r="BK557" t="s">
        <v>149</v>
      </c>
      <c r="BL557" t="s">
        <v>150</v>
      </c>
      <c r="BM557" t="s">
        <v>9234</v>
      </c>
      <c r="BN557" t="s">
        <v>74</v>
      </c>
      <c r="BO557" t="s">
        <v>641</v>
      </c>
      <c r="BP557" t="s">
        <v>74</v>
      </c>
      <c r="BQ557" t="s">
        <v>74</v>
      </c>
      <c r="BR557" t="s">
        <v>104</v>
      </c>
      <c r="BS557" t="s">
        <v>9235</v>
      </c>
      <c r="BT557" t="str">
        <f>HYPERLINK("https%3A%2F%2Fwww.webofscience.com%2Fwos%2Fwoscc%2Ffull-record%2FWOS:000927484100001","View Full Record in Web of Science")</f>
        <v>View Full Record in Web of Science</v>
      </c>
    </row>
    <row r="558" spans="1:72" x14ac:dyDescent="0.25">
      <c r="A558" t="s">
        <v>72</v>
      </c>
      <c r="B558" t="s">
        <v>9236</v>
      </c>
      <c r="C558" t="s">
        <v>74</v>
      </c>
      <c r="D558" t="s">
        <v>74</v>
      </c>
      <c r="E558" t="s">
        <v>74</v>
      </c>
      <c r="F558" t="s">
        <v>9237</v>
      </c>
      <c r="G558" t="s">
        <v>74</v>
      </c>
      <c r="H558" t="s">
        <v>74</v>
      </c>
      <c r="I558" t="s">
        <v>9238</v>
      </c>
      <c r="J558" t="s">
        <v>1402</v>
      </c>
      <c r="K558" t="s">
        <v>74</v>
      </c>
      <c r="L558" t="s">
        <v>74</v>
      </c>
      <c r="M558" t="s">
        <v>78</v>
      </c>
      <c r="N558" t="s">
        <v>79</v>
      </c>
      <c r="O558" t="s">
        <v>74</v>
      </c>
      <c r="P558" t="s">
        <v>74</v>
      </c>
      <c r="Q558" t="s">
        <v>74</v>
      </c>
      <c r="R558" t="s">
        <v>74</v>
      </c>
      <c r="S558" t="s">
        <v>74</v>
      </c>
      <c r="T558" t="s">
        <v>9239</v>
      </c>
      <c r="U558" t="s">
        <v>9240</v>
      </c>
      <c r="V558" t="s">
        <v>9241</v>
      </c>
      <c r="W558" t="s">
        <v>9242</v>
      </c>
      <c r="X558" t="s">
        <v>9243</v>
      </c>
      <c r="Y558" t="s">
        <v>9244</v>
      </c>
      <c r="Z558" t="s">
        <v>9245</v>
      </c>
      <c r="AA558" t="s">
        <v>9246</v>
      </c>
      <c r="AB558" t="s">
        <v>9247</v>
      </c>
      <c r="AC558" t="s">
        <v>9248</v>
      </c>
      <c r="AD558" t="s">
        <v>9249</v>
      </c>
      <c r="AE558" t="s">
        <v>9250</v>
      </c>
      <c r="AF558" t="s">
        <v>74</v>
      </c>
      <c r="AG558">
        <v>32</v>
      </c>
      <c r="AH558">
        <v>6</v>
      </c>
      <c r="AI558">
        <v>6</v>
      </c>
      <c r="AJ558">
        <v>1</v>
      </c>
      <c r="AK558">
        <v>9</v>
      </c>
      <c r="AL558" t="s">
        <v>1415</v>
      </c>
      <c r="AM558" t="s">
        <v>1416</v>
      </c>
      <c r="AN558" t="s">
        <v>1417</v>
      </c>
      <c r="AO558" t="s">
        <v>1418</v>
      </c>
      <c r="AP558" t="s">
        <v>1419</v>
      </c>
      <c r="AQ558" t="s">
        <v>74</v>
      </c>
      <c r="AR558" t="s">
        <v>1420</v>
      </c>
      <c r="AS558" t="s">
        <v>1421</v>
      </c>
      <c r="AT558" t="s">
        <v>1649</v>
      </c>
      <c r="AU558">
        <v>2021</v>
      </c>
      <c r="AV558">
        <v>53</v>
      </c>
      <c r="AW558">
        <v>1</v>
      </c>
      <c r="AX558" t="s">
        <v>74</v>
      </c>
      <c r="AY558" t="s">
        <v>74</v>
      </c>
      <c r="AZ558" t="s">
        <v>74</v>
      </c>
      <c r="BA558" t="s">
        <v>74</v>
      </c>
      <c r="BB558">
        <v>74</v>
      </c>
      <c r="BC558">
        <v>87</v>
      </c>
      <c r="BD558" t="s">
        <v>74</v>
      </c>
      <c r="BE558" t="s">
        <v>9251</v>
      </c>
      <c r="BF558" t="str">
        <f>HYPERLINK("http://dx.doi.org/10.1080/24725854.2020.1739786","http://dx.doi.org/10.1080/24725854.2020.1739786")</f>
        <v>http://dx.doi.org/10.1080/24725854.2020.1739786</v>
      </c>
      <c r="BG558" t="s">
        <v>74</v>
      </c>
      <c r="BH558" t="s">
        <v>597</v>
      </c>
      <c r="BI558">
        <v>14</v>
      </c>
      <c r="BJ558" t="s">
        <v>148</v>
      </c>
      <c r="BK558" t="s">
        <v>149</v>
      </c>
      <c r="BL558" t="s">
        <v>150</v>
      </c>
      <c r="BM558" t="s">
        <v>9252</v>
      </c>
      <c r="BN558" t="s">
        <v>74</v>
      </c>
      <c r="BO558" t="s">
        <v>641</v>
      </c>
      <c r="BP558" t="s">
        <v>74</v>
      </c>
      <c r="BQ558" t="s">
        <v>74</v>
      </c>
      <c r="BR558" t="s">
        <v>104</v>
      </c>
      <c r="BS558" t="s">
        <v>9253</v>
      </c>
      <c r="BT558" t="str">
        <f>HYPERLINK("https%3A%2F%2Fwww.webofscience.com%2Fwos%2Fwoscc%2Ffull-record%2FWOS:000529514900001","View Full Record in Web of Science")</f>
        <v>View Full Record in Web of Science</v>
      </c>
    </row>
    <row r="559" spans="1:72" x14ac:dyDescent="0.25">
      <c r="A559" t="s">
        <v>72</v>
      </c>
      <c r="B559" t="s">
        <v>9254</v>
      </c>
      <c r="C559" t="s">
        <v>74</v>
      </c>
      <c r="D559" t="s">
        <v>74</v>
      </c>
      <c r="E559" t="s">
        <v>74</v>
      </c>
      <c r="F559" t="s">
        <v>9255</v>
      </c>
      <c r="G559" t="s">
        <v>74</v>
      </c>
      <c r="H559" t="s">
        <v>74</v>
      </c>
      <c r="I559" t="s">
        <v>9256</v>
      </c>
      <c r="J559" t="s">
        <v>2782</v>
      </c>
      <c r="K559" t="s">
        <v>74</v>
      </c>
      <c r="L559" t="s">
        <v>74</v>
      </c>
      <c r="M559" t="s">
        <v>78</v>
      </c>
      <c r="N559" t="s">
        <v>79</v>
      </c>
      <c r="O559" t="s">
        <v>74</v>
      </c>
      <c r="P559" t="s">
        <v>74</v>
      </c>
      <c r="Q559" t="s">
        <v>74</v>
      </c>
      <c r="R559" t="s">
        <v>74</v>
      </c>
      <c r="S559" t="s">
        <v>74</v>
      </c>
      <c r="T559" t="s">
        <v>9257</v>
      </c>
      <c r="U559" t="s">
        <v>9258</v>
      </c>
      <c r="V559" t="s">
        <v>9259</v>
      </c>
      <c r="W559" t="s">
        <v>9260</v>
      </c>
      <c r="X559" t="s">
        <v>9261</v>
      </c>
      <c r="Y559" t="s">
        <v>9262</v>
      </c>
      <c r="Z559" t="s">
        <v>9263</v>
      </c>
      <c r="AA559" t="s">
        <v>9264</v>
      </c>
      <c r="AB559" t="s">
        <v>9265</v>
      </c>
      <c r="AC559" t="s">
        <v>74</v>
      </c>
      <c r="AD559" t="s">
        <v>74</v>
      </c>
      <c r="AE559" t="s">
        <v>74</v>
      </c>
      <c r="AF559" t="s">
        <v>74</v>
      </c>
      <c r="AG559">
        <v>63</v>
      </c>
      <c r="AH559">
        <v>5</v>
      </c>
      <c r="AI559">
        <v>5</v>
      </c>
      <c r="AJ559">
        <v>2</v>
      </c>
      <c r="AK559">
        <v>59</v>
      </c>
      <c r="AL559" t="s">
        <v>311</v>
      </c>
      <c r="AM559" t="s">
        <v>312</v>
      </c>
      <c r="AN559" t="s">
        <v>313</v>
      </c>
      <c r="AO559" t="s">
        <v>2792</v>
      </c>
      <c r="AP559" t="s">
        <v>2793</v>
      </c>
      <c r="AQ559" t="s">
        <v>74</v>
      </c>
      <c r="AR559" t="s">
        <v>2794</v>
      </c>
      <c r="AS559" t="s">
        <v>2795</v>
      </c>
      <c r="AT559" t="s">
        <v>7267</v>
      </c>
      <c r="AU559">
        <v>2022</v>
      </c>
      <c r="AV559">
        <v>36</v>
      </c>
      <c r="AW559">
        <v>5</v>
      </c>
      <c r="AX559" t="s">
        <v>74</v>
      </c>
      <c r="AY559" t="s">
        <v>74</v>
      </c>
      <c r="AZ559" t="s">
        <v>74</v>
      </c>
      <c r="BA559" t="s">
        <v>74</v>
      </c>
      <c r="BB559">
        <v>323</v>
      </c>
      <c r="BC559">
        <v>355</v>
      </c>
      <c r="BD559" t="s">
        <v>74</v>
      </c>
      <c r="BE559" t="s">
        <v>9266</v>
      </c>
      <c r="BF559" t="str">
        <f>HYPERLINK("http://dx.doi.org/10.1080/17480930.2022.2044138","http://dx.doi.org/10.1080/17480930.2022.2044138")</f>
        <v>http://dx.doi.org/10.1080/17480930.2022.2044138</v>
      </c>
      <c r="BG559" t="s">
        <v>74</v>
      </c>
      <c r="BH559" t="s">
        <v>813</v>
      </c>
      <c r="BI559">
        <v>33</v>
      </c>
      <c r="BJ559" t="s">
        <v>2798</v>
      </c>
      <c r="BK559" t="s">
        <v>322</v>
      </c>
      <c r="BL559" t="s">
        <v>2799</v>
      </c>
      <c r="BM559" t="s">
        <v>9267</v>
      </c>
      <c r="BN559" t="s">
        <v>74</v>
      </c>
      <c r="BO559" t="s">
        <v>74</v>
      </c>
      <c r="BP559" t="s">
        <v>74</v>
      </c>
      <c r="BQ559" t="s">
        <v>74</v>
      </c>
      <c r="BR559" t="s">
        <v>104</v>
      </c>
      <c r="BS559" t="s">
        <v>9268</v>
      </c>
      <c r="BT559" t="str">
        <f>HYPERLINK("https%3A%2F%2Fwww.webofscience.com%2Fwos%2Fwoscc%2Ffull-record%2FWOS:000765225300001","View Full Record in Web of Science")</f>
        <v>View Full Record in Web of Science</v>
      </c>
    </row>
    <row r="560" spans="1:72" x14ac:dyDescent="0.25">
      <c r="A560" t="s">
        <v>72</v>
      </c>
      <c r="B560" t="s">
        <v>9269</v>
      </c>
      <c r="C560" t="s">
        <v>74</v>
      </c>
      <c r="D560" t="s">
        <v>74</v>
      </c>
      <c r="E560" t="s">
        <v>74</v>
      </c>
      <c r="F560" t="s">
        <v>9270</v>
      </c>
      <c r="G560" t="s">
        <v>74</v>
      </c>
      <c r="H560" t="s">
        <v>74</v>
      </c>
      <c r="I560" t="s">
        <v>9271</v>
      </c>
      <c r="J560" t="s">
        <v>128</v>
      </c>
      <c r="K560" t="s">
        <v>74</v>
      </c>
      <c r="L560" t="s">
        <v>74</v>
      </c>
      <c r="M560" t="s">
        <v>78</v>
      </c>
      <c r="N560" t="s">
        <v>79</v>
      </c>
      <c r="O560" t="s">
        <v>74</v>
      </c>
      <c r="P560" t="s">
        <v>74</v>
      </c>
      <c r="Q560" t="s">
        <v>74</v>
      </c>
      <c r="R560" t="s">
        <v>74</v>
      </c>
      <c r="S560" t="s">
        <v>74</v>
      </c>
      <c r="T560" t="s">
        <v>9272</v>
      </c>
      <c r="U560" t="s">
        <v>9273</v>
      </c>
      <c r="V560" t="s">
        <v>9274</v>
      </c>
      <c r="W560" t="s">
        <v>9275</v>
      </c>
      <c r="X560" t="s">
        <v>3361</v>
      </c>
      <c r="Y560" t="s">
        <v>5942</v>
      </c>
      <c r="Z560" t="s">
        <v>2316</v>
      </c>
      <c r="AA560" t="s">
        <v>3960</v>
      </c>
      <c r="AB560" t="s">
        <v>1299</v>
      </c>
      <c r="AC560" t="s">
        <v>9276</v>
      </c>
      <c r="AD560" t="s">
        <v>9277</v>
      </c>
      <c r="AE560" t="s">
        <v>9278</v>
      </c>
      <c r="AF560" t="s">
        <v>74</v>
      </c>
      <c r="AG560">
        <v>63</v>
      </c>
      <c r="AH560">
        <v>26</v>
      </c>
      <c r="AI560">
        <v>26</v>
      </c>
      <c r="AJ560">
        <v>11</v>
      </c>
      <c r="AK560">
        <v>36</v>
      </c>
      <c r="AL560" t="s">
        <v>138</v>
      </c>
      <c r="AM560" t="s">
        <v>139</v>
      </c>
      <c r="AN560" t="s">
        <v>140</v>
      </c>
      <c r="AO560" t="s">
        <v>141</v>
      </c>
      <c r="AP560" t="s">
        <v>142</v>
      </c>
      <c r="AQ560" t="s">
        <v>74</v>
      </c>
      <c r="AR560" t="s">
        <v>143</v>
      </c>
      <c r="AS560" t="s">
        <v>144</v>
      </c>
      <c r="AT560" t="s">
        <v>1202</v>
      </c>
      <c r="AU560">
        <v>2023</v>
      </c>
      <c r="AV560">
        <v>233</v>
      </c>
      <c r="AW560" t="s">
        <v>74</v>
      </c>
      <c r="AX560" t="s">
        <v>74</v>
      </c>
      <c r="AY560" t="s">
        <v>74</v>
      </c>
      <c r="AZ560" t="s">
        <v>74</v>
      </c>
      <c r="BA560" t="s">
        <v>74</v>
      </c>
      <c r="BB560" t="s">
        <v>74</v>
      </c>
      <c r="BC560" t="s">
        <v>74</v>
      </c>
      <c r="BD560">
        <v>109119</v>
      </c>
      <c r="BE560" t="s">
        <v>9279</v>
      </c>
      <c r="BF560" t="str">
        <f>HYPERLINK("http://dx.doi.org/10.1016/j.ress.2023.109119","http://dx.doi.org/10.1016/j.ress.2023.109119")</f>
        <v>http://dx.doi.org/10.1016/j.ress.2023.109119</v>
      </c>
      <c r="BG560" t="s">
        <v>74</v>
      </c>
      <c r="BH560" t="s">
        <v>2022</v>
      </c>
      <c r="BI560">
        <v>15</v>
      </c>
      <c r="BJ560" t="s">
        <v>148</v>
      </c>
      <c r="BK560" t="s">
        <v>149</v>
      </c>
      <c r="BL560" t="s">
        <v>150</v>
      </c>
      <c r="BM560" t="s">
        <v>9280</v>
      </c>
      <c r="BN560" t="s">
        <v>74</v>
      </c>
      <c r="BO560" t="s">
        <v>74</v>
      </c>
      <c r="BP560" t="s">
        <v>74</v>
      </c>
      <c r="BQ560" t="s">
        <v>74</v>
      </c>
      <c r="BR560" t="s">
        <v>104</v>
      </c>
      <c r="BS560" t="s">
        <v>9281</v>
      </c>
      <c r="BT560" t="str">
        <f>HYPERLINK("https%3A%2F%2Fwww.webofscience.com%2Fwos%2Fwoscc%2Ffull-record%2FWOS:000933070500001","View Full Record in Web of Science")</f>
        <v>View Full Record in Web of Science</v>
      </c>
    </row>
    <row r="561" spans="1:72" x14ac:dyDescent="0.25">
      <c r="A561" t="s">
        <v>72</v>
      </c>
      <c r="B561" t="s">
        <v>9282</v>
      </c>
      <c r="C561" t="s">
        <v>74</v>
      </c>
      <c r="D561" t="s">
        <v>74</v>
      </c>
      <c r="E561" t="s">
        <v>74</v>
      </c>
      <c r="F561" t="s">
        <v>9283</v>
      </c>
      <c r="G561" t="s">
        <v>74</v>
      </c>
      <c r="H561" t="s">
        <v>74</v>
      </c>
      <c r="I561" t="s">
        <v>9284</v>
      </c>
      <c r="J561" t="s">
        <v>128</v>
      </c>
      <c r="K561" t="s">
        <v>74</v>
      </c>
      <c r="L561" t="s">
        <v>74</v>
      </c>
      <c r="M561" t="s">
        <v>78</v>
      </c>
      <c r="N561" t="s">
        <v>79</v>
      </c>
      <c r="O561" t="s">
        <v>74</v>
      </c>
      <c r="P561" t="s">
        <v>74</v>
      </c>
      <c r="Q561" t="s">
        <v>74</v>
      </c>
      <c r="R561" t="s">
        <v>74</v>
      </c>
      <c r="S561" t="s">
        <v>74</v>
      </c>
      <c r="T561" t="s">
        <v>74</v>
      </c>
      <c r="U561" t="s">
        <v>9285</v>
      </c>
      <c r="V561" t="s">
        <v>9286</v>
      </c>
      <c r="W561" t="s">
        <v>9287</v>
      </c>
      <c r="X561" t="s">
        <v>9288</v>
      </c>
      <c r="Y561" t="s">
        <v>9289</v>
      </c>
      <c r="Z561" t="s">
        <v>9290</v>
      </c>
      <c r="AA561" t="s">
        <v>9291</v>
      </c>
      <c r="AB561" t="s">
        <v>9292</v>
      </c>
      <c r="AC561" t="s">
        <v>9293</v>
      </c>
      <c r="AD561" t="s">
        <v>9294</v>
      </c>
      <c r="AE561" t="s">
        <v>9295</v>
      </c>
      <c r="AF561" t="s">
        <v>74</v>
      </c>
      <c r="AG561">
        <v>55</v>
      </c>
      <c r="AH561">
        <v>6</v>
      </c>
      <c r="AI561">
        <v>6</v>
      </c>
      <c r="AJ561">
        <v>6</v>
      </c>
      <c r="AK561">
        <v>18</v>
      </c>
      <c r="AL561" t="s">
        <v>138</v>
      </c>
      <c r="AM561" t="s">
        <v>139</v>
      </c>
      <c r="AN561" t="s">
        <v>140</v>
      </c>
      <c r="AO561" t="s">
        <v>141</v>
      </c>
      <c r="AP561" t="s">
        <v>142</v>
      </c>
      <c r="AQ561" t="s">
        <v>74</v>
      </c>
      <c r="AR561" t="s">
        <v>143</v>
      </c>
      <c r="AS561" t="s">
        <v>144</v>
      </c>
      <c r="AT561" t="s">
        <v>275</v>
      </c>
      <c r="AU561">
        <v>2023</v>
      </c>
      <c r="AV561">
        <v>231</v>
      </c>
      <c r="AW561" t="s">
        <v>74</v>
      </c>
      <c r="AX561" t="s">
        <v>74</v>
      </c>
      <c r="AY561" t="s">
        <v>74</v>
      </c>
      <c r="AZ561" t="s">
        <v>74</v>
      </c>
      <c r="BA561" t="s">
        <v>74</v>
      </c>
      <c r="BB561" t="s">
        <v>74</v>
      </c>
      <c r="BC561" t="s">
        <v>74</v>
      </c>
      <c r="BD561">
        <v>108993</v>
      </c>
      <c r="BE561" t="s">
        <v>9296</v>
      </c>
      <c r="BF561" t="str">
        <f>HYPERLINK("http://dx.doi.org/10.1016/j.ress.2022.108993","http://dx.doi.org/10.1016/j.ress.2022.108993")</f>
        <v>http://dx.doi.org/10.1016/j.ress.2022.108993</v>
      </c>
      <c r="BG561" t="s">
        <v>74</v>
      </c>
      <c r="BH561" t="s">
        <v>396</v>
      </c>
      <c r="BI561">
        <v>18</v>
      </c>
      <c r="BJ561" t="s">
        <v>148</v>
      </c>
      <c r="BK561" t="s">
        <v>149</v>
      </c>
      <c r="BL561" t="s">
        <v>150</v>
      </c>
      <c r="BM561" t="s">
        <v>6006</v>
      </c>
      <c r="BN561" t="s">
        <v>74</v>
      </c>
      <c r="BO561" t="s">
        <v>74</v>
      </c>
      <c r="BP561" t="s">
        <v>74</v>
      </c>
      <c r="BQ561" t="s">
        <v>74</v>
      </c>
      <c r="BR561" t="s">
        <v>104</v>
      </c>
      <c r="BS561" t="s">
        <v>9297</v>
      </c>
      <c r="BT561" t="str">
        <f>HYPERLINK("https%3A%2F%2Fwww.webofscience.com%2Fwos%2Fwoscc%2Ffull-record%2FWOS:000896689600004","View Full Record in Web of Science")</f>
        <v>View Full Record in Web of Science</v>
      </c>
    </row>
    <row r="562" spans="1:72" x14ac:dyDescent="0.25">
      <c r="A562" t="s">
        <v>72</v>
      </c>
      <c r="B562" t="s">
        <v>9298</v>
      </c>
      <c r="C562" t="s">
        <v>74</v>
      </c>
      <c r="D562" t="s">
        <v>74</v>
      </c>
      <c r="E562" t="s">
        <v>74</v>
      </c>
      <c r="F562" t="s">
        <v>9299</v>
      </c>
      <c r="G562" t="s">
        <v>74</v>
      </c>
      <c r="H562" t="s">
        <v>74</v>
      </c>
      <c r="I562" t="s">
        <v>9300</v>
      </c>
      <c r="J562" t="s">
        <v>6923</v>
      </c>
      <c r="K562" t="s">
        <v>74</v>
      </c>
      <c r="L562" t="s">
        <v>74</v>
      </c>
      <c r="M562" t="s">
        <v>78</v>
      </c>
      <c r="N562" t="s">
        <v>79</v>
      </c>
      <c r="O562" t="s">
        <v>74</v>
      </c>
      <c r="P562" t="s">
        <v>74</v>
      </c>
      <c r="Q562" t="s">
        <v>74</v>
      </c>
      <c r="R562" t="s">
        <v>74</v>
      </c>
      <c r="S562" t="s">
        <v>74</v>
      </c>
      <c r="T562" t="s">
        <v>74</v>
      </c>
      <c r="U562" t="s">
        <v>9301</v>
      </c>
      <c r="V562" t="s">
        <v>9302</v>
      </c>
      <c r="W562" t="s">
        <v>9303</v>
      </c>
      <c r="X562" t="s">
        <v>9304</v>
      </c>
      <c r="Y562" t="s">
        <v>9305</v>
      </c>
      <c r="Z562" t="s">
        <v>9306</v>
      </c>
      <c r="AA562" t="s">
        <v>9307</v>
      </c>
      <c r="AB562" t="s">
        <v>9308</v>
      </c>
      <c r="AC562" t="s">
        <v>9309</v>
      </c>
      <c r="AD562" t="s">
        <v>9310</v>
      </c>
      <c r="AE562" t="s">
        <v>9311</v>
      </c>
      <c r="AF562" t="s">
        <v>74</v>
      </c>
      <c r="AG562">
        <v>84</v>
      </c>
      <c r="AH562">
        <v>6</v>
      </c>
      <c r="AI562">
        <v>6</v>
      </c>
      <c r="AJ562">
        <v>1</v>
      </c>
      <c r="AK562">
        <v>13</v>
      </c>
      <c r="AL562" t="s">
        <v>6930</v>
      </c>
      <c r="AM562" t="s">
        <v>6931</v>
      </c>
      <c r="AN562" t="s">
        <v>6932</v>
      </c>
      <c r="AO562" t="s">
        <v>6933</v>
      </c>
      <c r="AP562" t="s">
        <v>74</v>
      </c>
      <c r="AQ562" t="s">
        <v>74</v>
      </c>
      <c r="AR562" t="s">
        <v>6923</v>
      </c>
      <c r="AS562" t="s">
        <v>6934</v>
      </c>
      <c r="AT562" t="s">
        <v>2070</v>
      </c>
      <c r="AU562">
        <v>2022</v>
      </c>
      <c r="AV562">
        <v>17</v>
      </c>
      <c r="AW562">
        <v>12</v>
      </c>
      <c r="AX562" t="s">
        <v>74</v>
      </c>
      <c r="AY562" t="s">
        <v>74</v>
      </c>
      <c r="AZ562" t="s">
        <v>74</v>
      </c>
      <c r="BA562" t="s">
        <v>74</v>
      </c>
      <c r="BB562" t="s">
        <v>74</v>
      </c>
      <c r="BC562" t="s">
        <v>74</v>
      </c>
      <c r="BD562" t="s">
        <v>9312</v>
      </c>
      <c r="BE562" t="s">
        <v>9313</v>
      </c>
      <c r="BF562" t="str">
        <f>HYPERLINK("http://dx.doi.org/10.1371/journal.pone.0279231","http://dx.doi.org/10.1371/journal.pone.0279231")</f>
        <v>http://dx.doi.org/10.1371/journal.pone.0279231</v>
      </c>
      <c r="BG562" t="s">
        <v>74</v>
      </c>
      <c r="BH562" t="s">
        <v>74</v>
      </c>
      <c r="BI562">
        <v>28</v>
      </c>
      <c r="BJ562" t="s">
        <v>517</v>
      </c>
      <c r="BK562" t="s">
        <v>149</v>
      </c>
      <c r="BL562" t="s">
        <v>518</v>
      </c>
      <c r="BM562" t="s">
        <v>9314</v>
      </c>
      <c r="BN562">
        <v>36525450</v>
      </c>
      <c r="BO562" t="s">
        <v>6520</v>
      </c>
      <c r="BP562" t="s">
        <v>74</v>
      </c>
      <c r="BQ562" t="s">
        <v>74</v>
      </c>
      <c r="BR562" t="s">
        <v>104</v>
      </c>
      <c r="BS562" t="s">
        <v>9315</v>
      </c>
      <c r="BT562" t="str">
        <f>HYPERLINK("https%3A%2F%2Fwww.webofscience.com%2Fwos%2Fwoscc%2Ffull-record%2FWOS:000925183400038","View Full Record in Web of Science")</f>
        <v>View Full Record in Web of Science</v>
      </c>
    </row>
    <row r="563" spans="1:72" x14ac:dyDescent="0.25">
      <c r="A563" t="s">
        <v>72</v>
      </c>
      <c r="B563" t="s">
        <v>9316</v>
      </c>
      <c r="C563" t="s">
        <v>74</v>
      </c>
      <c r="D563" t="s">
        <v>74</v>
      </c>
      <c r="E563" t="s">
        <v>74</v>
      </c>
      <c r="F563" t="s">
        <v>9317</v>
      </c>
      <c r="G563" t="s">
        <v>74</v>
      </c>
      <c r="H563" t="s">
        <v>74</v>
      </c>
      <c r="I563" t="s">
        <v>9318</v>
      </c>
      <c r="J563" t="s">
        <v>128</v>
      </c>
      <c r="K563" t="s">
        <v>74</v>
      </c>
      <c r="L563" t="s">
        <v>74</v>
      </c>
      <c r="M563" t="s">
        <v>78</v>
      </c>
      <c r="N563" t="s">
        <v>79</v>
      </c>
      <c r="O563" t="s">
        <v>74</v>
      </c>
      <c r="P563" t="s">
        <v>74</v>
      </c>
      <c r="Q563" t="s">
        <v>74</v>
      </c>
      <c r="R563" t="s">
        <v>74</v>
      </c>
      <c r="S563" t="s">
        <v>74</v>
      </c>
      <c r="T563" t="s">
        <v>9319</v>
      </c>
      <c r="U563" t="s">
        <v>9320</v>
      </c>
      <c r="V563" t="s">
        <v>9321</v>
      </c>
      <c r="W563" t="s">
        <v>9322</v>
      </c>
      <c r="X563" t="s">
        <v>9323</v>
      </c>
      <c r="Y563" t="s">
        <v>9324</v>
      </c>
      <c r="Z563" t="s">
        <v>4841</v>
      </c>
      <c r="AA563" t="s">
        <v>9291</v>
      </c>
      <c r="AB563" t="s">
        <v>4842</v>
      </c>
      <c r="AC563" t="s">
        <v>9325</v>
      </c>
      <c r="AD563" t="s">
        <v>9326</v>
      </c>
      <c r="AE563" t="s">
        <v>9327</v>
      </c>
      <c r="AF563" t="s">
        <v>74</v>
      </c>
      <c r="AG563">
        <v>119</v>
      </c>
      <c r="AH563">
        <v>8</v>
      </c>
      <c r="AI563">
        <v>8</v>
      </c>
      <c r="AJ563">
        <v>8</v>
      </c>
      <c r="AK563">
        <v>27</v>
      </c>
      <c r="AL563" t="s">
        <v>138</v>
      </c>
      <c r="AM563" t="s">
        <v>246</v>
      </c>
      <c r="AN563" t="s">
        <v>247</v>
      </c>
      <c r="AO563" t="s">
        <v>141</v>
      </c>
      <c r="AP563" t="s">
        <v>142</v>
      </c>
      <c r="AQ563" t="s">
        <v>74</v>
      </c>
      <c r="AR563" t="s">
        <v>143</v>
      </c>
      <c r="AS563" t="s">
        <v>144</v>
      </c>
      <c r="AT563" t="s">
        <v>533</v>
      </c>
      <c r="AU563">
        <v>2021</v>
      </c>
      <c r="AV563">
        <v>206</v>
      </c>
      <c r="AW563" t="s">
        <v>74</v>
      </c>
      <c r="AX563" t="s">
        <v>74</v>
      </c>
      <c r="AY563" t="s">
        <v>74</v>
      </c>
      <c r="AZ563" t="s">
        <v>74</v>
      </c>
      <c r="BA563" t="s">
        <v>74</v>
      </c>
      <c r="BB563" t="s">
        <v>74</v>
      </c>
      <c r="BC563" t="s">
        <v>74</v>
      </c>
      <c r="BD563">
        <v>107242</v>
      </c>
      <c r="BE563" t="s">
        <v>9328</v>
      </c>
      <c r="BF563" t="str">
        <f>HYPERLINK("http://dx.doi.org/10.1016/j.ress.2020.107242","http://dx.doi.org/10.1016/j.ress.2020.107242")</f>
        <v>http://dx.doi.org/10.1016/j.ress.2020.107242</v>
      </c>
      <c r="BG563" t="s">
        <v>74</v>
      </c>
      <c r="BH563" t="s">
        <v>74</v>
      </c>
      <c r="BI563">
        <v>13</v>
      </c>
      <c r="BJ563" t="s">
        <v>148</v>
      </c>
      <c r="BK563" t="s">
        <v>322</v>
      </c>
      <c r="BL563" t="s">
        <v>150</v>
      </c>
      <c r="BM563" t="s">
        <v>9329</v>
      </c>
      <c r="BN563" t="s">
        <v>74</v>
      </c>
      <c r="BO563" t="s">
        <v>74</v>
      </c>
      <c r="BP563" t="s">
        <v>74</v>
      </c>
      <c r="BQ563" t="s">
        <v>74</v>
      </c>
      <c r="BR563" t="s">
        <v>104</v>
      </c>
      <c r="BS563" t="s">
        <v>9330</v>
      </c>
      <c r="BT563" t="str">
        <f>HYPERLINK("https%3A%2F%2Fwww.webofscience.com%2Fwos%2Fwoscc%2Ffull-record%2FWOS:000606675400002","View Full Record in Web of Science")</f>
        <v>View Full Record in Web of Science</v>
      </c>
    </row>
    <row r="564" spans="1:72" x14ac:dyDescent="0.25">
      <c r="A564" t="s">
        <v>72</v>
      </c>
      <c r="B564" t="s">
        <v>9331</v>
      </c>
      <c r="C564" t="s">
        <v>74</v>
      </c>
      <c r="D564" t="s">
        <v>74</v>
      </c>
      <c r="E564" t="s">
        <v>74</v>
      </c>
      <c r="F564" t="s">
        <v>9332</v>
      </c>
      <c r="G564" t="s">
        <v>74</v>
      </c>
      <c r="H564" t="s">
        <v>74</v>
      </c>
      <c r="I564" t="s">
        <v>9333</v>
      </c>
      <c r="J564" t="s">
        <v>1557</v>
      </c>
      <c r="K564" t="s">
        <v>74</v>
      </c>
      <c r="L564" t="s">
        <v>74</v>
      </c>
      <c r="M564" t="s">
        <v>78</v>
      </c>
      <c r="N564" t="s">
        <v>79</v>
      </c>
      <c r="O564" t="s">
        <v>74</v>
      </c>
      <c r="P564" t="s">
        <v>74</v>
      </c>
      <c r="Q564" t="s">
        <v>74</v>
      </c>
      <c r="R564" t="s">
        <v>74</v>
      </c>
      <c r="S564" t="s">
        <v>74</v>
      </c>
      <c r="T564" t="s">
        <v>9334</v>
      </c>
      <c r="U564" t="s">
        <v>9335</v>
      </c>
      <c r="V564" t="s">
        <v>9336</v>
      </c>
      <c r="W564" t="s">
        <v>9337</v>
      </c>
      <c r="X564" t="s">
        <v>9338</v>
      </c>
      <c r="Y564" t="s">
        <v>9339</v>
      </c>
      <c r="Z564" t="s">
        <v>9340</v>
      </c>
      <c r="AA564" t="s">
        <v>9341</v>
      </c>
      <c r="AB564" t="s">
        <v>9342</v>
      </c>
      <c r="AC564" t="s">
        <v>74</v>
      </c>
      <c r="AD564" t="s">
        <v>74</v>
      </c>
      <c r="AE564" t="s">
        <v>74</v>
      </c>
      <c r="AF564" t="s">
        <v>74</v>
      </c>
      <c r="AG564">
        <v>29</v>
      </c>
      <c r="AH564">
        <v>32</v>
      </c>
      <c r="AI564">
        <v>34</v>
      </c>
      <c r="AJ564">
        <v>6</v>
      </c>
      <c r="AK564">
        <v>38</v>
      </c>
      <c r="AL564" t="s">
        <v>707</v>
      </c>
      <c r="AM564" t="s">
        <v>246</v>
      </c>
      <c r="AN564" t="s">
        <v>708</v>
      </c>
      <c r="AO564" t="s">
        <v>1569</v>
      </c>
      <c r="AP564" t="s">
        <v>1570</v>
      </c>
      <c r="AQ564" t="s">
        <v>74</v>
      </c>
      <c r="AR564" t="s">
        <v>1571</v>
      </c>
      <c r="AS564" t="s">
        <v>1572</v>
      </c>
      <c r="AT564" t="s">
        <v>6317</v>
      </c>
      <c r="AU564">
        <v>2022</v>
      </c>
      <c r="AV564">
        <v>203</v>
      </c>
      <c r="AW564" t="s">
        <v>74</v>
      </c>
      <c r="AX564" t="s">
        <v>74</v>
      </c>
      <c r="AY564" t="s">
        <v>74</v>
      </c>
      <c r="AZ564" t="s">
        <v>74</v>
      </c>
      <c r="BA564" t="s">
        <v>74</v>
      </c>
      <c r="BB564" t="s">
        <v>74</v>
      </c>
      <c r="BC564" t="s">
        <v>74</v>
      </c>
      <c r="BD564">
        <v>117501</v>
      </c>
      <c r="BE564" t="s">
        <v>9343</v>
      </c>
      <c r="BF564" t="str">
        <f>HYPERLINK("http://dx.doi.org/10.1016/j.eswa.2022.117501","http://dx.doi.org/10.1016/j.eswa.2022.117501")</f>
        <v>http://dx.doi.org/10.1016/j.eswa.2022.117501</v>
      </c>
      <c r="BG564" t="s">
        <v>74</v>
      </c>
      <c r="BH564" t="s">
        <v>581</v>
      </c>
      <c r="BI564">
        <v>12</v>
      </c>
      <c r="BJ564" t="s">
        <v>1575</v>
      </c>
      <c r="BK564" t="s">
        <v>149</v>
      </c>
      <c r="BL564" t="s">
        <v>1576</v>
      </c>
      <c r="BM564" t="s">
        <v>9344</v>
      </c>
      <c r="BN564" t="s">
        <v>74</v>
      </c>
      <c r="BO564" t="s">
        <v>74</v>
      </c>
      <c r="BP564" t="s">
        <v>74</v>
      </c>
      <c r="BQ564" t="s">
        <v>74</v>
      </c>
      <c r="BR564" t="s">
        <v>104</v>
      </c>
      <c r="BS564" t="s">
        <v>9345</v>
      </c>
      <c r="BT564" t="str">
        <f>HYPERLINK("https%3A%2F%2Fwww.webofscience.com%2Fwos%2Fwoscc%2Ffull-record%2FWOS:000804926200004","View Full Record in Web of Science")</f>
        <v>View Full Record in Web of Science</v>
      </c>
    </row>
    <row r="565" spans="1:72" x14ac:dyDescent="0.25">
      <c r="A565" t="s">
        <v>72</v>
      </c>
      <c r="B565" t="s">
        <v>9346</v>
      </c>
      <c r="C565" t="s">
        <v>74</v>
      </c>
      <c r="D565" t="s">
        <v>74</v>
      </c>
      <c r="E565" t="s">
        <v>74</v>
      </c>
      <c r="F565" t="s">
        <v>9347</v>
      </c>
      <c r="G565" t="s">
        <v>74</v>
      </c>
      <c r="H565" t="s">
        <v>74</v>
      </c>
      <c r="I565" t="s">
        <v>9348</v>
      </c>
      <c r="J565" t="s">
        <v>542</v>
      </c>
      <c r="K565" t="s">
        <v>74</v>
      </c>
      <c r="L565" t="s">
        <v>74</v>
      </c>
      <c r="M565" t="s">
        <v>78</v>
      </c>
      <c r="N565" t="s">
        <v>79</v>
      </c>
      <c r="O565" t="s">
        <v>74</v>
      </c>
      <c r="P565" t="s">
        <v>74</v>
      </c>
      <c r="Q565" t="s">
        <v>74</v>
      </c>
      <c r="R565" t="s">
        <v>74</v>
      </c>
      <c r="S565" t="s">
        <v>74</v>
      </c>
      <c r="T565" t="s">
        <v>9349</v>
      </c>
      <c r="U565" t="s">
        <v>9350</v>
      </c>
      <c r="V565" t="s">
        <v>9351</v>
      </c>
      <c r="W565" t="s">
        <v>9352</v>
      </c>
      <c r="X565" t="s">
        <v>4887</v>
      </c>
      <c r="Y565" t="s">
        <v>9353</v>
      </c>
      <c r="Z565" t="s">
        <v>9354</v>
      </c>
      <c r="AA565" t="s">
        <v>9355</v>
      </c>
      <c r="AB565" t="s">
        <v>74</v>
      </c>
      <c r="AC565" t="s">
        <v>3365</v>
      </c>
      <c r="AD565" t="s">
        <v>482</v>
      </c>
      <c r="AE565" t="s">
        <v>9356</v>
      </c>
      <c r="AF565" t="s">
        <v>74</v>
      </c>
      <c r="AG565">
        <v>33</v>
      </c>
      <c r="AH565">
        <v>5</v>
      </c>
      <c r="AI565">
        <v>5</v>
      </c>
      <c r="AJ565">
        <v>0</v>
      </c>
      <c r="AK565">
        <v>26</v>
      </c>
      <c r="AL565" t="s">
        <v>552</v>
      </c>
      <c r="AM565" t="s">
        <v>553</v>
      </c>
      <c r="AN565" t="s">
        <v>554</v>
      </c>
      <c r="AO565" t="s">
        <v>555</v>
      </c>
      <c r="AP565" t="s">
        <v>556</v>
      </c>
      <c r="AQ565" t="s">
        <v>74</v>
      </c>
      <c r="AR565" t="s">
        <v>557</v>
      </c>
      <c r="AS565" t="s">
        <v>558</v>
      </c>
      <c r="AT565" t="s">
        <v>2225</v>
      </c>
      <c r="AU565">
        <v>2019</v>
      </c>
      <c r="AV565">
        <v>233</v>
      </c>
      <c r="AW565">
        <v>4</v>
      </c>
      <c r="AX565" t="s">
        <v>74</v>
      </c>
      <c r="AY565" t="s">
        <v>74</v>
      </c>
      <c r="AZ565" t="s">
        <v>74</v>
      </c>
      <c r="BA565" t="s">
        <v>74</v>
      </c>
      <c r="BB565">
        <v>670</v>
      </c>
      <c r="BC565">
        <v>681</v>
      </c>
      <c r="BD565" t="s">
        <v>74</v>
      </c>
      <c r="BE565" t="s">
        <v>9357</v>
      </c>
      <c r="BF565" t="str">
        <f>HYPERLINK("http://dx.doi.org/10.1177/1748006X18817359","http://dx.doi.org/10.1177/1748006X18817359")</f>
        <v>http://dx.doi.org/10.1177/1748006X18817359</v>
      </c>
      <c r="BG565" t="s">
        <v>74</v>
      </c>
      <c r="BH565" t="s">
        <v>74</v>
      </c>
      <c r="BI565">
        <v>12</v>
      </c>
      <c r="BJ565" t="s">
        <v>494</v>
      </c>
      <c r="BK565" t="s">
        <v>149</v>
      </c>
      <c r="BL565" t="s">
        <v>150</v>
      </c>
      <c r="BM565" t="s">
        <v>5007</v>
      </c>
      <c r="BN565" t="s">
        <v>74</v>
      </c>
      <c r="BO565" t="s">
        <v>74</v>
      </c>
      <c r="BP565" t="s">
        <v>74</v>
      </c>
      <c r="BQ565" t="s">
        <v>74</v>
      </c>
      <c r="BR565" t="s">
        <v>104</v>
      </c>
      <c r="BS565" t="s">
        <v>9358</v>
      </c>
      <c r="BT565" t="str">
        <f>HYPERLINK("https%3A%2F%2Fwww.webofscience.com%2Fwos%2Fwoscc%2Ffull-record%2FWOS:000478598600014","View Full Record in Web of Science")</f>
        <v>View Full Record in Web of Science</v>
      </c>
    </row>
    <row r="566" spans="1:72" x14ac:dyDescent="0.25">
      <c r="A566" t="s">
        <v>72</v>
      </c>
      <c r="B566" t="s">
        <v>9359</v>
      </c>
      <c r="C566" t="s">
        <v>74</v>
      </c>
      <c r="D566" t="s">
        <v>74</v>
      </c>
      <c r="E566" t="s">
        <v>74</v>
      </c>
      <c r="F566" t="s">
        <v>9360</v>
      </c>
      <c r="G566" t="s">
        <v>74</v>
      </c>
      <c r="H566" t="s">
        <v>74</v>
      </c>
      <c r="I566" t="s">
        <v>9361</v>
      </c>
      <c r="J566" t="s">
        <v>4956</v>
      </c>
      <c r="K566" t="s">
        <v>74</v>
      </c>
      <c r="L566" t="s">
        <v>74</v>
      </c>
      <c r="M566" t="s">
        <v>78</v>
      </c>
      <c r="N566" t="s">
        <v>79</v>
      </c>
      <c r="O566" t="s">
        <v>74</v>
      </c>
      <c r="P566" t="s">
        <v>74</v>
      </c>
      <c r="Q566" t="s">
        <v>74</v>
      </c>
      <c r="R566" t="s">
        <v>74</v>
      </c>
      <c r="S566" t="s">
        <v>74</v>
      </c>
      <c r="T566" t="s">
        <v>9362</v>
      </c>
      <c r="U566" t="s">
        <v>9363</v>
      </c>
      <c r="V566" t="s">
        <v>9364</v>
      </c>
      <c r="W566" t="s">
        <v>9365</v>
      </c>
      <c r="X566" t="s">
        <v>9366</v>
      </c>
      <c r="Y566" t="s">
        <v>9367</v>
      </c>
      <c r="Z566" t="s">
        <v>9368</v>
      </c>
      <c r="AA566" t="s">
        <v>9369</v>
      </c>
      <c r="AB566" t="s">
        <v>74</v>
      </c>
      <c r="AC566" t="s">
        <v>74</v>
      </c>
      <c r="AD566" t="s">
        <v>74</v>
      </c>
      <c r="AE566" t="s">
        <v>74</v>
      </c>
      <c r="AF566" t="s">
        <v>74</v>
      </c>
      <c r="AG566">
        <v>66</v>
      </c>
      <c r="AH566">
        <v>6</v>
      </c>
      <c r="AI566">
        <v>6</v>
      </c>
      <c r="AJ566">
        <v>5</v>
      </c>
      <c r="AK566">
        <v>15</v>
      </c>
      <c r="AL566" t="s">
        <v>509</v>
      </c>
      <c r="AM566" t="s">
        <v>510</v>
      </c>
      <c r="AN566" t="s">
        <v>511</v>
      </c>
      <c r="AO566" t="s">
        <v>4969</v>
      </c>
      <c r="AP566" t="s">
        <v>4970</v>
      </c>
      <c r="AQ566" t="s">
        <v>74</v>
      </c>
      <c r="AR566" t="s">
        <v>4971</v>
      </c>
      <c r="AS566" t="s">
        <v>4972</v>
      </c>
      <c r="AT566" t="s">
        <v>9370</v>
      </c>
      <c r="AU566">
        <v>2022</v>
      </c>
      <c r="AV566">
        <v>65</v>
      </c>
      <c r="AW566" t="s">
        <v>74</v>
      </c>
      <c r="AX566" t="s">
        <v>74</v>
      </c>
      <c r="AY566" t="s">
        <v>74</v>
      </c>
      <c r="AZ566" t="s">
        <v>74</v>
      </c>
      <c r="BA566" t="s">
        <v>74</v>
      </c>
      <c r="BB566" t="s">
        <v>74</v>
      </c>
      <c r="BC566" t="s">
        <v>74</v>
      </c>
      <c r="BD566">
        <v>101701</v>
      </c>
      <c r="BE566" t="s">
        <v>9371</v>
      </c>
      <c r="BF566" t="str">
        <f>HYPERLINK("http://dx.doi.org/10.1016/j.jengtecman.2022.101701","http://dx.doi.org/10.1016/j.jengtecman.2022.101701")</f>
        <v>http://dx.doi.org/10.1016/j.jengtecman.2022.101701</v>
      </c>
      <c r="BG566" t="s">
        <v>74</v>
      </c>
      <c r="BH566" t="s">
        <v>658</v>
      </c>
      <c r="BI566">
        <v>12</v>
      </c>
      <c r="BJ566" t="s">
        <v>955</v>
      </c>
      <c r="BK566" t="s">
        <v>322</v>
      </c>
      <c r="BL566" t="s">
        <v>956</v>
      </c>
      <c r="BM566" t="s">
        <v>9372</v>
      </c>
      <c r="BN566" t="s">
        <v>74</v>
      </c>
      <c r="BO566" t="s">
        <v>641</v>
      </c>
      <c r="BP566" t="s">
        <v>74</v>
      </c>
      <c r="BQ566" t="s">
        <v>74</v>
      </c>
      <c r="BR566" t="s">
        <v>104</v>
      </c>
      <c r="BS566" t="s">
        <v>9373</v>
      </c>
      <c r="BT566" t="str">
        <f>HYPERLINK("https%3A%2F%2Fwww.webofscience.com%2Fwos%2Fwoscc%2Ffull-record%2FWOS:000864943300001","View Full Record in Web of Science")</f>
        <v>View Full Record in Web of Science</v>
      </c>
    </row>
    <row r="567" spans="1:72" x14ac:dyDescent="0.25">
      <c r="A567" t="s">
        <v>72</v>
      </c>
      <c r="B567" t="s">
        <v>9374</v>
      </c>
      <c r="C567" t="s">
        <v>74</v>
      </c>
      <c r="D567" t="s">
        <v>74</v>
      </c>
      <c r="E567" t="s">
        <v>74</v>
      </c>
      <c r="F567" t="s">
        <v>9375</v>
      </c>
      <c r="G567" t="s">
        <v>74</v>
      </c>
      <c r="H567" t="s">
        <v>74</v>
      </c>
      <c r="I567" t="s">
        <v>9376</v>
      </c>
      <c r="J567" t="s">
        <v>2435</v>
      </c>
      <c r="K567" t="s">
        <v>74</v>
      </c>
      <c r="L567" t="s">
        <v>74</v>
      </c>
      <c r="M567" t="s">
        <v>78</v>
      </c>
      <c r="N567" t="s">
        <v>79</v>
      </c>
      <c r="O567" t="s">
        <v>74</v>
      </c>
      <c r="P567" t="s">
        <v>74</v>
      </c>
      <c r="Q567" t="s">
        <v>74</v>
      </c>
      <c r="R567" t="s">
        <v>74</v>
      </c>
      <c r="S567" t="s">
        <v>74</v>
      </c>
      <c r="T567" t="s">
        <v>9377</v>
      </c>
      <c r="U567" t="s">
        <v>9378</v>
      </c>
      <c r="V567" t="s">
        <v>9379</v>
      </c>
      <c r="W567" t="s">
        <v>9380</v>
      </c>
      <c r="X567" t="s">
        <v>3361</v>
      </c>
      <c r="Y567" t="s">
        <v>9381</v>
      </c>
      <c r="Z567" t="s">
        <v>9382</v>
      </c>
      <c r="AA567" t="s">
        <v>9383</v>
      </c>
      <c r="AB567" t="s">
        <v>4801</v>
      </c>
      <c r="AC567" t="s">
        <v>9384</v>
      </c>
      <c r="AD567" t="s">
        <v>482</v>
      </c>
      <c r="AE567" t="s">
        <v>9385</v>
      </c>
      <c r="AF567" t="s">
        <v>74</v>
      </c>
      <c r="AG567">
        <v>26</v>
      </c>
      <c r="AH567">
        <v>18</v>
      </c>
      <c r="AI567">
        <v>18</v>
      </c>
      <c r="AJ567">
        <v>1</v>
      </c>
      <c r="AK567">
        <v>9</v>
      </c>
      <c r="AL567" t="s">
        <v>311</v>
      </c>
      <c r="AM567" t="s">
        <v>312</v>
      </c>
      <c r="AN567" t="s">
        <v>313</v>
      </c>
      <c r="AO567" t="s">
        <v>2445</v>
      </c>
      <c r="AP567" t="s">
        <v>2446</v>
      </c>
      <c r="AQ567" t="s">
        <v>74</v>
      </c>
      <c r="AR567" t="s">
        <v>2447</v>
      </c>
      <c r="AS567" t="s">
        <v>2448</v>
      </c>
      <c r="AT567" t="s">
        <v>2816</v>
      </c>
      <c r="AU567">
        <v>2019</v>
      </c>
      <c r="AV567">
        <v>6</v>
      </c>
      <c r="AW567">
        <v>3</v>
      </c>
      <c r="AX567" t="s">
        <v>74</v>
      </c>
      <c r="AY567" t="s">
        <v>74</v>
      </c>
      <c r="AZ567" t="s">
        <v>74</v>
      </c>
      <c r="BA567" t="s">
        <v>74</v>
      </c>
      <c r="BB567">
        <v>258</v>
      </c>
      <c r="BC567">
        <v>271</v>
      </c>
      <c r="BD567" t="s">
        <v>74</v>
      </c>
      <c r="BE567" t="s">
        <v>9386</v>
      </c>
      <c r="BF567" t="str">
        <f>HYPERLINK("http://dx.doi.org/10.1080/23302674.2017.1384961","http://dx.doi.org/10.1080/23302674.2017.1384961")</f>
        <v>http://dx.doi.org/10.1080/23302674.2017.1384961</v>
      </c>
      <c r="BG567" t="s">
        <v>74</v>
      </c>
      <c r="BH567" t="s">
        <v>74</v>
      </c>
      <c r="BI567">
        <v>14</v>
      </c>
      <c r="BJ567" t="s">
        <v>148</v>
      </c>
      <c r="BK567" t="s">
        <v>149</v>
      </c>
      <c r="BL567" t="s">
        <v>150</v>
      </c>
      <c r="BM567" t="s">
        <v>9387</v>
      </c>
      <c r="BN567" t="s">
        <v>74</v>
      </c>
      <c r="BO567" t="s">
        <v>74</v>
      </c>
      <c r="BP567" t="s">
        <v>74</v>
      </c>
      <c r="BQ567" t="s">
        <v>74</v>
      </c>
      <c r="BR567" t="s">
        <v>104</v>
      </c>
      <c r="BS567" t="s">
        <v>9388</v>
      </c>
      <c r="BT567" t="str">
        <f>HYPERLINK("https%3A%2F%2Fwww.webofscience.com%2Fwos%2Fwoscc%2Ffull-record%2FWOS:000615117300003","View Full Record in Web of Science")</f>
        <v>View Full Record in Web of Science</v>
      </c>
    </row>
    <row r="568" spans="1:72" x14ac:dyDescent="0.25">
      <c r="A568" t="s">
        <v>72</v>
      </c>
      <c r="B568" t="s">
        <v>9389</v>
      </c>
      <c r="C568" t="s">
        <v>74</v>
      </c>
      <c r="D568" t="s">
        <v>74</v>
      </c>
      <c r="E568" t="s">
        <v>74</v>
      </c>
      <c r="F568" t="s">
        <v>9390</v>
      </c>
      <c r="G568" t="s">
        <v>74</v>
      </c>
      <c r="H568" t="s">
        <v>74</v>
      </c>
      <c r="I568" t="s">
        <v>9391</v>
      </c>
      <c r="J568" t="s">
        <v>6923</v>
      </c>
      <c r="K568" t="s">
        <v>74</v>
      </c>
      <c r="L568" t="s">
        <v>74</v>
      </c>
      <c r="M568" t="s">
        <v>78</v>
      </c>
      <c r="N568" t="s">
        <v>79</v>
      </c>
      <c r="O568" t="s">
        <v>74</v>
      </c>
      <c r="P568" t="s">
        <v>74</v>
      </c>
      <c r="Q568" t="s">
        <v>74</v>
      </c>
      <c r="R568" t="s">
        <v>74</v>
      </c>
      <c r="S568" t="s">
        <v>74</v>
      </c>
      <c r="T568" t="s">
        <v>74</v>
      </c>
      <c r="U568" t="s">
        <v>74</v>
      </c>
      <c r="V568" t="s">
        <v>9392</v>
      </c>
      <c r="W568" t="s">
        <v>9393</v>
      </c>
      <c r="X568" t="s">
        <v>4355</v>
      </c>
      <c r="Y568" t="s">
        <v>9394</v>
      </c>
      <c r="Z568" t="s">
        <v>9395</v>
      </c>
      <c r="AA568" t="s">
        <v>9396</v>
      </c>
      <c r="AB568" t="s">
        <v>74</v>
      </c>
      <c r="AC568" t="s">
        <v>9397</v>
      </c>
      <c r="AD568" t="s">
        <v>9398</v>
      </c>
      <c r="AE568" t="s">
        <v>9399</v>
      </c>
      <c r="AF568" t="s">
        <v>74</v>
      </c>
      <c r="AG568">
        <v>43</v>
      </c>
      <c r="AH568">
        <v>2</v>
      </c>
      <c r="AI568">
        <v>2</v>
      </c>
      <c r="AJ568">
        <v>1</v>
      </c>
      <c r="AK568">
        <v>25</v>
      </c>
      <c r="AL568" t="s">
        <v>6930</v>
      </c>
      <c r="AM568" t="s">
        <v>6931</v>
      </c>
      <c r="AN568" t="s">
        <v>6932</v>
      </c>
      <c r="AO568" t="s">
        <v>6933</v>
      </c>
      <c r="AP568" t="s">
        <v>74</v>
      </c>
      <c r="AQ568" t="s">
        <v>74</v>
      </c>
      <c r="AR568" t="s">
        <v>6923</v>
      </c>
      <c r="AS568" t="s">
        <v>6934</v>
      </c>
      <c r="AT568" t="s">
        <v>74</v>
      </c>
      <c r="AU568">
        <v>2021</v>
      </c>
      <c r="AV568">
        <v>16</v>
      </c>
      <c r="AW568">
        <v>8</v>
      </c>
      <c r="AX568" t="s">
        <v>74</v>
      </c>
      <c r="AY568" t="s">
        <v>74</v>
      </c>
      <c r="AZ568" t="s">
        <v>74</v>
      </c>
      <c r="BA568" t="s">
        <v>74</v>
      </c>
      <c r="BB568" t="s">
        <v>74</v>
      </c>
      <c r="BC568" t="s">
        <v>74</v>
      </c>
      <c r="BD568" t="s">
        <v>9400</v>
      </c>
      <c r="BE568" t="s">
        <v>9401</v>
      </c>
      <c r="BF568" t="str">
        <f>HYPERLINK("http://dx.doi.org/10.1371/journal.pone.0256028","http://dx.doi.org/10.1371/journal.pone.0256028")</f>
        <v>http://dx.doi.org/10.1371/journal.pone.0256028</v>
      </c>
      <c r="BG568" t="s">
        <v>74</v>
      </c>
      <c r="BH568" t="s">
        <v>74</v>
      </c>
      <c r="BI568">
        <v>22</v>
      </c>
      <c r="BJ568" t="s">
        <v>517</v>
      </c>
      <c r="BK568" t="s">
        <v>149</v>
      </c>
      <c r="BL568" t="s">
        <v>518</v>
      </c>
      <c r="BM568" t="s">
        <v>9402</v>
      </c>
      <c r="BN568">
        <v>34383815</v>
      </c>
      <c r="BO568" t="s">
        <v>520</v>
      </c>
      <c r="BP568" t="s">
        <v>74</v>
      </c>
      <c r="BQ568" t="s">
        <v>74</v>
      </c>
      <c r="BR568" t="s">
        <v>104</v>
      </c>
      <c r="BS568" t="s">
        <v>9403</v>
      </c>
      <c r="BT568" t="str">
        <f>HYPERLINK("https%3A%2F%2Fwww.webofscience.com%2Fwos%2Fwoscc%2Ffull-record%2FWOS:000684426400063","View Full Record in Web of Science")</f>
        <v>View Full Record in Web of Science</v>
      </c>
    </row>
    <row r="569" spans="1:72" x14ac:dyDescent="0.25">
      <c r="A569" t="s">
        <v>72</v>
      </c>
      <c r="B569" t="s">
        <v>9404</v>
      </c>
      <c r="C569" t="s">
        <v>74</v>
      </c>
      <c r="D569" t="s">
        <v>74</v>
      </c>
      <c r="E569" t="s">
        <v>74</v>
      </c>
      <c r="F569" t="s">
        <v>9405</v>
      </c>
      <c r="G569" t="s">
        <v>74</v>
      </c>
      <c r="H569" t="s">
        <v>74</v>
      </c>
      <c r="I569" t="s">
        <v>9406</v>
      </c>
      <c r="J569" t="s">
        <v>697</v>
      </c>
      <c r="K569" t="s">
        <v>74</v>
      </c>
      <c r="L569" t="s">
        <v>74</v>
      </c>
      <c r="M569" t="s">
        <v>78</v>
      </c>
      <c r="N569" t="s">
        <v>79</v>
      </c>
      <c r="O569" t="s">
        <v>74</v>
      </c>
      <c r="P569" t="s">
        <v>74</v>
      </c>
      <c r="Q569" t="s">
        <v>74</v>
      </c>
      <c r="R569" t="s">
        <v>74</v>
      </c>
      <c r="S569" t="s">
        <v>74</v>
      </c>
      <c r="T569" t="s">
        <v>9407</v>
      </c>
      <c r="U569" t="s">
        <v>9408</v>
      </c>
      <c r="V569" t="s">
        <v>9409</v>
      </c>
      <c r="W569" t="s">
        <v>9410</v>
      </c>
      <c r="X569" t="s">
        <v>9411</v>
      </c>
      <c r="Y569" t="s">
        <v>5016</v>
      </c>
      <c r="Z569" t="s">
        <v>9412</v>
      </c>
      <c r="AA569" t="s">
        <v>4566</v>
      </c>
      <c r="AB569" t="s">
        <v>74</v>
      </c>
      <c r="AC569" t="s">
        <v>9413</v>
      </c>
      <c r="AD569" t="s">
        <v>9414</v>
      </c>
      <c r="AE569" t="s">
        <v>9415</v>
      </c>
      <c r="AF569" t="s">
        <v>74</v>
      </c>
      <c r="AG569">
        <v>36</v>
      </c>
      <c r="AH569">
        <v>0</v>
      </c>
      <c r="AI569">
        <v>0</v>
      </c>
      <c r="AJ569">
        <v>5</v>
      </c>
      <c r="AK569">
        <v>5</v>
      </c>
      <c r="AL569" t="s">
        <v>707</v>
      </c>
      <c r="AM569" t="s">
        <v>246</v>
      </c>
      <c r="AN569" t="s">
        <v>708</v>
      </c>
      <c r="AO569" t="s">
        <v>709</v>
      </c>
      <c r="AP569" t="s">
        <v>710</v>
      </c>
      <c r="AQ569" t="s">
        <v>74</v>
      </c>
      <c r="AR569" t="s">
        <v>711</v>
      </c>
      <c r="AS569" t="s">
        <v>712</v>
      </c>
      <c r="AT569" t="s">
        <v>1008</v>
      </c>
      <c r="AU569">
        <v>2025</v>
      </c>
      <c r="AV569">
        <v>199</v>
      </c>
      <c r="AW569" t="s">
        <v>74</v>
      </c>
      <c r="AX569" t="s">
        <v>74</v>
      </c>
      <c r="AY569" t="s">
        <v>74</v>
      </c>
      <c r="AZ569" t="s">
        <v>74</v>
      </c>
      <c r="BA569" t="s">
        <v>74</v>
      </c>
      <c r="BB569" t="s">
        <v>74</v>
      </c>
      <c r="BC569" t="s">
        <v>74</v>
      </c>
      <c r="BD569">
        <v>110740</v>
      </c>
      <c r="BE569" t="s">
        <v>9416</v>
      </c>
      <c r="BF569" t="str">
        <f>HYPERLINK("http://dx.doi.org/10.1016/j.cie.2024.110740","http://dx.doi.org/10.1016/j.cie.2024.110740")</f>
        <v>http://dx.doi.org/10.1016/j.cie.2024.110740</v>
      </c>
      <c r="BG569" t="s">
        <v>74</v>
      </c>
      <c r="BH569" t="s">
        <v>1174</v>
      </c>
      <c r="BI569">
        <v>8</v>
      </c>
      <c r="BJ569" t="s">
        <v>715</v>
      </c>
      <c r="BK569" t="s">
        <v>149</v>
      </c>
      <c r="BL569" t="s">
        <v>716</v>
      </c>
      <c r="BM569" t="s">
        <v>9417</v>
      </c>
      <c r="BN569" t="s">
        <v>74</v>
      </c>
      <c r="BO569" t="s">
        <v>74</v>
      </c>
      <c r="BP569" t="s">
        <v>74</v>
      </c>
      <c r="BQ569" t="s">
        <v>74</v>
      </c>
      <c r="BR569" t="s">
        <v>104</v>
      </c>
      <c r="BS569" t="s">
        <v>9418</v>
      </c>
      <c r="BT569" t="str">
        <f>HYPERLINK("https%3A%2F%2Fwww.webofscience.com%2Fwos%2Fwoscc%2Ffull-record%2FWOS:001367824600001","View Full Record in Web of Science")</f>
        <v>View Full Record in Web of Science</v>
      </c>
    </row>
    <row r="570" spans="1:72" x14ac:dyDescent="0.25">
      <c r="A570" t="s">
        <v>72</v>
      </c>
      <c r="B570" t="s">
        <v>9419</v>
      </c>
      <c r="C570" t="s">
        <v>74</v>
      </c>
      <c r="D570" t="s">
        <v>74</v>
      </c>
      <c r="E570" t="s">
        <v>74</v>
      </c>
      <c r="F570" t="s">
        <v>9420</v>
      </c>
      <c r="G570" t="s">
        <v>74</v>
      </c>
      <c r="H570" t="s">
        <v>74</v>
      </c>
      <c r="I570" t="s">
        <v>9421</v>
      </c>
      <c r="J570" t="s">
        <v>128</v>
      </c>
      <c r="K570" t="s">
        <v>74</v>
      </c>
      <c r="L570" t="s">
        <v>74</v>
      </c>
      <c r="M570" t="s">
        <v>78</v>
      </c>
      <c r="N570" t="s">
        <v>79</v>
      </c>
      <c r="O570" t="s">
        <v>74</v>
      </c>
      <c r="P570" t="s">
        <v>74</v>
      </c>
      <c r="Q570" t="s">
        <v>74</v>
      </c>
      <c r="R570" t="s">
        <v>74</v>
      </c>
      <c r="S570" t="s">
        <v>74</v>
      </c>
      <c r="T570" t="s">
        <v>9422</v>
      </c>
      <c r="U570" t="s">
        <v>9423</v>
      </c>
      <c r="V570" t="s">
        <v>9424</v>
      </c>
      <c r="W570" t="s">
        <v>9425</v>
      </c>
      <c r="X570" t="s">
        <v>9426</v>
      </c>
      <c r="Y570" t="s">
        <v>2935</v>
      </c>
      <c r="Z570" t="s">
        <v>2083</v>
      </c>
      <c r="AA570" t="s">
        <v>9427</v>
      </c>
      <c r="AB570" t="s">
        <v>9010</v>
      </c>
      <c r="AC570" t="s">
        <v>9428</v>
      </c>
      <c r="AD570" t="s">
        <v>9429</v>
      </c>
      <c r="AE570" t="s">
        <v>9430</v>
      </c>
      <c r="AF570" t="s">
        <v>74</v>
      </c>
      <c r="AG570">
        <v>55</v>
      </c>
      <c r="AH570">
        <v>12</v>
      </c>
      <c r="AI570">
        <v>12</v>
      </c>
      <c r="AJ570">
        <v>9</v>
      </c>
      <c r="AK570">
        <v>36</v>
      </c>
      <c r="AL570" t="s">
        <v>138</v>
      </c>
      <c r="AM570" t="s">
        <v>139</v>
      </c>
      <c r="AN570" t="s">
        <v>140</v>
      </c>
      <c r="AO570" t="s">
        <v>141</v>
      </c>
      <c r="AP570" t="s">
        <v>142</v>
      </c>
      <c r="AQ570" t="s">
        <v>74</v>
      </c>
      <c r="AR570" t="s">
        <v>143</v>
      </c>
      <c r="AS570" t="s">
        <v>144</v>
      </c>
      <c r="AT570" t="s">
        <v>1008</v>
      </c>
      <c r="AU570">
        <v>2024</v>
      </c>
      <c r="AV570">
        <v>241</v>
      </c>
      <c r="AW570" t="s">
        <v>74</v>
      </c>
      <c r="AX570" t="s">
        <v>74</v>
      </c>
      <c r="AY570" t="s">
        <v>74</v>
      </c>
      <c r="AZ570" t="s">
        <v>74</v>
      </c>
      <c r="BA570" t="s">
        <v>74</v>
      </c>
      <c r="BB570" t="s">
        <v>74</v>
      </c>
      <c r="BC570" t="s">
        <v>74</v>
      </c>
      <c r="BD570">
        <v>109629</v>
      </c>
      <c r="BE570" t="s">
        <v>9431</v>
      </c>
      <c r="BF570" t="str">
        <f>HYPERLINK("http://dx.doi.org/10.1016/j.ress.2023.109629","http://dx.doi.org/10.1016/j.ress.2023.109629")</f>
        <v>http://dx.doi.org/10.1016/j.ress.2023.109629</v>
      </c>
      <c r="BG570" t="s">
        <v>74</v>
      </c>
      <c r="BH570" t="s">
        <v>147</v>
      </c>
      <c r="BI570">
        <v>15</v>
      </c>
      <c r="BJ570" t="s">
        <v>148</v>
      </c>
      <c r="BK570" t="s">
        <v>149</v>
      </c>
      <c r="BL570" t="s">
        <v>150</v>
      </c>
      <c r="BM570" t="s">
        <v>9432</v>
      </c>
      <c r="BN570" t="s">
        <v>74</v>
      </c>
      <c r="BO570" t="s">
        <v>74</v>
      </c>
      <c r="BP570" t="s">
        <v>74</v>
      </c>
      <c r="BQ570" t="s">
        <v>74</v>
      </c>
      <c r="BR570" t="s">
        <v>104</v>
      </c>
      <c r="BS570" t="s">
        <v>9433</v>
      </c>
      <c r="BT570" t="str">
        <f>HYPERLINK("https%3A%2F%2Fwww.webofscience.com%2Fwos%2Fwoscc%2Ffull-record%2FWOS:001082515500001","View Full Record in Web of Science")</f>
        <v>View Full Record in Web of Science</v>
      </c>
    </row>
    <row r="571" spans="1:72" x14ac:dyDescent="0.25">
      <c r="A571" t="s">
        <v>72</v>
      </c>
      <c r="B571" t="s">
        <v>9434</v>
      </c>
      <c r="C571" t="s">
        <v>74</v>
      </c>
      <c r="D571" t="s">
        <v>74</v>
      </c>
      <c r="E571" t="s">
        <v>74</v>
      </c>
      <c r="F571" t="s">
        <v>9435</v>
      </c>
      <c r="G571" t="s">
        <v>74</v>
      </c>
      <c r="H571" t="s">
        <v>74</v>
      </c>
      <c r="I571" t="s">
        <v>9436</v>
      </c>
      <c r="J571" t="s">
        <v>9437</v>
      </c>
      <c r="K571" t="s">
        <v>74</v>
      </c>
      <c r="L571" t="s">
        <v>74</v>
      </c>
      <c r="M571" t="s">
        <v>78</v>
      </c>
      <c r="N571" t="s">
        <v>79</v>
      </c>
      <c r="O571" t="s">
        <v>74</v>
      </c>
      <c r="P571" t="s">
        <v>74</v>
      </c>
      <c r="Q571" t="s">
        <v>74</v>
      </c>
      <c r="R571" t="s">
        <v>74</v>
      </c>
      <c r="S571" t="s">
        <v>74</v>
      </c>
      <c r="T571" t="s">
        <v>9438</v>
      </c>
      <c r="U571" t="s">
        <v>9439</v>
      </c>
      <c r="V571" t="s">
        <v>9440</v>
      </c>
      <c r="W571" t="s">
        <v>9441</v>
      </c>
      <c r="X571" t="s">
        <v>9442</v>
      </c>
      <c r="Y571" t="s">
        <v>9443</v>
      </c>
      <c r="Z571" t="s">
        <v>9444</v>
      </c>
      <c r="AA571" t="s">
        <v>9445</v>
      </c>
      <c r="AB571" t="s">
        <v>74</v>
      </c>
      <c r="AC571" t="s">
        <v>74</v>
      </c>
      <c r="AD571" t="s">
        <v>74</v>
      </c>
      <c r="AE571" t="s">
        <v>74</v>
      </c>
      <c r="AF571" t="s">
        <v>74</v>
      </c>
      <c r="AG571">
        <v>50</v>
      </c>
      <c r="AH571">
        <v>0</v>
      </c>
      <c r="AI571">
        <v>0</v>
      </c>
      <c r="AJ571">
        <v>1</v>
      </c>
      <c r="AK571">
        <v>2</v>
      </c>
      <c r="AL571" t="s">
        <v>9446</v>
      </c>
      <c r="AM571" t="s">
        <v>9447</v>
      </c>
      <c r="AN571" t="s">
        <v>9448</v>
      </c>
      <c r="AO571" t="s">
        <v>9449</v>
      </c>
      <c r="AP571" t="s">
        <v>9450</v>
      </c>
      <c r="AQ571" t="s">
        <v>74</v>
      </c>
      <c r="AR571" t="s">
        <v>9451</v>
      </c>
      <c r="AS571" t="s">
        <v>9452</v>
      </c>
      <c r="AT571" t="s">
        <v>74</v>
      </c>
      <c r="AU571">
        <v>2024</v>
      </c>
      <c r="AV571">
        <v>23</v>
      </c>
      <c r="AW571">
        <v>4</v>
      </c>
      <c r="AX571" t="s">
        <v>74</v>
      </c>
      <c r="AY571" t="s">
        <v>74</v>
      </c>
      <c r="AZ571" t="s">
        <v>74</v>
      </c>
      <c r="BA571" t="s">
        <v>74</v>
      </c>
      <c r="BB571" t="s">
        <v>74</v>
      </c>
      <c r="BC571" t="s">
        <v>74</v>
      </c>
      <c r="BD571" t="s">
        <v>74</v>
      </c>
      <c r="BE571" t="s">
        <v>9453</v>
      </c>
      <c r="BF571" t="str">
        <f>HYPERLINK("http://dx.doi.org/10.46873/2300-3960.1429","http://dx.doi.org/10.46873/2300-3960.1429")</f>
        <v>http://dx.doi.org/10.46873/2300-3960.1429</v>
      </c>
      <c r="BG571" t="s">
        <v>74</v>
      </c>
      <c r="BH571" t="s">
        <v>74</v>
      </c>
      <c r="BI571">
        <v>17</v>
      </c>
      <c r="BJ571" t="s">
        <v>9454</v>
      </c>
      <c r="BK571" t="s">
        <v>101</v>
      </c>
      <c r="BL571" t="s">
        <v>9455</v>
      </c>
      <c r="BM571" t="s">
        <v>9456</v>
      </c>
      <c r="BN571" t="s">
        <v>74</v>
      </c>
      <c r="BO571" t="s">
        <v>208</v>
      </c>
      <c r="BP571" t="s">
        <v>74</v>
      </c>
      <c r="BQ571" t="s">
        <v>74</v>
      </c>
      <c r="BR571" t="s">
        <v>104</v>
      </c>
      <c r="BS571" t="s">
        <v>9457</v>
      </c>
      <c r="BT571" t="str">
        <f>HYPERLINK("https%3A%2F%2Fwww.webofscience.com%2Fwos%2Fwoscc%2Ffull-record%2FWOS:001296936400004","View Full Record in Web of Science")</f>
        <v>View Full Record in Web of Science</v>
      </c>
    </row>
    <row r="572" spans="1:72" x14ac:dyDescent="0.25">
      <c r="A572" t="s">
        <v>72</v>
      </c>
      <c r="B572" t="s">
        <v>9458</v>
      </c>
      <c r="C572" t="s">
        <v>74</v>
      </c>
      <c r="D572" t="s">
        <v>74</v>
      </c>
      <c r="E572" t="s">
        <v>74</v>
      </c>
      <c r="F572" t="s">
        <v>9459</v>
      </c>
      <c r="G572" t="s">
        <v>74</v>
      </c>
      <c r="H572" t="s">
        <v>74</v>
      </c>
      <c r="I572" t="s">
        <v>9460</v>
      </c>
      <c r="J572" t="s">
        <v>1557</v>
      </c>
      <c r="K572" t="s">
        <v>74</v>
      </c>
      <c r="L572" t="s">
        <v>74</v>
      </c>
      <c r="M572" t="s">
        <v>78</v>
      </c>
      <c r="N572" t="s">
        <v>79</v>
      </c>
      <c r="O572" t="s">
        <v>74</v>
      </c>
      <c r="P572" t="s">
        <v>74</v>
      </c>
      <c r="Q572" t="s">
        <v>74</v>
      </c>
      <c r="R572" t="s">
        <v>74</v>
      </c>
      <c r="S572" t="s">
        <v>74</v>
      </c>
      <c r="T572" t="s">
        <v>9461</v>
      </c>
      <c r="U572" t="s">
        <v>9462</v>
      </c>
      <c r="V572" t="s">
        <v>9463</v>
      </c>
      <c r="W572" t="s">
        <v>9464</v>
      </c>
      <c r="X572" t="s">
        <v>9465</v>
      </c>
      <c r="Y572" t="s">
        <v>9466</v>
      </c>
      <c r="Z572" t="s">
        <v>9467</v>
      </c>
      <c r="AA572" t="s">
        <v>9468</v>
      </c>
      <c r="AB572" t="s">
        <v>9469</v>
      </c>
      <c r="AC572" t="s">
        <v>74</v>
      </c>
      <c r="AD572" t="s">
        <v>74</v>
      </c>
      <c r="AE572" t="s">
        <v>74</v>
      </c>
      <c r="AF572" t="s">
        <v>74</v>
      </c>
      <c r="AG572">
        <v>36</v>
      </c>
      <c r="AH572">
        <v>16</v>
      </c>
      <c r="AI572">
        <v>18</v>
      </c>
      <c r="AJ572">
        <v>2</v>
      </c>
      <c r="AK572">
        <v>12</v>
      </c>
      <c r="AL572" t="s">
        <v>707</v>
      </c>
      <c r="AM572" t="s">
        <v>246</v>
      </c>
      <c r="AN572" t="s">
        <v>708</v>
      </c>
      <c r="AO572" t="s">
        <v>1569</v>
      </c>
      <c r="AP572" t="s">
        <v>1570</v>
      </c>
      <c r="AQ572" t="s">
        <v>74</v>
      </c>
      <c r="AR572" t="s">
        <v>1571</v>
      </c>
      <c r="AS572" t="s">
        <v>1572</v>
      </c>
      <c r="AT572" t="s">
        <v>1008</v>
      </c>
      <c r="AU572">
        <v>2019</v>
      </c>
      <c r="AV572">
        <v>115</v>
      </c>
      <c r="AW572" t="s">
        <v>74</v>
      </c>
      <c r="AX572" t="s">
        <v>74</v>
      </c>
      <c r="AY572" t="s">
        <v>74</v>
      </c>
      <c r="AZ572" t="s">
        <v>74</v>
      </c>
      <c r="BA572" t="s">
        <v>74</v>
      </c>
      <c r="BB572">
        <v>57</v>
      </c>
      <c r="BC572">
        <v>67</v>
      </c>
      <c r="BD572" t="s">
        <v>74</v>
      </c>
      <c r="BE572" t="s">
        <v>9470</v>
      </c>
      <c r="BF572" t="str">
        <f>HYPERLINK("http://dx.doi.org/10.1016/j.eswa.2018.07.066","http://dx.doi.org/10.1016/j.eswa.2018.07.066")</f>
        <v>http://dx.doi.org/10.1016/j.eswa.2018.07.066</v>
      </c>
      <c r="BG572" t="s">
        <v>74</v>
      </c>
      <c r="BH572" t="s">
        <v>74</v>
      </c>
      <c r="BI572">
        <v>11</v>
      </c>
      <c r="BJ572" t="s">
        <v>1575</v>
      </c>
      <c r="BK572" t="s">
        <v>149</v>
      </c>
      <c r="BL572" t="s">
        <v>1576</v>
      </c>
      <c r="BM572" t="s">
        <v>9471</v>
      </c>
      <c r="BN572" t="s">
        <v>74</v>
      </c>
      <c r="BO572" t="s">
        <v>758</v>
      </c>
      <c r="BP572" t="s">
        <v>74</v>
      </c>
      <c r="BQ572" t="s">
        <v>74</v>
      </c>
      <c r="BR572" t="s">
        <v>104</v>
      </c>
      <c r="BS572" t="s">
        <v>9472</v>
      </c>
      <c r="BT572" t="str">
        <f>HYPERLINK("https%3A%2F%2Fwww.webofscience.com%2Fwos%2Fwoscc%2Ffull-record%2FWOS:000448097700005","View Full Record in Web of Science")</f>
        <v>View Full Record in Web of Science</v>
      </c>
    </row>
    <row r="573" spans="1:72" x14ac:dyDescent="0.25">
      <c r="A573" t="s">
        <v>72</v>
      </c>
      <c r="B573" t="s">
        <v>9473</v>
      </c>
      <c r="C573" t="s">
        <v>74</v>
      </c>
      <c r="D573" t="s">
        <v>74</v>
      </c>
      <c r="E573" t="s">
        <v>74</v>
      </c>
      <c r="F573" t="s">
        <v>9474</v>
      </c>
      <c r="G573" t="s">
        <v>74</v>
      </c>
      <c r="H573" t="s">
        <v>74</v>
      </c>
      <c r="I573" t="s">
        <v>9475</v>
      </c>
      <c r="J573" t="s">
        <v>128</v>
      </c>
      <c r="K573" t="s">
        <v>74</v>
      </c>
      <c r="L573" t="s">
        <v>74</v>
      </c>
      <c r="M573" t="s">
        <v>78</v>
      </c>
      <c r="N573" t="s">
        <v>79</v>
      </c>
      <c r="O573" t="s">
        <v>74</v>
      </c>
      <c r="P573" t="s">
        <v>74</v>
      </c>
      <c r="Q573" t="s">
        <v>74</v>
      </c>
      <c r="R573" t="s">
        <v>74</v>
      </c>
      <c r="S573" t="s">
        <v>74</v>
      </c>
      <c r="T573" t="s">
        <v>9476</v>
      </c>
      <c r="U573" t="s">
        <v>9477</v>
      </c>
      <c r="V573" t="s">
        <v>9478</v>
      </c>
      <c r="W573" t="s">
        <v>9479</v>
      </c>
      <c r="X573" t="s">
        <v>3361</v>
      </c>
      <c r="Y573" t="s">
        <v>2315</v>
      </c>
      <c r="Z573" t="s">
        <v>3363</v>
      </c>
      <c r="AA573" t="s">
        <v>3960</v>
      </c>
      <c r="AB573" t="s">
        <v>1299</v>
      </c>
      <c r="AC573" t="s">
        <v>9480</v>
      </c>
      <c r="AD573" t="s">
        <v>5498</v>
      </c>
      <c r="AE573" t="s">
        <v>9481</v>
      </c>
      <c r="AF573" t="s">
        <v>74</v>
      </c>
      <c r="AG573">
        <v>49</v>
      </c>
      <c r="AH573">
        <v>32</v>
      </c>
      <c r="AI573">
        <v>32</v>
      </c>
      <c r="AJ573">
        <v>16</v>
      </c>
      <c r="AK573">
        <v>49</v>
      </c>
      <c r="AL573" t="s">
        <v>138</v>
      </c>
      <c r="AM573" t="s">
        <v>139</v>
      </c>
      <c r="AN573" t="s">
        <v>140</v>
      </c>
      <c r="AO573" t="s">
        <v>141</v>
      </c>
      <c r="AP573" t="s">
        <v>142</v>
      </c>
      <c r="AQ573" t="s">
        <v>74</v>
      </c>
      <c r="AR573" t="s">
        <v>143</v>
      </c>
      <c r="AS573" t="s">
        <v>144</v>
      </c>
      <c r="AT573" t="s">
        <v>533</v>
      </c>
      <c r="AU573">
        <v>2023</v>
      </c>
      <c r="AV573">
        <v>230</v>
      </c>
      <c r="AW573" t="s">
        <v>74</v>
      </c>
      <c r="AX573" t="s">
        <v>74</v>
      </c>
      <c r="AY573" t="s">
        <v>74</v>
      </c>
      <c r="AZ573" t="s">
        <v>74</v>
      </c>
      <c r="BA573" t="s">
        <v>74</v>
      </c>
      <c r="BB573" t="s">
        <v>74</v>
      </c>
      <c r="BC573" t="s">
        <v>74</v>
      </c>
      <c r="BD573">
        <v>108948</v>
      </c>
      <c r="BE573" t="s">
        <v>9482</v>
      </c>
      <c r="BF573" t="str">
        <f>HYPERLINK("http://dx.doi.org/10.1016/j.ress.2022.108948","http://dx.doi.org/10.1016/j.ress.2022.108948")</f>
        <v>http://dx.doi.org/10.1016/j.ress.2022.108948</v>
      </c>
      <c r="BG573" t="s">
        <v>74</v>
      </c>
      <c r="BH573" t="s">
        <v>3031</v>
      </c>
      <c r="BI573">
        <v>13</v>
      </c>
      <c r="BJ573" t="s">
        <v>148</v>
      </c>
      <c r="BK573" t="s">
        <v>149</v>
      </c>
      <c r="BL573" t="s">
        <v>150</v>
      </c>
      <c r="BM573" t="s">
        <v>9483</v>
      </c>
      <c r="BN573" t="s">
        <v>74</v>
      </c>
      <c r="BO573" t="s">
        <v>74</v>
      </c>
      <c r="BP573" t="s">
        <v>74</v>
      </c>
      <c r="BQ573" t="s">
        <v>74</v>
      </c>
      <c r="BR573" t="s">
        <v>104</v>
      </c>
      <c r="BS573" t="s">
        <v>9484</v>
      </c>
      <c r="BT573" t="str">
        <f>HYPERLINK("https%3A%2F%2Fwww.webofscience.com%2Fwos%2Fwoscc%2Ffull-record%2FWOS:000911018600002","View Full Record in Web of Science")</f>
        <v>View Full Record in Web of Science</v>
      </c>
    </row>
    <row r="574" spans="1:72" x14ac:dyDescent="0.25">
      <c r="A574" t="s">
        <v>72</v>
      </c>
      <c r="B574" t="s">
        <v>9485</v>
      </c>
      <c r="C574" t="s">
        <v>74</v>
      </c>
      <c r="D574" t="s">
        <v>74</v>
      </c>
      <c r="E574" t="s">
        <v>74</v>
      </c>
      <c r="F574" t="s">
        <v>9486</v>
      </c>
      <c r="G574" t="s">
        <v>74</v>
      </c>
      <c r="H574" t="s">
        <v>74</v>
      </c>
      <c r="I574" t="s">
        <v>9487</v>
      </c>
      <c r="J574" t="s">
        <v>472</v>
      </c>
      <c r="K574" t="s">
        <v>74</v>
      </c>
      <c r="L574" t="s">
        <v>74</v>
      </c>
      <c r="M574" t="s">
        <v>78</v>
      </c>
      <c r="N574" t="s">
        <v>79</v>
      </c>
      <c r="O574" t="s">
        <v>74</v>
      </c>
      <c r="P574" t="s">
        <v>74</v>
      </c>
      <c r="Q574" t="s">
        <v>74</v>
      </c>
      <c r="R574" t="s">
        <v>74</v>
      </c>
      <c r="S574" t="s">
        <v>74</v>
      </c>
      <c r="T574" t="s">
        <v>9488</v>
      </c>
      <c r="U574" t="s">
        <v>9489</v>
      </c>
      <c r="V574" t="s">
        <v>9490</v>
      </c>
      <c r="W574" t="s">
        <v>9491</v>
      </c>
      <c r="X574" t="s">
        <v>9492</v>
      </c>
      <c r="Y574" t="s">
        <v>9493</v>
      </c>
      <c r="Z574" t="s">
        <v>9494</v>
      </c>
      <c r="AA574" t="s">
        <v>9495</v>
      </c>
      <c r="AB574" t="s">
        <v>9496</v>
      </c>
      <c r="AC574" t="s">
        <v>9497</v>
      </c>
      <c r="AD574" t="s">
        <v>9498</v>
      </c>
      <c r="AE574" t="s">
        <v>9499</v>
      </c>
      <c r="AF574" t="s">
        <v>74</v>
      </c>
      <c r="AG574">
        <v>67</v>
      </c>
      <c r="AH574">
        <v>7</v>
      </c>
      <c r="AI574">
        <v>7</v>
      </c>
      <c r="AJ574">
        <v>7</v>
      </c>
      <c r="AK574">
        <v>34</v>
      </c>
      <c r="AL574" t="s">
        <v>484</v>
      </c>
      <c r="AM574" t="s">
        <v>485</v>
      </c>
      <c r="AN574" t="s">
        <v>486</v>
      </c>
      <c r="AO574" t="s">
        <v>487</v>
      </c>
      <c r="AP574" t="s">
        <v>488</v>
      </c>
      <c r="AQ574" t="s">
        <v>74</v>
      </c>
      <c r="AR574" t="s">
        <v>489</v>
      </c>
      <c r="AS574" t="s">
        <v>490</v>
      </c>
      <c r="AT574" t="s">
        <v>248</v>
      </c>
      <c r="AU574">
        <v>2023</v>
      </c>
      <c r="AV574">
        <v>39</v>
      </c>
      <c r="AW574">
        <v>5</v>
      </c>
      <c r="AX574" t="s">
        <v>74</v>
      </c>
      <c r="AY574" t="s">
        <v>74</v>
      </c>
      <c r="AZ574" t="s">
        <v>560</v>
      </c>
      <c r="BA574" t="s">
        <v>74</v>
      </c>
      <c r="BB574">
        <v>1660</v>
      </c>
      <c r="BC574">
        <v>1680</v>
      </c>
      <c r="BD574" t="s">
        <v>74</v>
      </c>
      <c r="BE574" t="s">
        <v>9500</v>
      </c>
      <c r="BF574" t="str">
        <f>HYPERLINK("http://dx.doi.org/10.1002/qre.3272","http://dx.doi.org/10.1002/qre.3272")</f>
        <v>http://dx.doi.org/10.1002/qre.3272</v>
      </c>
      <c r="BG574" t="s">
        <v>74</v>
      </c>
      <c r="BH574" t="s">
        <v>2984</v>
      </c>
      <c r="BI574">
        <v>21</v>
      </c>
      <c r="BJ574" t="s">
        <v>494</v>
      </c>
      <c r="BK574" t="s">
        <v>149</v>
      </c>
      <c r="BL574" t="s">
        <v>150</v>
      </c>
      <c r="BM574" t="s">
        <v>659</v>
      </c>
      <c r="BN574" t="s">
        <v>74</v>
      </c>
      <c r="BO574" t="s">
        <v>74</v>
      </c>
      <c r="BP574" t="s">
        <v>74</v>
      </c>
      <c r="BQ574" t="s">
        <v>74</v>
      </c>
      <c r="BR574" t="s">
        <v>104</v>
      </c>
      <c r="BS574" t="s">
        <v>9501</v>
      </c>
      <c r="BT574" t="str">
        <f>HYPERLINK("https%3A%2F%2Fwww.webofscience.com%2Fwos%2Fwoscc%2Ffull-record%2FWOS:000926753000001","View Full Record in Web of Science")</f>
        <v>View Full Record in Web of Science</v>
      </c>
    </row>
    <row r="575" spans="1:72" x14ac:dyDescent="0.25">
      <c r="A575" t="s">
        <v>72</v>
      </c>
      <c r="B575" t="s">
        <v>9502</v>
      </c>
      <c r="C575" t="s">
        <v>74</v>
      </c>
      <c r="D575" t="s">
        <v>74</v>
      </c>
      <c r="E575" t="s">
        <v>74</v>
      </c>
      <c r="F575" t="s">
        <v>9503</v>
      </c>
      <c r="G575" t="s">
        <v>74</v>
      </c>
      <c r="H575" t="s">
        <v>74</v>
      </c>
      <c r="I575" t="s">
        <v>9504</v>
      </c>
      <c r="J575" t="s">
        <v>8351</v>
      </c>
      <c r="K575" t="s">
        <v>74</v>
      </c>
      <c r="L575" t="s">
        <v>74</v>
      </c>
      <c r="M575" t="s">
        <v>78</v>
      </c>
      <c r="N575" t="s">
        <v>79</v>
      </c>
      <c r="O575" t="s">
        <v>74</v>
      </c>
      <c r="P575" t="s">
        <v>74</v>
      </c>
      <c r="Q575" t="s">
        <v>74</v>
      </c>
      <c r="R575" t="s">
        <v>74</v>
      </c>
      <c r="S575" t="s">
        <v>74</v>
      </c>
      <c r="T575" t="s">
        <v>74</v>
      </c>
      <c r="U575" t="s">
        <v>9505</v>
      </c>
      <c r="V575" t="s">
        <v>9506</v>
      </c>
      <c r="W575" t="s">
        <v>9507</v>
      </c>
      <c r="X575" t="s">
        <v>9508</v>
      </c>
      <c r="Y575" t="s">
        <v>9509</v>
      </c>
      <c r="Z575" t="s">
        <v>9510</v>
      </c>
      <c r="AA575" t="s">
        <v>9511</v>
      </c>
      <c r="AB575" t="s">
        <v>9512</v>
      </c>
      <c r="AC575" t="s">
        <v>9513</v>
      </c>
      <c r="AD575" t="s">
        <v>9514</v>
      </c>
      <c r="AE575" t="s">
        <v>9515</v>
      </c>
      <c r="AF575" t="s">
        <v>74</v>
      </c>
      <c r="AG575">
        <v>63</v>
      </c>
      <c r="AH575">
        <v>2</v>
      </c>
      <c r="AI575">
        <v>2</v>
      </c>
      <c r="AJ575">
        <v>11</v>
      </c>
      <c r="AK575">
        <v>16</v>
      </c>
      <c r="AL575" t="s">
        <v>509</v>
      </c>
      <c r="AM575" t="s">
        <v>510</v>
      </c>
      <c r="AN575" t="s">
        <v>511</v>
      </c>
      <c r="AO575" t="s">
        <v>8360</v>
      </c>
      <c r="AP575" t="s">
        <v>8361</v>
      </c>
      <c r="AQ575" t="s">
        <v>74</v>
      </c>
      <c r="AR575" t="s">
        <v>8362</v>
      </c>
      <c r="AS575" t="s">
        <v>8363</v>
      </c>
      <c r="AT575" t="s">
        <v>205</v>
      </c>
      <c r="AU575">
        <v>2024</v>
      </c>
      <c r="AV575">
        <v>177</v>
      </c>
      <c r="AW575" t="s">
        <v>74</v>
      </c>
      <c r="AX575" t="s">
        <v>74</v>
      </c>
      <c r="AY575" t="s">
        <v>74</v>
      </c>
      <c r="AZ575" t="s">
        <v>74</v>
      </c>
      <c r="BA575" t="s">
        <v>74</v>
      </c>
      <c r="BB575" t="s">
        <v>74</v>
      </c>
      <c r="BC575" t="s">
        <v>74</v>
      </c>
      <c r="BD575">
        <v>106570</v>
      </c>
      <c r="BE575" t="s">
        <v>9516</v>
      </c>
      <c r="BF575" t="str">
        <f>HYPERLINK("http://dx.doi.org/10.1016/j.ssci.2024.106570","http://dx.doi.org/10.1016/j.ssci.2024.106570")</f>
        <v>http://dx.doi.org/10.1016/j.ssci.2024.106570</v>
      </c>
      <c r="BG575" t="s">
        <v>74</v>
      </c>
      <c r="BH575" t="s">
        <v>361</v>
      </c>
      <c r="BI575">
        <v>15</v>
      </c>
      <c r="BJ575" t="s">
        <v>148</v>
      </c>
      <c r="BK575" t="s">
        <v>149</v>
      </c>
      <c r="BL575" t="s">
        <v>150</v>
      </c>
      <c r="BM575" t="s">
        <v>9517</v>
      </c>
      <c r="BN575" t="s">
        <v>74</v>
      </c>
      <c r="BO575" t="s">
        <v>123</v>
      </c>
      <c r="BP575" t="s">
        <v>74</v>
      </c>
      <c r="BQ575" t="s">
        <v>74</v>
      </c>
      <c r="BR575" t="s">
        <v>104</v>
      </c>
      <c r="BS575" t="s">
        <v>9518</v>
      </c>
      <c r="BT575" t="str">
        <f>HYPERLINK("https%3A%2F%2Fwww.webofscience.com%2Fwos%2Fwoscc%2Ffull-record%2FWOS:001251495800001","View Full Record in Web of Science")</f>
        <v>View Full Record in Web of Science</v>
      </c>
    </row>
    <row r="576" spans="1:72" x14ac:dyDescent="0.25">
      <c r="A576" t="s">
        <v>72</v>
      </c>
      <c r="B576" t="s">
        <v>9519</v>
      </c>
      <c r="C576" t="s">
        <v>74</v>
      </c>
      <c r="D576" t="s">
        <v>74</v>
      </c>
      <c r="E576" t="s">
        <v>74</v>
      </c>
      <c r="F576" t="s">
        <v>9520</v>
      </c>
      <c r="G576" t="s">
        <v>74</v>
      </c>
      <c r="H576" t="s">
        <v>74</v>
      </c>
      <c r="I576" t="s">
        <v>9521</v>
      </c>
      <c r="J576" t="s">
        <v>940</v>
      </c>
      <c r="K576" t="s">
        <v>74</v>
      </c>
      <c r="L576" t="s">
        <v>74</v>
      </c>
      <c r="M576" t="s">
        <v>78</v>
      </c>
      <c r="N576" t="s">
        <v>79</v>
      </c>
      <c r="O576" t="s">
        <v>74</v>
      </c>
      <c r="P576" t="s">
        <v>74</v>
      </c>
      <c r="Q576" t="s">
        <v>74</v>
      </c>
      <c r="R576" t="s">
        <v>74</v>
      </c>
      <c r="S576" t="s">
        <v>74</v>
      </c>
      <c r="T576" t="s">
        <v>9522</v>
      </c>
      <c r="U576" t="s">
        <v>9523</v>
      </c>
      <c r="V576" t="s">
        <v>9524</v>
      </c>
      <c r="W576" t="s">
        <v>9525</v>
      </c>
      <c r="X576" t="s">
        <v>2839</v>
      </c>
      <c r="Y576" t="s">
        <v>9526</v>
      </c>
      <c r="Z576" t="s">
        <v>9527</v>
      </c>
      <c r="AA576" t="s">
        <v>74</v>
      </c>
      <c r="AB576" t="s">
        <v>9528</v>
      </c>
      <c r="AC576" t="s">
        <v>9529</v>
      </c>
      <c r="AD576" t="s">
        <v>9529</v>
      </c>
      <c r="AE576" t="s">
        <v>5049</v>
      </c>
      <c r="AF576" t="s">
        <v>74</v>
      </c>
      <c r="AG576">
        <v>50</v>
      </c>
      <c r="AH576">
        <v>0</v>
      </c>
      <c r="AI576">
        <v>0</v>
      </c>
      <c r="AJ576">
        <v>11</v>
      </c>
      <c r="AK576">
        <v>21</v>
      </c>
      <c r="AL576" t="s">
        <v>220</v>
      </c>
      <c r="AM576" t="s">
        <v>221</v>
      </c>
      <c r="AN576" t="s">
        <v>222</v>
      </c>
      <c r="AO576" t="s">
        <v>950</v>
      </c>
      <c r="AP576" t="s">
        <v>951</v>
      </c>
      <c r="AQ576" t="s">
        <v>74</v>
      </c>
      <c r="AR576" t="s">
        <v>952</v>
      </c>
      <c r="AS576" t="s">
        <v>953</v>
      </c>
      <c r="AT576" t="s">
        <v>74</v>
      </c>
      <c r="AU576">
        <v>2024</v>
      </c>
      <c r="AV576">
        <v>71</v>
      </c>
      <c r="AW576" t="s">
        <v>74</v>
      </c>
      <c r="AX576" t="s">
        <v>74</v>
      </c>
      <c r="AY576" t="s">
        <v>74</v>
      </c>
      <c r="AZ576" t="s">
        <v>74</v>
      </c>
      <c r="BA576" t="s">
        <v>74</v>
      </c>
      <c r="BB576">
        <v>5869</v>
      </c>
      <c r="BC576">
        <v>5884</v>
      </c>
      <c r="BD576" t="s">
        <v>74</v>
      </c>
      <c r="BE576" t="s">
        <v>9530</v>
      </c>
      <c r="BF576" t="str">
        <f>HYPERLINK("http://dx.doi.org/10.1109/TEM.2024.3370818","http://dx.doi.org/10.1109/TEM.2024.3370818")</f>
        <v>http://dx.doi.org/10.1109/TEM.2024.3370818</v>
      </c>
      <c r="BG576" t="s">
        <v>74</v>
      </c>
      <c r="BH576" t="s">
        <v>74</v>
      </c>
      <c r="BI576">
        <v>16</v>
      </c>
      <c r="BJ576" t="s">
        <v>955</v>
      </c>
      <c r="BK576" t="s">
        <v>322</v>
      </c>
      <c r="BL576" t="s">
        <v>956</v>
      </c>
      <c r="BM576" t="s">
        <v>9531</v>
      </c>
      <c r="BN576" t="s">
        <v>74</v>
      </c>
      <c r="BO576" t="s">
        <v>74</v>
      </c>
      <c r="BP576" t="s">
        <v>74</v>
      </c>
      <c r="BQ576" t="s">
        <v>74</v>
      </c>
      <c r="BR576" t="s">
        <v>104</v>
      </c>
      <c r="BS576" t="s">
        <v>9532</v>
      </c>
      <c r="BT576" t="str">
        <f>HYPERLINK("https%3A%2F%2Fwww.webofscience.com%2Fwos%2Fwoscc%2Ffull-record%2FWOS:001185312100001","View Full Record in Web of Science")</f>
        <v>View Full Record in Web of Science</v>
      </c>
    </row>
    <row r="577" spans="1:72" x14ac:dyDescent="0.25">
      <c r="A577" t="s">
        <v>72</v>
      </c>
      <c r="B577" t="s">
        <v>9533</v>
      </c>
      <c r="C577" t="s">
        <v>74</v>
      </c>
      <c r="D577" t="s">
        <v>74</v>
      </c>
      <c r="E577" t="s">
        <v>74</v>
      </c>
      <c r="F577" t="s">
        <v>9534</v>
      </c>
      <c r="G577" t="s">
        <v>74</v>
      </c>
      <c r="H577" t="s">
        <v>74</v>
      </c>
      <c r="I577" t="s">
        <v>9535</v>
      </c>
      <c r="J577" t="s">
        <v>128</v>
      </c>
      <c r="K577" t="s">
        <v>74</v>
      </c>
      <c r="L577" t="s">
        <v>74</v>
      </c>
      <c r="M577" t="s">
        <v>78</v>
      </c>
      <c r="N577" t="s">
        <v>79</v>
      </c>
      <c r="O577" t="s">
        <v>74</v>
      </c>
      <c r="P577" t="s">
        <v>74</v>
      </c>
      <c r="Q577" t="s">
        <v>74</v>
      </c>
      <c r="R577" t="s">
        <v>74</v>
      </c>
      <c r="S577" t="s">
        <v>74</v>
      </c>
      <c r="T577" t="s">
        <v>9536</v>
      </c>
      <c r="U577" t="s">
        <v>9537</v>
      </c>
      <c r="V577" t="s">
        <v>9538</v>
      </c>
      <c r="W577" t="s">
        <v>9539</v>
      </c>
      <c r="X577" t="s">
        <v>9540</v>
      </c>
      <c r="Y577" t="s">
        <v>9541</v>
      </c>
      <c r="Z577" t="s">
        <v>9542</v>
      </c>
      <c r="AA577" t="s">
        <v>9543</v>
      </c>
      <c r="AB577" t="s">
        <v>9544</v>
      </c>
      <c r="AC577" t="s">
        <v>9545</v>
      </c>
      <c r="AD577" t="s">
        <v>9546</v>
      </c>
      <c r="AE577" t="s">
        <v>9547</v>
      </c>
      <c r="AF577" t="s">
        <v>74</v>
      </c>
      <c r="AG577">
        <v>33</v>
      </c>
      <c r="AH577">
        <v>3</v>
      </c>
      <c r="AI577">
        <v>3</v>
      </c>
      <c r="AJ577">
        <v>6</v>
      </c>
      <c r="AK577">
        <v>11</v>
      </c>
      <c r="AL577" t="s">
        <v>138</v>
      </c>
      <c r="AM577" t="s">
        <v>139</v>
      </c>
      <c r="AN577" t="s">
        <v>140</v>
      </c>
      <c r="AO577" t="s">
        <v>141</v>
      </c>
      <c r="AP577" t="s">
        <v>142</v>
      </c>
      <c r="AQ577" t="s">
        <v>74</v>
      </c>
      <c r="AR577" t="s">
        <v>143</v>
      </c>
      <c r="AS577" t="s">
        <v>144</v>
      </c>
      <c r="AT577" t="s">
        <v>248</v>
      </c>
      <c r="AU577">
        <v>2024</v>
      </c>
      <c r="AV577">
        <v>247</v>
      </c>
      <c r="AW577" t="s">
        <v>74</v>
      </c>
      <c r="AX577" t="s">
        <v>74</v>
      </c>
      <c r="AY577" t="s">
        <v>74</v>
      </c>
      <c r="AZ577" t="s">
        <v>74</v>
      </c>
      <c r="BA577" t="s">
        <v>74</v>
      </c>
      <c r="BB577" t="s">
        <v>74</v>
      </c>
      <c r="BC577" t="s">
        <v>74</v>
      </c>
      <c r="BD577">
        <v>110131</v>
      </c>
      <c r="BE577" t="s">
        <v>9548</v>
      </c>
      <c r="BF577" t="str">
        <f>HYPERLINK("http://dx.doi.org/10.1016/j.ress.2024.110131","http://dx.doi.org/10.1016/j.ress.2024.110131")</f>
        <v>http://dx.doi.org/10.1016/j.ress.2024.110131</v>
      </c>
      <c r="BG577" t="s">
        <v>74</v>
      </c>
      <c r="BH577" t="s">
        <v>2039</v>
      </c>
      <c r="BI577">
        <v>11</v>
      </c>
      <c r="BJ577" t="s">
        <v>148</v>
      </c>
      <c r="BK577" t="s">
        <v>149</v>
      </c>
      <c r="BL577" t="s">
        <v>150</v>
      </c>
      <c r="BM577" t="s">
        <v>9549</v>
      </c>
      <c r="BN577" t="s">
        <v>74</v>
      </c>
      <c r="BO577" t="s">
        <v>74</v>
      </c>
      <c r="BP577" t="s">
        <v>74</v>
      </c>
      <c r="BQ577" t="s">
        <v>74</v>
      </c>
      <c r="BR577" t="s">
        <v>104</v>
      </c>
      <c r="BS577" t="s">
        <v>9550</v>
      </c>
      <c r="BT577" t="str">
        <f>HYPERLINK("https%3A%2F%2Fwww.webofscience.com%2Fwos%2Fwoscc%2Ffull-record%2FWOS:001224253600001","View Full Record in Web of Science")</f>
        <v>View Full Record in Web of Science</v>
      </c>
    </row>
    <row r="578" spans="1:72" x14ac:dyDescent="0.25">
      <c r="A578" t="s">
        <v>72</v>
      </c>
      <c r="B578" t="s">
        <v>9551</v>
      </c>
      <c r="C578" t="s">
        <v>74</v>
      </c>
      <c r="D578" t="s">
        <v>74</v>
      </c>
      <c r="E578" t="s">
        <v>74</v>
      </c>
      <c r="F578" t="s">
        <v>9552</v>
      </c>
      <c r="G578" t="s">
        <v>74</v>
      </c>
      <c r="H578" t="s">
        <v>74</v>
      </c>
      <c r="I578" t="s">
        <v>9553</v>
      </c>
      <c r="J578" t="s">
        <v>6832</v>
      </c>
      <c r="K578" t="s">
        <v>74</v>
      </c>
      <c r="L578" t="s">
        <v>74</v>
      </c>
      <c r="M578" t="s">
        <v>78</v>
      </c>
      <c r="N578" t="s">
        <v>79</v>
      </c>
      <c r="O578" t="s">
        <v>74</v>
      </c>
      <c r="P578" t="s">
        <v>74</v>
      </c>
      <c r="Q578" t="s">
        <v>74</v>
      </c>
      <c r="R578" t="s">
        <v>74</v>
      </c>
      <c r="S578" t="s">
        <v>74</v>
      </c>
      <c r="T578" t="s">
        <v>9554</v>
      </c>
      <c r="U578" t="s">
        <v>9555</v>
      </c>
      <c r="V578" t="s">
        <v>9556</v>
      </c>
      <c r="W578" t="s">
        <v>9557</v>
      </c>
      <c r="X578" t="s">
        <v>9558</v>
      </c>
      <c r="Y578" t="s">
        <v>9559</v>
      </c>
      <c r="Z578" t="s">
        <v>9560</v>
      </c>
      <c r="AA578" t="s">
        <v>9561</v>
      </c>
      <c r="AB578" t="s">
        <v>9562</v>
      </c>
      <c r="AC578" t="s">
        <v>74</v>
      </c>
      <c r="AD578" t="s">
        <v>74</v>
      </c>
      <c r="AE578" t="s">
        <v>74</v>
      </c>
      <c r="AF578" t="s">
        <v>74</v>
      </c>
      <c r="AG578">
        <v>66</v>
      </c>
      <c r="AH578">
        <v>0</v>
      </c>
      <c r="AI578">
        <v>0</v>
      </c>
      <c r="AJ578">
        <v>1</v>
      </c>
      <c r="AK578">
        <v>5</v>
      </c>
      <c r="AL578" t="s">
        <v>484</v>
      </c>
      <c r="AM578" t="s">
        <v>485</v>
      </c>
      <c r="AN578" t="s">
        <v>486</v>
      </c>
      <c r="AO578" t="s">
        <v>6841</v>
      </c>
      <c r="AP578" t="s">
        <v>6842</v>
      </c>
      <c r="AQ578" t="s">
        <v>74</v>
      </c>
      <c r="AR578" t="s">
        <v>6843</v>
      </c>
      <c r="AS578" t="s">
        <v>6844</v>
      </c>
      <c r="AT578" t="s">
        <v>248</v>
      </c>
      <c r="AU578">
        <v>2023</v>
      </c>
      <c r="AV578">
        <v>40</v>
      </c>
      <c r="AW578">
        <v>6</v>
      </c>
      <c r="AX578" t="s">
        <v>74</v>
      </c>
      <c r="AY578" t="s">
        <v>74</v>
      </c>
      <c r="AZ578" t="s">
        <v>74</v>
      </c>
      <c r="BA578" t="s">
        <v>74</v>
      </c>
      <c r="BB578" t="s">
        <v>74</v>
      </c>
      <c r="BC578" t="s">
        <v>74</v>
      </c>
      <c r="BD578" t="s">
        <v>74</v>
      </c>
      <c r="BE578" t="s">
        <v>9563</v>
      </c>
      <c r="BF578" t="str">
        <f>HYPERLINK("http://dx.doi.org/10.1111/exsy.13248","http://dx.doi.org/10.1111/exsy.13248")</f>
        <v>http://dx.doi.org/10.1111/exsy.13248</v>
      </c>
      <c r="BG578" t="s">
        <v>74</v>
      </c>
      <c r="BH578" t="s">
        <v>2022</v>
      </c>
      <c r="BI578">
        <v>20</v>
      </c>
      <c r="BJ578" t="s">
        <v>6847</v>
      </c>
      <c r="BK578" t="s">
        <v>149</v>
      </c>
      <c r="BL578" t="s">
        <v>1228</v>
      </c>
      <c r="BM578" t="s">
        <v>9564</v>
      </c>
      <c r="BN578" t="s">
        <v>74</v>
      </c>
      <c r="BO578" t="s">
        <v>74</v>
      </c>
      <c r="BP578" t="s">
        <v>74</v>
      </c>
      <c r="BQ578" t="s">
        <v>74</v>
      </c>
      <c r="BR578" t="s">
        <v>104</v>
      </c>
      <c r="BS578" t="s">
        <v>9565</v>
      </c>
      <c r="BT578" t="str">
        <f>HYPERLINK("https%3A%2F%2Fwww.webofscience.com%2Fwos%2Fwoscc%2Ffull-record%2FWOS:000930485200001","View Full Record in Web of Science")</f>
        <v>View Full Record in Web of Science</v>
      </c>
    </row>
    <row r="579" spans="1:72" x14ac:dyDescent="0.25">
      <c r="A579" t="s">
        <v>72</v>
      </c>
      <c r="B579" t="s">
        <v>9566</v>
      </c>
      <c r="C579" t="s">
        <v>74</v>
      </c>
      <c r="D579" t="s">
        <v>74</v>
      </c>
      <c r="E579" t="s">
        <v>74</v>
      </c>
      <c r="F579" t="s">
        <v>9567</v>
      </c>
      <c r="G579" t="s">
        <v>74</v>
      </c>
      <c r="H579" t="s">
        <v>74</v>
      </c>
      <c r="I579" t="s">
        <v>9568</v>
      </c>
      <c r="J579" t="s">
        <v>6832</v>
      </c>
      <c r="K579" t="s">
        <v>74</v>
      </c>
      <c r="L579" t="s">
        <v>74</v>
      </c>
      <c r="M579" t="s">
        <v>78</v>
      </c>
      <c r="N579" t="s">
        <v>79</v>
      </c>
      <c r="O579" t="s">
        <v>74</v>
      </c>
      <c r="P579" t="s">
        <v>74</v>
      </c>
      <c r="Q579" t="s">
        <v>74</v>
      </c>
      <c r="R579" t="s">
        <v>74</v>
      </c>
      <c r="S579" t="s">
        <v>74</v>
      </c>
      <c r="T579" t="s">
        <v>9569</v>
      </c>
      <c r="U579" t="s">
        <v>74</v>
      </c>
      <c r="V579" t="s">
        <v>9570</v>
      </c>
      <c r="W579" t="s">
        <v>9571</v>
      </c>
      <c r="X579" t="s">
        <v>9572</v>
      </c>
      <c r="Y579" t="s">
        <v>9573</v>
      </c>
      <c r="Z579" t="s">
        <v>9574</v>
      </c>
      <c r="AA579" t="s">
        <v>9575</v>
      </c>
      <c r="AB579" t="s">
        <v>9576</v>
      </c>
      <c r="AC579" t="s">
        <v>9577</v>
      </c>
      <c r="AD579" t="s">
        <v>9578</v>
      </c>
      <c r="AE579" t="s">
        <v>9579</v>
      </c>
      <c r="AF579" t="s">
        <v>74</v>
      </c>
      <c r="AG579">
        <v>37</v>
      </c>
      <c r="AH579">
        <v>7</v>
      </c>
      <c r="AI579">
        <v>7</v>
      </c>
      <c r="AJ579">
        <v>3</v>
      </c>
      <c r="AK579">
        <v>27</v>
      </c>
      <c r="AL579" t="s">
        <v>484</v>
      </c>
      <c r="AM579" t="s">
        <v>485</v>
      </c>
      <c r="AN579" t="s">
        <v>486</v>
      </c>
      <c r="AO579" t="s">
        <v>6841</v>
      </c>
      <c r="AP579" t="s">
        <v>6842</v>
      </c>
      <c r="AQ579" t="s">
        <v>74</v>
      </c>
      <c r="AR579" t="s">
        <v>6843</v>
      </c>
      <c r="AS579" t="s">
        <v>6844</v>
      </c>
      <c r="AT579" t="s">
        <v>491</v>
      </c>
      <c r="AU579">
        <v>2022</v>
      </c>
      <c r="AV579">
        <v>39</v>
      </c>
      <c r="AW579">
        <v>9</v>
      </c>
      <c r="AX579" t="s">
        <v>74</v>
      </c>
      <c r="AY579" t="s">
        <v>74</v>
      </c>
      <c r="AZ579" t="s">
        <v>560</v>
      </c>
      <c r="BA579" t="s">
        <v>74</v>
      </c>
      <c r="BB579" t="s">
        <v>74</v>
      </c>
      <c r="BC579" t="s">
        <v>74</v>
      </c>
      <c r="BD579" t="s">
        <v>74</v>
      </c>
      <c r="BE579" t="s">
        <v>9580</v>
      </c>
      <c r="BF579" t="str">
        <f>HYPERLINK("http://dx.doi.org/10.1111/exsy.13062","http://dx.doi.org/10.1111/exsy.13062")</f>
        <v>http://dx.doi.org/10.1111/exsy.13062</v>
      </c>
      <c r="BG579" t="s">
        <v>74</v>
      </c>
      <c r="BH579" t="s">
        <v>3597</v>
      </c>
      <c r="BI579">
        <v>23</v>
      </c>
      <c r="BJ579" t="s">
        <v>6847</v>
      </c>
      <c r="BK579" t="s">
        <v>149</v>
      </c>
      <c r="BL579" t="s">
        <v>1228</v>
      </c>
      <c r="BM579" t="s">
        <v>9581</v>
      </c>
      <c r="BN579" t="s">
        <v>74</v>
      </c>
      <c r="BO579" t="s">
        <v>74</v>
      </c>
      <c r="BP579" t="s">
        <v>74</v>
      </c>
      <c r="BQ579" t="s">
        <v>74</v>
      </c>
      <c r="BR579" t="s">
        <v>104</v>
      </c>
      <c r="BS579" t="s">
        <v>9582</v>
      </c>
      <c r="BT579" t="str">
        <f>HYPERLINK("https%3A%2F%2Fwww.webofscience.com%2Fwos%2Fwoscc%2Ffull-record%2FWOS:000828649100001","View Full Record in Web of Science")</f>
        <v>View Full Record in Web of Science</v>
      </c>
    </row>
    <row r="580" spans="1:72" x14ac:dyDescent="0.25">
      <c r="A580" t="s">
        <v>72</v>
      </c>
      <c r="B580" t="s">
        <v>9583</v>
      </c>
      <c r="C580" t="s">
        <v>74</v>
      </c>
      <c r="D580" t="s">
        <v>74</v>
      </c>
      <c r="E580" t="s">
        <v>74</v>
      </c>
      <c r="F580" t="s">
        <v>9584</v>
      </c>
      <c r="G580" t="s">
        <v>74</v>
      </c>
      <c r="H580" t="s">
        <v>74</v>
      </c>
      <c r="I580" t="s">
        <v>9585</v>
      </c>
      <c r="J580" t="s">
        <v>128</v>
      </c>
      <c r="K580" t="s">
        <v>74</v>
      </c>
      <c r="L580" t="s">
        <v>74</v>
      </c>
      <c r="M580" t="s">
        <v>78</v>
      </c>
      <c r="N580" t="s">
        <v>79</v>
      </c>
      <c r="O580" t="s">
        <v>74</v>
      </c>
      <c r="P580" t="s">
        <v>74</v>
      </c>
      <c r="Q580" t="s">
        <v>74</v>
      </c>
      <c r="R580" t="s">
        <v>74</v>
      </c>
      <c r="S580" t="s">
        <v>74</v>
      </c>
      <c r="T580" t="s">
        <v>9586</v>
      </c>
      <c r="U580" t="s">
        <v>9587</v>
      </c>
      <c r="V580" t="s">
        <v>9588</v>
      </c>
      <c r="W580" t="s">
        <v>9589</v>
      </c>
      <c r="X580" t="s">
        <v>608</v>
      </c>
      <c r="Y580" t="s">
        <v>9590</v>
      </c>
      <c r="Z580" t="s">
        <v>9591</v>
      </c>
      <c r="AA580" t="s">
        <v>74</v>
      </c>
      <c r="AB580" t="s">
        <v>9592</v>
      </c>
      <c r="AC580" t="s">
        <v>74</v>
      </c>
      <c r="AD580" t="s">
        <v>74</v>
      </c>
      <c r="AE580" t="s">
        <v>74</v>
      </c>
      <c r="AF580" t="s">
        <v>74</v>
      </c>
      <c r="AG580">
        <v>50</v>
      </c>
      <c r="AH580">
        <v>0</v>
      </c>
      <c r="AI580">
        <v>0</v>
      </c>
      <c r="AJ580">
        <v>11</v>
      </c>
      <c r="AK580">
        <v>11</v>
      </c>
      <c r="AL580" t="s">
        <v>138</v>
      </c>
      <c r="AM580" t="s">
        <v>139</v>
      </c>
      <c r="AN580" t="s">
        <v>140</v>
      </c>
      <c r="AO580" t="s">
        <v>141</v>
      </c>
      <c r="AP580" t="s">
        <v>142</v>
      </c>
      <c r="AQ580" t="s">
        <v>74</v>
      </c>
      <c r="AR580" t="s">
        <v>143</v>
      </c>
      <c r="AS580" t="s">
        <v>144</v>
      </c>
      <c r="AT580" t="s">
        <v>1008</v>
      </c>
      <c r="AU580">
        <v>2025</v>
      </c>
      <c r="AV580">
        <v>253</v>
      </c>
      <c r="AW580" t="s">
        <v>74</v>
      </c>
      <c r="AX580" t="s">
        <v>74</v>
      </c>
      <c r="AY580" t="s">
        <v>74</v>
      </c>
      <c r="AZ580" t="s">
        <v>74</v>
      </c>
      <c r="BA580" t="s">
        <v>74</v>
      </c>
      <c r="BB580" t="s">
        <v>74</v>
      </c>
      <c r="BC580" t="s">
        <v>74</v>
      </c>
      <c r="BD580">
        <v>110519</v>
      </c>
      <c r="BE580" t="s">
        <v>9593</v>
      </c>
      <c r="BF580" t="str">
        <f>HYPERLINK("http://dx.doi.org/10.1016/j.ress.2024.110519","http://dx.doi.org/10.1016/j.ress.2024.110519")</f>
        <v>http://dx.doi.org/10.1016/j.ress.2024.110519</v>
      </c>
      <c r="BG580" t="s">
        <v>74</v>
      </c>
      <c r="BH580" t="s">
        <v>415</v>
      </c>
      <c r="BI580">
        <v>13</v>
      </c>
      <c r="BJ580" t="s">
        <v>148</v>
      </c>
      <c r="BK580" t="s">
        <v>149</v>
      </c>
      <c r="BL580" t="s">
        <v>150</v>
      </c>
      <c r="BM580" t="s">
        <v>9594</v>
      </c>
      <c r="BN580" t="s">
        <v>74</v>
      </c>
      <c r="BO580" t="s">
        <v>74</v>
      </c>
      <c r="BP580" t="s">
        <v>74</v>
      </c>
      <c r="BQ580" t="s">
        <v>74</v>
      </c>
      <c r="BR580" t="s">
        <v>104</v>
      </c>
      <c r="BS580" t="s">
        <v>9595</v>
      </c>
      <c r="BT580" t="str">
        <f>HYPERLINK("https%3A%2F%2Fwww.webofscience.com%2Fwos%2Fwoscc%2Ffull-record%2FWOS:001339332300001","View Full Record in Web of Science")</f>
        <v>View Full Record in Web of Science</v>
      </c>
    </row>
    <row r="581" spans="1:72" x14ac:dyDescent="0.25">
      <c r="A581" t="s">
        <v>72</v>
      </c>
      <c r="B581" t="s">
        <v>9596</v>
      </c>
      <c r="C581" t="s">
        <v>74</v>
      </c>
      <c r="D581" t="s">
        <v>74</v>
      </c>
      <c r="E581" t="s">
        <v>74</v>
      </c>
      <c r="F581" t="s">
        <v>9597</v>
      </c>
      <c r="G581" t="s">
        <v>74</v>
      </c>
      <c r="H581" t="s">
        <v>74</v>
      </c>
      <c r="I581" t="s">
        <v>9598</v>
      </c>
      <c r="J581" t="s">
        <v>1557</v>
      </c>
      <c r="K581" t="s">
        <v>74</v>
      </c>
      <c r="L581" t="s">
        <v>74</v>
      </c>
      <c r="M581" t="s">
        <v>78</v>
      </c>
      <c r="N581" t="s">
        <v>79</v>
      </c>
      <c r="O581" t="s">
        <v>74</v>
      </c>
      <c r="P581" t="s">
        <v>74</v>
      </c>
      <c r="Q581" t="s">
        <v>74</v>
      </c>
      <c r="R581" t="s">
        <v>74</v>
      </c>
      <c r="S581" t="s">
        <v>74</v>
      </c>
      <c r="T581" t="s">
        <v>9599</v>
      </c>
      <c r="U581" t="s">
        <v>9600</v>
      </c>
      <c r="V581" t="s">
        <v>9601</v>
      </c>
      <c r="W581" t="s">
        <v>9602</v>
      </c>
      <c r="X581" t="s">
        <v>9603</v>
      </c>
      <c r="Y581" t="s">
        <v>9604</v>
      </c>
      <c r="Z581" t="s">
        <v>9605</v>
      </c>
      <c r="AA581" t="s">
        <v>9606</v>
      </c>
      <c r="AB581" t="s">
        <v>9607</v>
      </c>
      <c r="AC581" t="s">
        <v>74</v>
      </c>
      <c r="AD581" t="s">
        <v>74</v>
      </c>
      <c r="AE581" t="s">
        <v>74</v>
      </c>
      <c r="AF581" t="s">
        <v>74</v>
      </c>
      <c r="AG581">
        <v>43</v>
      </c>
      <c r="AH581">
        <v>7</v>
      </c>
      <c r="AI581">
        <v>7</v>
      </c>
      <c r="AJ581">
        <v>22</v>
      </c>
      <c r="AK581">
        <v>44</v>
      </c>
      <c r="AL581" t="s">
        <v>707</v>
      </c>
      <c r="AM581" t="s">
        <v>246</v>
      </c>
      <c r="AN581" t="s">
        <v>708</v>
      </c>
      <c r="AO581" t="s">
        <v>1569</v>
      </c>
      <c r="AP581" t="s">
        <v>1570</v>
      </c>
      <c r="AQ581" t="s">
        <v>74</v>
      </c>
      <c r="AR581" t="s">
        <v>1571</v>
      </c>
      <c r="AS581" t="s">
        <v>1572</v>
      </c>
      <c r="AT581" t="s">
        <v>8855</v>
      </c>
      <c r="AU581">
        <v>2024</v>
      </c>
      <c r="AV581">
        <v>238</v>
      </c>
      <c r="AW581" t="s">
        <v>74</v>
      </c>
      <c r="AX581" t="s">
        <v>1907</v>
      </c>
      <c r="AY581" t="s">
        <v>74</v>
      </c>
      <c r="AZ581" t="s">
        <v>74</v>
      </c>
      <c r="BA581" t="s">
        <v>74</v>
      </c>
      <c r="BB581" t="s">
        <v>74</v>
      </c>
      <c r="BC581" t="s">
        <v>74</v>
      </c>
      <c r="BD581">
        <v>121752</v>
      </c>
      <c r="BE581" t="s">
        <v>9608</v>
      </c>
      <c r="BF581" t="str">
        <f>HYPERLINK("http://dx.doi.org/10.1016/j.eswa.2023.121752","http://dx.doi.org/10.1016/j.eswa.2023.121752")</f>
        <v>http://dx.doi.org/10.1016/j.eswa.2023.121752</v>
      </c>
      <c r="BG581" t="s">
        <v>74</v>
      </c>
      <c r="BH581" t="s">
        <v>846</v>
      </c>
      <c r="BI581">
        <v>19</v>
      </c>
      <c r="BJ581" t="s">
        <v>1575</v>
      </c>
      <c r="BK581" t="s">
        <v>149</v>
      </c>
      <c r="BL581" t="s">
        <v>1576</v>
      </c>
      <c r="BM581" t="s">
        <v>9609</v>
      </c>
      <c r="BN581" t="s">
        <v>74</v>
      </c>
      <c r="BO581" t="s">
        <v>74</v>
      </c>
      <c r="BP581" t="s">
        <v>74</v>
      </c>
      <c r="BQ581" t="s">
        <v>74</v>
      </c>
      <c r="BR581" t="s">
        <v>104</v>
      </c>
      <c r="BS581" t="s">
        <v>9610</v>
      </c>
      <c r="BT581" t="str">
        <f>HYPERLINK("https%3A%2F%2Fwww.webofscience.com%2Fwos%2Fwoscc%2Ffull-record%2FWOS:001160452900001","View Full Record in Web of Science")</f>
        <v>View Full Record in Web of Science</v>
      </c>
    </row>
    <row r="582" spans="1:72" x14ac:dyDescent="0.25">
      <c r="A582" t="s">
        <v>72</v>
      </c>
      <c r="B582" t="s">
        <v>9611</v>
      </c>
      <c r="C582" t="s">
        <v>74</v>
      </c>
      <c r="D582" t="s">
        <v>74</v>
      </c>
      <c r="E582" t="s">
        <v>74</v>
      </c>
      <c r="F582" t="s">
        <v>9612</v>
      </c>
      <c r="G582" t="s">
        <v>74</v>
      </c>
      <c r="H582" t="s">
        <v>74</v>
      </c>
      <c r="I582" t="s">
        <v>9613</v>
      </c>
      <c r="J582" t="s">
        <v>128</v>
      </c>
      <c r="K582" t="s">
        <v>74</v>
      </c>
      <c r="L582" t="s">
        <v>74</v>
      </c>
      <c r="M582" t="s">
        <v>78</v>
      </c>
      <c r="N582" t="s">
        <v>79</v>
      </c>
      <c r="O582" t="s">
        <v>74</v>
      </c>
      <c r="P582" t="s">
        <v>74</v>
      </c>
      <c r="Q582" t="s">
        <v>74</v>
      </c>
      <c r="R582" t="s">
        <v>74</v>
      </c>
      <c r="S582" t="s">
        <v>74</v>
      </c>
      <c r="T582" t="s">
        <v>9614</v>
      </c>
      <c r="U582" t="s">
        <v>9615</v>
      </c>
      <c r="V582" t="s">
        <v>9616</v>
      </c>
      <c r="W582" t="s">
        <v>9617</v>
      </c>
      <c r="X582" t="s">
        <v>9618</v>
      </c>
      <c r="Y582" t="s">
        <v>9619</v>
      </c>
      <c r="Z582" t="s">
        <v>9620</v>
      </c>
      <c r="AA582" t="s">
        <v>4633</v>
      </c>
      <c r="AB582" t="s">
        <v>74</v>
      </c>
      <c r="AC582" t="s">
        <v>9621</v>
      </c>
      <c r="AD582" t="s">
        <v>9622</v>
      </c>
      <c r="AE582" t="s">
        <v>9623</v>
      </c>
      <c r="AF582" t="s">
        <v>74</v>
      </c>
      <c r="AG582">
        <v>37</v>
      </c>
      <c r="AH582">
        <v>24</v>
      </c>
      <c r="AI582">
        <v>26</v>
      </c>
      <c r="AJ582">
        <v>11</v>
      </c>
      <c r="AK582">
        <v>68</v>
      </c>
      <c r="AL582" t="s">
        <v>138</v>
      </c>
      <c r="AM582" t="s">
        <v>246</v>
      </c>
      <c r="AN582" t="s">
        <v>247</v>
      </c>
      <c r="AO582" t="s">
        <v>141</v>
      </c>
      <c r="AP582" t="s">
        <v>142</v>
      </c>
      <c r="AQ582" t="s">
        <v>74</v>
      </c>
      <c r="AR582" t="s">
        <v>143</v>
      </c>
      <c r="AS582" t="s">
        <v>144</v>
      </c>
      <c r="AT582" t="s">
        <v>559</v>
      </c>
      <c r="AU582">
        <v>2021</v>
      </c>
      <c r="AV582">
        <v>210</v>
      </c>
      <c r="AW582" t="s">
        <v>74</v>
      </c>
      <c r="AX582" t="s">
        <v>74</v>
      </c>
      <c r="AY582" t="s">
        <v>74</v>
      </c>
      <c r="AZ582" t="s">
        <v>74</v>
      </c>
      <c r="BA582" t="s">
        <v>74</v>
      </c>
      <c r="BB582" t="s">
        <v>74</v>
      </c>
      <c r="BC582" t="s">
        <v>74</v>
      </c>
      <c r="BD582">
        <v>107516</v>
      </c>
      <c r="BE582" t="s">
        <v>9624</v>
      </c>
      <c r="BF582" t="str">
        <f>HYPERLINK("http://dx.doi.org/10.1016/j.ress.2021.107516","http://dx.doi.org/10.1016/j.ress.2021.107516")</f>
        <v>http://dx.doi.org/10.1016/j.ress.2021.107516</v>
      </c>
      <c r="BG582" t="s">
        <v>74</v>
      </c>
      <c r="BH582" t="s">
        <v>639</v>
      </c>
      <c r="BI582">
        <v>13</v>
      </c>
      <c r="BJ582" t="s">
        <v>148</v>
      </c>
      <c r="BK582" t="s">
        <v>322</v>
      </c>
      <c r="BL582" t="s">
        <v>150</v>
      </c>
      <c r="BM582" t="s">
        <v>640</v>
      </c>
      <c r="BN582" t="s">
        <v>74</v>
      </c>
      <c r="BO582" t="s">
        <v>74</v>
      </c>
      <c r="BP582" t="s">
        <v>74</v>
      </c>
      <c r="BQ582" t="s">
        <v>74</v>
      </c>
      <c r="BR582" t="s">
        <v>104</v>
      </c>
      <c r="BS582" t="s">
        <v>9625</v>
      </c>
      <c r="BT582" t="str">
        <f>HYPERLINK("https%3A%2F%2Fwww.webofscience.com%2Fwos%2Fwoscc%2Ffull-record%2FWOS:000663909400023","View Full Record in Web of Science")</f>
        <v>View Full Record in Web of Science</v>
      </c>
    </row>
    <row r="583" spans="1:72" x14ac:dyDescent="0.25">
      <c r="A583" t="s">
        <v>72</v>
      </c>
      <c r="B583" t="s">
        <v>9626</v>
      </c>
      <c r="C583" t="s">
        <v>74</v>
      </c>
      <c r="D583" t="s">
        <v>74</v>
      </c>
      <c r="E583" t="s">
        <v>74</v>
      </c>
      <c r="F583" t="s">
        <v>9627</v>
      </c>
      <c r="G583" t="s">
        <v>74</v>
      </c>
      <c r="H583" t="s">
        <v>74</v>
      </c>
      <c r="I583" t="s">
        <v>9628</v>
      </c>
      <c r="J583" t="s">
        <v>9629</v>
      </c>
      <c r="K583" t="s">
        <v>74</v>
      </c>
      <c r="L583" t="s">
        <v>74</v>
      </c>
      <c r="M583" t="s">
        <v>78</v>
      </c>
      <c r="N583" t="s">
        <v>79</v>
      </c>
      <c r="O583" t="s">
        <v>74</v>
      </c>
      <c r="P583" t="s">
        <v>74</v>
      </c>
      <c r="Q583" t="s">
        <v>74</v>
      </c>
      <c r="R583" t="s">
        <v>74</v>
      </c>
      <c r="S583" t="s">
        <v>74</v>
      </c>
      <c r="T583" t="s">
        <v>9630</v>
      </c>
      <c r="U583" t="s">
        <v>9631</v>
      </c>
      <c r="V583" t="s">
        <v>9632</v>
      </c>
      <c r="W583" t="s">
        <v>9633</v>
      </c>
      <c r="X583" t="s">
        <v>9634</v>
      </c>
      <c r="Y583" t="s">
        <v>9635</v>
      </c>
      <c r="Z583" t="s">
        <v>9636</v>
      </c>
      <c r="AA583" t="s">
        <v>9637</v>
      </c>
      <c r="AB583" t="s">
        <v>9638</v>
      </c>
      <c r="AC583" t="s">
        <v>74</v>
      </c>
      <c r="AD583" t="s">
        <v>74</v>
      </c>
      <c r="AE583" t="s">
        <v>74</v>
      </c>
      <c r="AF583" t="s">
        <v>74</v>
      </c>
      <c r="AG583">
        <v>72</v>
      </c>
      <c r="AH583">
        <v>28</v>
      </c>
      <c r="AI583">
        <v>28</v>
      </c>
      <c r="AJ583">
        <v>19</v>
      </c>
      <c r="AK583">
        <v>75</v>
      </c>
      <c r="AL583" t="s">
        <v>484</v>
      </c>
      <c r="AM583" t="s">
        <v>485</v>
      </c>
      <c r="AN583" t="s">
        <v>486</v>
      </c>
      <c r="AO583" t="s">
        <v>9639</v>
      </c>
      <c r="AP583" t="s">
        <v>9640</v>
      </c>
      <c r="AQ583" t="s">
        <v>74</v>
      </c>
      <c r="AR583" t="s">
        <v>9641</v>
      </c>
      <c r="AS583" t="s">
        <v>9642</v>
      </c>
      <c r="AT583" t="s">
        <v>275</v>
      </c>
      <c r="AU583">
        <v>2024</v>
      </c>
      <c r="AV583">
        <v>41</v>
      </c>
      <c r="AW583">
        <v>2</v>
      </c>
      <c r="AX583" t="s">
        <v>74</v>
      </c>
      <c r="AY583" t="s">
        <v>74</v>
      </c>
      <c r="AZ583" t="s">
        <v>560</v>
      </c>
      <c r="BA583" t="s">
        <v>74</v>
      </c>
      <c r="BB583">
        <v>168</v>
      </c>
      <c r="BC583">
        <v>183</v>
      </c>
      <c r="BD583" t="s">
        <v>74</v>
      </c>
      <c r="BE583" t="s">
        <v>9643</v>
      </c>
      <c r="BF583" t="str">
        <f>HYPERLINK("http://dx.doi.org/10.1111/jpim.12682","http://dx.doi.org/10.1111/jpim.12682")</f>
        <v>http://dx.doi.org/10.1111/jpim.12682</v>
      </c>
      <c r="BG583" t="s">
        <v>74</v>
      </c>
      <c r="BH583" t="s">
        <v>2390</v>
      </c>
      <c r="BI583">
        <v>16</v>
      </c>
      <c r="BJ583" t="s">
        <v>955</v>
      </c>
      <c r="BK583" t="s">
        <v>322</v>
      </c>
      <c r="BL583" t="s">
        <v>956</v>
      </c>
      <c r="BM583" t="s">
        <v>9644</v>
      </c>
      <c r="BN583" t="s">
        <v>74</v>
      </c>
      <c r="BO583" t="s">
        <v>123</v>
      </c>
      <c r="BP583" t="s">
        <v>74</v>
      </c>
      <c r="BQ583" t="s">
        <v>74</v>
      </c>
      <c r="BR583" t="s">
        <v>104</v>
      </c>
      <c r="BS583" t="s">
        <v>9645</v>
      </c>
      <c r="BT583" t="str">
        <f>HYPERLINK("https%3A%2F%2Fwww.webofscience.com%2Fwos%2Fwoscc%2Ffull-record%2FWOS:000993049000001","View Full Record in Web of Science")</f>
        <v>View Full Record in Web of Science</v>
      </c>
    </row>
    <row r="584" spans="1:72" x14ac:dyDescent="0.25">
      <c r="A584" t="s">
        <v>72</v>
      </c>
      <c r="B584" t="s">
        <v>9646</v>
      </c>
      <c r="C584" t="s">
        <v>74</v>
      </c>
      <c r="D584" t="s">
        <v>74</v>
      </c>
      <c r="E584" t="s">
        <v>74</v>
      </c>
      <c r="F584" t="s">
        <v>9647</v>
      </c>
      <c r="G584" t="s">
        <v>74</v>
      </c>
      <c r="H584" t="s">
        <v>74</v>
      </c>
      <c r="I584" t="s">
        <v>9648</v>
      </c>
      <c r="J584" t="s">
        <v>1557</v>
      </c>
      <c r="K584" t="s">
        <v>74</v>
      </c>
      <c r="L584" t="s">
        <v>74</v>
      </c>
      <c r="M584" t="s">
        <v>78</v>
      </c>
      <c r="N584" t="s">
        <v>79</v>
      </c>
      <c r="O584" t="s">
        <v>74</v>
      </c>
      <c r="P584" t="s">
        <v>74</v>
      </c>
      <c r="Q584" t="s">
        <v>74</v>
      </c>
      <c r="R584" t="s">
        <v>74</v>
      </c>
      <c r="S584" t="s">
        <v>74</v>
      </c>
      <c r="T584" t="s">
        <v>9649</v>
      </c>
      <c r="U584" t="s">
        <v>9650</v>
      </c>
      <c r="V584" t="s">
        <v>9651</v>
      </c>
      <c r="W584" t="s">
        <v>9652</v>
      </c>
      <c r="X584" t="s">
        <v>9653</v>
      </c>
      <c r="Y584" t="s">
        <v>9654</v>
      </c>
      <c r="Z584" t="s">
        <v>9655</v>
      </c>
      <c r="AA584" t="s">
        <v>9656</v>
      </c>
      <c r="AB584" t="s">
        <v>9657</v>
      </c>
      <c r="AC584" t="s">
        <v>74</v>
      </c>
      <c r="AD584" t="s">
        <v>74</v>
      </c>
      <c r="AE584" t="s">
        <v>74</v>
      </c>
      <c r="AF584" t="s">
        <v>74</v>
      </c>
      <c r="AG584">
        <v>59</v>
      </c>
      <c r="AH584">
        <v>0</v>
      </c>
      <c r="AI584">
        <v>0</v>
      </c>
      <c r="AJ584">
        <v>4</v>
      </c>
      <c r="AK584">
        <v>6</v>
      </c>
      <c r="AL584" t="s">
        <v>707</v>
      </c>
      <c r="AM584" t="s">
        <v>246</v>
      </c>
      <c r="AN584" t="s">
        <v>708</v>
      </c>
      <c r="AO584" t="s">
        <v>1569</v>
      </c>
      <c r="AP584" t="s">
        <v>1570</v>
      </c>
      <c r="AQ584" t="s">
        <v>74</v>
      </c>
      <c r="AR584" t="s">
        <v>1571</v>
      </c>
      <c r="AS584" t="s">
        <v>1572</v>
      </c>
      <c r="AT584" t="s">
        <v>346</v>
      </c>
      <c r="AU584">
        <v>2024</v>
      </c>
      <c r="AV584">
        <v>241</v>
      </c>
      <c r="AW584" t="s">
        <v>74</v>
      </c>
      <c r="AX584" t="s">
        <v>74</v>
      </c>
      <c r="AY584" t="s">
        <v>74</v>
      </c>
      <c r="AZ584" t="s">
        <v>74</v>
      </c>
      <c r="BA584" t="s">
        <v>74</v>
      </c>
      <c r="BB584" t="s">
        <v>74</v>
      </c>
      <c r="BC584" t="s">
        <v>74</v>
      </c>
      <c r="BD584">
        <v>122737</v>
      </c>
      <c r="BE584" t="s">
        <v>9658</v>
      </c>
      <c r="BF584" t="str">
        <f>HYPERLINK("http://dx.doi.org/10.1016/j.eswa.2023.122737","http://dx.doi.org/10.1016/j.eswa.2023.122737")</f>
        <v>http://dx.doi.org/10.1016/j.eswa.2023.122737</v>
      </c>
      <c r="BG584" t="s">
        <v>74</v>
      </c>
      <c r="BH584" t="s">
        <v>1111</v>
      </c>
      <c r="BI584">
        <v>14</v>
      </c>
      <c r="BJ584" t="s">
        <v>1575</v>
      </c>
      <c r="BK584" t="s">
        <v>149</v>
      </c>
      <c r="BL584" t="s">
        <v>1576</v>
      </c>
      <c r="BM584" t="s">
        <v>9659</v>
      </c>
      <c r="BN584" t="s">
        <v>74</v>
      </c>
      <c r="BO584" t="s">
        <v>74</v>
      </c>
      <c r="BP584" t="s">
        <v>74</v>
      </c>
      <c r="BQ584" t="s">
        <v>74</v>
      </c>
      <c r="BR584" t="s">
        <v>104</v>
      </c>
      <c r="BS584" t="s">
        <v>9660</v>
      </c>
      <c r="BT584" t="str">
        <f>HYPERLINK("https%3A%2F%2Fwww.webofscience.com%2Fwos%2Fwoscc%2Ffull-record%2FWOS:001131712000001","View Full Record in Web of Science")</f>
        <v>View Full Record in Web of Science</v>
      </c>
    </row>
    <row r="585" spans="1:72" x14ac:dyDescent="0.25">
      <c r="A585" t="s">
        <v>72</v>
      </c>
      <c r="B585" t="s">
        <v>9661</v>
      </c>
      <c r="C585" t="s">
        <v>74</v>
      </c>
      <c r="D585" t="s">
        <v>74</v>
      </c>
      <c r="E585" t="s">
        <v>74</v>
      </c>
      <c r="F585" t="s">
        <v>9662</v>
      </c>
      <c r="G585" t="s">
        <v>74</v>
      </c>
      <c r="H585" t="s">
        <v>74</v>
      </c>
      <c r="I585" t="s">
        <v>9663</v>
      </c>
      <c r="J585" t="s">
        <v>697</v>
      </c>
      <c r="K585" t="s">
        <v>74</v>
      </c>
      <c r="L585" t="s">
        <v>74</v>
      </c>
      <c r="M585" t="s">
        <v>78</v>
      </c>
      <c r="N585" t="s">
        <v>79</v>
      </c>
      <c r="O585" t="s">
        <v>74</v>
      </c>
      <c r="P585" t="s">
        <v>74</v>
      </c>
      <c r="Q585" t="s">
        <v>74</v>
      </c>
      <c r="R585" t="s">
        <v>74</v>
      </c>
      <c r="S585" t="s">
        <v>74</v>
      </c>
      <c r="T585" t="s">
        <v>9664</v>
      </c>
      <c r="U585" t="s">
        <v>9665</v>
      </c>
      <c r="V585" t="s">
        <v>9666</v>
      </c>
      <c r="W585" t="s">
        <v>9667</v>
      </c>
      <c r="X585" t="s">
        <v>1785</v>
      </c>
      <c r="Y585" t="s">
        <v>5154</v>
      </c>
      <c r="Z585" t="s">
        <v>5155</v>
      </c>
      <c r="AA585" t="s">
        <v>9668</v>
      </c>
      <c r="AB585" t="s">
        <v>74</v>
      </c>
      <c r="AC585" t="s">
        <v>9669</v>
      </c>
      <c r="AD585" t="s">
        <v>482</v>
      </c>
      <c r="AE585" t="s">
        <v>9670</v>
      </c>
      <c r="AF585" t="s">
        <v>74</v>
      </c>
      <c r="AG585">
        <v>39</v>
      </c>
      <c r="AH585">
        <v>3</v>
      </c>
      <c r="AI585">
        <v>3</v>
      </c>
      <c r="AJ585">
        <v>2</v>
      </c>
      <c r="AK585">
        <v>11</v>
      </c>
      <c r="AL585" t="s">
        <v>707</v>
      </c>
      <c r="AM585" t="s">
        <v>246</v>
      </c>
      <c r="AN585" t="s">
        <v>708</v>
      </c>
      <c r="AO585" t="s">
        <v>709</v>
      </c>
      <c r="AP585" t="s">
        <v>710</v>
      </c>
      <c r="AQ585" t="s">
        <v>74</v>
      </c>
      <c r="AR585" t="s">
        <v>711</v>
      </c>
      <c r="AS585" t="s">
        <v>712</v>
      </c>
      <c r="AT585" t="s">
        <v>1008</v>
      </c>
      <c r="AU585">
        <v>2022</v>
      </c>
      <c r="AV585">
        <v>163</v>
      </c>
      <c r="AW585" t="s">
        <v>74</v>
      </c>
      <c r="AX585" t="s">
        <v>74</v>
      </c>
      <c r="AY585" t="s">
        <v>74</v>
      </c>
      <c r="AZ585" t="s">
        <v>74</v>
      </c>
      <c r="BA585" t="s">
        <v>74</v>
      </c>
      <c r="BB585" t="s">
        <v>74</v>
      </c>
      <c r="BC585" t="s">
        <v>74</v>
      </c>
      <c r="BD585">
        <v>107777</v>
      </c>
      <c r="BE585" t="s">
        <v>9671</v>
      </c>
      <c r="BF585" t="str">
        <f>HYPERLINK("http://dx.doi.org/10.1016/j.cie.2021.107777","http://dx.doi.org/10.1016/j.cie.2021.107777")</f>
        <v>http://dx.doi.org/10.1016/j.cie.2021.107777</v>
      </c>
      <c r="BG585" t="s">
        <v>74</v>
      </c>
      <c r="BH585" t="s">
        <v>2468</v>
      </c>
      <c r="BI585">
        <v>12</v>
      </c>
      <c r="BJ585" t="s">
        <v>715</v>
      </c>
      <c r="BK585" t="s">
        <v>149</v>
      </c>
      <c r="BL585" t="s">
        <v>716</v>
      </c>
      <c r="BM585" t="s">
        <v>9672</v>
      </c>
      <c r="BN585" t="s">
        <v>74</v>
      </c>
      <c r="BO585" t="s">
        <v>74</v>
      </c>
      <c r="BP585" t="s">
        <v>74</v>
      </c>
      <c r="BQ585" t="s">
        <v>74</v>
      </c>
      <c r="BR585" t="s">
        <v>104</v>
      </c>
      <c r="BS585" t="s">
        <v>9673</v>
      </c>
      <c r="BT585" t="str">
        <f>HYPERLINK("https%3A%2F%2Fwww.webofscience.com%2Fwos%2Fwoscc%2Ffull-record%2FWOS:000740307700002","View Full Record in Web of Science")</f>
        <v>View Full Record in Web of Science</v>
      </c>
    </row>
    <row r="586" spans="1:72" x14ac:dyDescent="0.25">
      <c r="A586" t="s">
        <v>72</v>
      </c>
      <c r="B586" t="s">
        <v>9674</v>
      </c>
      <c r="C586" t="s">
        <v>74</v>
      </c>
      <c r="D586" t="s">
        <v>74</v>
      </c>
      <c r="E586" t="s">
        <v>74</v>
      </c>
      <c r="F586" t="s">
        <v>9675</v>
      </c>
      <c r="G586" t="s">
        <v>74</v>
      </c>
      <c r="H586" t="s">
        <v>74</v>
      </c>
      <c r="I586" t="s">
        <v>9676</v>
      </c>
      <c r="J586" t="s">
        <v>1932</v>
      </c>
      <c r="K586" t="s">
        <v>74</v>
      </c>
      <c r="L586" t="s">
        <v>74</v>
      </c>
      <c r="M586" t="s">
        <v>78</v>
      </c>
      <c r="N586" t="s">
        <v>1083</v>
      </c>
      <c r="O586" t="s">
        <v>74</v>
      </c>
      <c r="P586" t="s">
        <v>74</v>
      </c>
      <c r="Q586" t="s">
        <v>74</v>
      </c>
      <c r="R586" t="s">
        <v>74</v>
      </c>
      <c r="S586" t="s">
        <v>74</v>
      </c>
      <c r="T586" t="s">
        <v>9677</v>
      </c>
      <c r="U586" t="s">
        <v>9678</v>
      </c>
      <c r="V586" t="s">
        <v>9679</v>
      </c>
      <c r="W586" t="s">
        <v>9680</v>
      </c>
      <c r="X586" t="s">
        <v>9681</v>
      </c>
      <c r="Y586" t="s">
        <v>9682</v>
      </c>
      <c r="Z586" t="s">
        <v>7312</v>
      </c>
      <c r="AA586" t="s">
        <v>74</v>
      </c>
      <c r="AB586" t="s">
        <v>74</v>
      </c>
      <c r="AC586" t="s">
        <v>9683</v>
      </c>
      <c r="AD586" t="s">
        <v>9684</v>
      </c>
      <c r="AE586" t="s">
        <v>9685</v>
      </c>
      <c r="AF586" t="s">
        <v>74</v>
      </c>
      <c r="AG586">
        <v>32</v>
      </c>
      <c r="AH586">
        <v>0</v>
      </c>
      <c r="AI586">
        <v>0</v>
      </c>
      <c r="AJ586">
        <v>4</v>
      </c>
      <c r="AK586">
        <v>4</v>
      </c>
      <c r="AL586" t="s">
        <v>311</v>
      </c>
      <c r="AM586" t="s">
        <v>312</v>
      </c>
      <c r="AN586" t="s">
        <v>313</v>
      </c>
      <c r="AO586" t="s">
        <v>1945</v>
      </c>
      <c r="AP586" t="s">
        <v>1946</v>
      </c>
      <c r="AQ586" t="s">
        <v>74</v>
      </c>
      <c r="AR586" t="s">
        <v>1947</v>
      </c>
      <c r="AS586" t="s">
        <v>1948</v>
      </c>
      <c r="AT586" t="s">
        <v>9686</v>
      </c>
      <c r="AU586">
        <v>2024</v>
      </c>
      <c r="AV586" t="s">
        <v>74</v>
      </c>
      <c r="AW586" t="s">
        <v>74</v>
      </c>
      <c r="AX586" t="s">
        <v>74</v>
      </c>
      <c r="AY586" t="s">
        <v>74</v>
      </c>
      <c r="AZ586" t="s">
        <v>74</v>
      </c>
      <c r="BA586" t="s">
        <v>74</v>
      </c>
      <c r="BB586" t="s">
        <v>74</v>
      </c>
      <c r="BC586" t="s">
        <v>74</v>
      </c>
      <c r="BD586" t="s">
        <v>74</v>
      </c>
      <c r="BE586" t="s">
        <v>9687</v>
      </c>
      <c r="BF586" t="str">
        <f>HYPERLINK("http://dx.doi.org/10.1080/16843703.2024.2425894","http://dx.doi.org/10.1080/16843703.2024.2425894")</f>
        <v>http://dx.doi.org/10.1080/16843703.2024.2425894</v>
      </c>
      <c r="BG586" t="s">
        <v>74</v>
      </c>
      <c r="BH586" t="s">
        <v>1174</v>
      </c>
      <c r="BI586">
        <v>23</v>
      </c>
      <c r="BJ586" t="s">
        <v>1951</v>
      </c>
      <c r="BK586" t="s">
        <v>149</v>
      </c>
      <c r="BL586" t="s">
        <v>1952</v>
      </c>
      <c r="BM586" t="s">
        <v>9688</v>
      </c>
      <c r="BN586" t="s">
        <v>74</v>
      </c>
      <c r="BO586" t="s">
        <v>74</v>
      </c>
      <c r="BP586" t="s">
        <v>74</v>
      </c>
      <c r="BQ586" t="s">
        <v>74</v>
      </c>
      <c r="BR586" t="s">
        <v>104</v>
      </c>
      <c r="BS586" t="s">
        <v>9689</v>
      </c>
      <c r="BT586" t="str">
        <f>HYPERLINK("https%3A%2F%2Fwww.webofscience.com%2Fwos%2Fwoscc%2Ffull-record%2FWOS:001355523700001","View Full Record in Web of Science")</f>
        <v>View Full Record in Web of Science</v>
      </c>
    </row>
    <row r="587" spans="1:72" x14ac:dyDescent="0.25">
      <c r="A587" t="s">
        <v>72</v>
      </c>
      <c r="B587" t="s">
        <v>9690</v>
      </c>
      <c r="C587" t="s">
        <v>74</v>
      </c>
      <c r="D587" t="s">
        <v>74</v>
      </c>
      <c r="E587" t="s">
        <v>74</v>
      </c>
      <c r="F587" t="s">
        <v>9691</v>
      </c>
      <c r="G587" t="s">
        <v>74</v>
      </c>
      <c r="H587" t="s">
        <v>74</v>
      </c>
      <c r="I587" t="s">
        <v>9692</v>
      </c>
      <c r="J587" t="s">
        <v>2945</v>
      </c>
      <c r="K587" t="s">
        <v>74</v>
      </c>
      <c r="L587" t="s">
        <v>74</v>
      </c>
      <c r="M587" t="s">
        <v>78</v>
      </c>
      <c r="N587" t="s">
        <v>79</v>
      </c>
      <c r="O587" t="s">
        <v>74</v>
      </c>
      <c r="P587" t="s">
        <v>74</v>
      </c>
      <c r="Q587" t="s">
        <v>74</v>
      </c>
      <c r="R587" t="s">
        <v>74</v>
      </c>
      <c r="S587" t="s">
        <v>74</v>
      </c>
      <c r="T587" t="s">
        <v>9693</v>
      </c>
      <c r="U587" t="s">
        <v>74</v>
      </c>
      <c r="V587" t="s">
        <v>9694</v>
      </c>
      <c r="W587" t="s">
        <v>9695</v>
      </c>
      <c r="X587" t="s">
        <v>9696</v>
      </c>
      <c r="Y587" t="s">
        <v>9697</v>
      </c>
      <c r="Z587" t="s">
        <v>9698</v>
      </c>
      <c r="AA587" t="s">
        <v>9699</v>
      </c>
      <c r="AB587" t="s">
        <v>9700</v>
      </c>
      <c r="AC587" t="s">
        <v>9701</v>
      </c>
      <c r="AD587" t="s">
        <v>9702</v>
      </c>
      <c r="AE587" t="s">
        <v>9703</v>
      </c>
      <c r="AF587" t="s">
        <v>74</v>
      </c>
      <c r="AG587">
        <v>21</v>
      </c>
      <c r="AH587">
        <v>4</v>
      </c>
      <c r="AI587">
        <v>4</v>
      </c>
      <c r="AJ587">
        <v>2</v>
      </c>
      <c r="AK587">
        <v>10</v>
      </c>
      <c r="AL587" t="s">
        <v>2956</v>
      </c>
      <c r="AM587" t="s">
        <v>2957</v>
      </c>
      <c r="AN587" t="s">
        <v>2958</v>
      </c>
      <c r="AO587" t="s">
        <v>2959</v>
      </c>
      <c r="AP587" t="s">
        <v>2960</v>
      </c>
      <c r="AQ587" t="s">
        <v>74</v>
      </c>
      <c r="AR587" t="s">
        <v>2961</v>
      </c>
      <c r="AS587" t="s">
        <v>2962</v>
      </c>
      <c r="AT587" t="s">
        <v>74</v>
      </c>
      <c r="AU587">
        <v>2021</v>
      </c>
      <c r="AV587">
        <v>14</v>
      </c>
      <c r="AW587">
        <v>3</v>
      </c>
      <c r="AX587" t="s">
        <v>74</v>
      </c>
      <c r="AY587" t="s">
        <v>74</v>
      </c>
      <c r="AZ587" t="s">
        <v>74</v>
      </c>
      <c r="BA587" t="s">
        <v>74</v>
      </c>
      <c r="BB587">
        <v>604</v>
      </c>
      <c r="BC587">
        <v>621</v>
      </c>
      <c r="BD587" t="s">
        <v>74</v>
      </c>
      <c r="BE587" t="s">
        <v>9704</v>
      </c>
      <c r="BF587" t="str">
        <f>HYPERLINK("http://dx.doi.org/10.3926/jiem.3446","http://dx.doi.org/10.3926/jiem.3446")</f>
        <v>http://dx.doi.org/10.3926/jiem.3446</v>
      </c>
      <c r="BG587" t="s">
        <v>74</v>
      </c>
      <c r="BH587" t="s">
        <v>74</v>
      </c>
      <c r="BI587">
        <v>18</v>
      </c>
      <c r="BJ587" t="s">
        <v>100</v>
      </c>
      <c r="BK587" t="s">
        <v>101</v>
      </c>
      <c r="BL587" t="s">
        <v>102</v>
      </c>
      <c r="BM587" t="s">
        <v>9705</v>
      </c>
      <c r="BN587" t="s">
        <v>74</v>
      </c>
      <c r="BO587" t="s">
        <v>278</v>
      </c>
      <c r="BP587" t="s">
        <v>74</v>
      </c>
      <c r="BQ587" t="s">
        <v>74</v>
      </c>
      <c r="BR587" t="s">
        <v>104</v>
      </c>
      <c r="BS587" t="s">
        <v>9706</v>
      </c>
      <c r="BT587" t="str">
        <f>HYPERLINK("https%3A%2F%2Fwww.webofscience.com%2Fwos%2Fwoscc%2Ffull-record%2FWOS:000688608600011","View Full Record in Web of Science")</f>
        <v>View Full Record in Web of Science</v>
      </c>
    </row>
    <row r="588" spans="1:72" x14ac:dyDescent="0.25">
      <c r="A588" t="s">
        <v>72</v>
      </c>
      <c r="B588" t="s">
        <v>9707</v>
      </c>
      <c r="C588" t="s">
        <v>74</v>
      </c>
      <c r="D588" t="s">
        <v>74</v>
      </c>
      <c r="E588" t="s">
        <v>74</v>
      </c>
      <c r="F588" t="s">
        <v>9708</v>
      </c>
      <c r="G588" t="s">
        <v>74</v>
      </c>
      <c r="H588" t="s">
        <v>74</v>
      </c>
      <c r="I588" t="s">
        <v>9709</v>
      </c>
      <c r="J588" t="s">
        <v>1834</v>
      </c>
      <c r="K588" t="s">
        <v>74</v>
      </c>
      <c r="L588" t="s">
        <v>74</v>
      </c>
      <c r="M588" t="s">
        <v>78</v>
      </c>
      <c r="N588" t="s">
        <v>79</v>
      </c>
      <c r="O588" t="s">
        <v>74</v>
      </c>
      <c r="P588" t="s">
        <v>74</v>
      </c>
      <c r="Q588" t="s">
        <v>74</v>
      </c>
      <c r="R588" t="s">
        <v>74</v>
      </c>
      <c r="S588" t="s">
        <v>74</v>
      </c>
      <c r="T588" t="s">
        <v>74</v>
      </c>
      <c r="U588" t="s">
        <v>9710</v>
      </c>
      <c r="V588" t="s">
        <v>9711</v>
      </c>
      <c r="W588" t="s">
        <v>9712</v>
      </c>
      <c r="X588" t="s">
        <v>9713</v>
      </c>
      <c r="Y588" t="s">
        <v>9714</v>
      </c>
      <c r="Z588" t="s">
        <v>9715</v>
      </c>
      <c r="AA588" t="s">
        <v>9716</v>
      </c>
      <c r="AB588" t="s">
        <v>9717</v>
      </c>
      <c r="AC588" t="s">
        <v>9718</v>
      </c>
      <c r="AD588" t="s">
        <v>9719</v>
      </c>
      <c r="AE588" t="s">
        <v>9720</v>
      </c>
      <c r="AF588" t="s">
        <v>74</v>
      </c>
      <c r="AG588">
        <v>26</v>
      </c>
      <c r="AH588">
        <v>1</v>
      </c>
      <c r="AI588">
        <v>1</v>
      </c>
      <c r="AJ588">
        <v>0</v>
      </c>
      <c r="AK588">
        <v>9</v>
      </c>
      <c r="AL588" t="s">
        <v>1845</v>
      </c>
      <c r="AM588" t="s">
        <v>1846</v>
      </c>
      <c r="AN588" t="s">
        <v>1847</v>
      </c>
      <c r="AO588" t="s">
        <v>1848</v>
      </c>
      <c r="AP588" t="s">
        <v>74</v>
      </c>
      <c r="AQ588" t="s">
        <v>74</v>
      </c>
      <c r="AR588" t="s">
        <v>1849</v>
      </c>
      <c r="AS588" t="s">
        <v>1850</v>
      </c>
      <c r="AT588" t="s">
        <v>2225</v>
      </c>
      <c r="AU588">
        <v>2020</v>
      </c>
      <c r="AV588">
        <v>31</v>
      </c>
      <c r="AW588">
        <v>2</v>
      </c>
      <c r="AX588" t="s">
        <v>74</v>
      </c>
      <c r="AY588" t="s">
        <v>74</v>
      </c>
      <c r="AZ588" t="s">
        <v>74</v>
      </c>
      <c r="BA588" t="s">
        <v>74</v>
      </c>
      <c r="BB588">
        <v>156</v>
      </c>
      <c r="BC588">
        <v>171</v>
      </c>
      <c r="BD588" t="s">
        <v>74</v>
      </c>
      <c r="BE588" t="s">
        <v>9721</v>
      </c>
      <c r="BF588" t="str">
        <f>HYPERLINK("http://dx.doi.org/10.7166/31-2-2221","http://dx.doi.org/10.7166/31-2-2221")</f>
        <v>http://dx.doi.org/10.7166/31-2-2221</v>
      </c>
      <c r="BG588" t="s">
        <v>74</v>
      </c>
      <c r="BH588" t="s">
        <v>74</v>
      </c>
      <c r="BI588">
        <v>16</v>
      </c>
      <c r="BJ588" t="s">
        <v>100</v>
      </c>
      <c r="BK588" t="s">
        <v>149</v>
      </c>
      <c r="BL588" t="s">
        <v>102</v>
      </c>
      <c r="BM588" t="s">
        <v>9722</v>
      </c>
      <c r="BN588" t="s">
        <v>74</v>
      </c>
      <c r="BO588" t="s">
        <v>208</v>
      </c>
      <c r="BP588" t="s">
        <v>74</v>
      </c>
      <c r="BQ588" t="s">
        <v>74</v>
      </c>
      <c r="BR588" t="s">
        <v>104</v>
      </c>
      <c r="BS588" t="s">
        <v>9723</v>
      </c>
      <c r="BT588" t="str">
        <f>HYPERLINK("https%3A%2F%2Fwww.webofscience.com%2Fwos%2Fwoscc%2Ffull-record%2FWOS:000563978600013","View Full Record in Web of Science")</f>
        <v>View Full Record in Web of Science</v>
      </c>
    </row>
    <row r="589" spans="1:72" x14ac:dyDescent="0.25">
      <c r="A589" t="s">
        <v>72</v>
      </c>
      <c r="B589" t="s">
        <v>9724</v>
      </c>
      <c r="C589" t="s">
        <v>74</v>
      </c>
      <c r="D589" t="s">
        <v>74</v>
      </c>
      <c r="E589" t="s">
        <v>74</v>
      </c>
      <c r="F589" t="s">
        <v>9725</v>
      </c>
      <c r="G589" t="s">
        <v>74</v>
      </c>
      <c r="H589" t="s">
        <v>74</v>
      </c>
      <c r="I589" t="s">
        <v>9726</v>
      </c>
      <c r="J589" t="s">
        <v>7821</v>
      </c>
      <c r="K589" t="s">
        <v>74</v>
      </c>
      <c r="L589" t="s">
        <v>74</v>
      </c>
      <c r="M589" t="s">
        <v>78</v>
      </c>
      <c r="N589" t="s">
        <v>79</v>
      </c>
      <c r="O589" t="s">
        <v>74</v>
      </c>
      <c r="P589" t="s">
        <v>74</v>
      </c>
      <c r="Q589" t="s">
        <v>74</v>
      </c>
      <c r="R589" t="s">
        <v>74</v>
      </c>
      <c r="S589" t="s">
        <v>74</v>
      </c>
      <c r="T589" t="s">
        <v>9727</v>
      </c>
      <c r="U589" t="s">
        <v>9728</v>
      </c>
      <c r="V589" t="s">
        <v>9729</v>
      </c>
      <c r="W589" t="s">
        <v>9730</v>
      </c>
      <c r="X589" t="s">
        <v>9731</v>
      </c>
      <c r="Y589" t="s">
        <v>9732</v>
      </c>
      <c r="Z589" t="s">
        <v>9733</v>
      </c>
      <c r="AA589" t="s">
        <v>9734</v>
      </c>
      <c r="AB589" t="s">
        <v>9735</v>
      </c>
      <c r="AC589" t="s">
        <v>9736</v>
      </c>
      <c r="AD589" t="s">
        <v>9737</v>
      </c>
      <c r="AE589" t="s">
        <v>9738</v>
      </c>
      <c r="AF589" t="s">
        <v>74</v>
      </c>
      <c r="AG589">
        <v>55</v>
      </c>
      <c r="AH589">
        <v>56</v>
      </c>
      <c r="AI589">
        <v>57</v>
      </c>
      <c r="AJ589">
        <v>7</v>
      </c>
      <c r="AK589">
        <v>185</v>
      </c>
      <c r="AL589" t="s">
        <v>4967</v>
      </c>
      <c r="AM589" t="s">
        <v>510</v>
      </c>
      <c r="AN589" t="s">
        <v>4968</v>
      </c>
      <c r="AO589" t="s">
        <v>7829</v>
      </c>
      <c r="AP589" t="s">
        <v>7830</v>
      </c>
      <c r="AQ589" t="s">
        <v>74</v>
      </c>
      <c r="AR589" t="s">
        <v>7831</v>
      </c>
      <c r="AS589" t="s">
        <v>7832</v>
      </c>
      <c r="AT589" t="s">
        <v>533</v>
      </c>
      <c r="AU589">
        <v>2019</v>
      </c>
      <c r="AV589">
        <v>117</v>
      </c>
      <c r="AW589" t="s">
        <v>74</v>
      </c>
      <c r="AX589" t="s">
        <v>74</v>
      </c>
      <c r="AY589" t="s">
        <v>74</v>
      </c>
      <c r="AZ589" t="s">
        <v>74</v>
      </c>
      <c r="BA589" t="s">
        <v>74</v>
      </c>
      <c r="BB589">
        <v>113</v>
      </c>
      <c r="BC589">
        <v>123</v>
      </c>
      <c r="BD589" t="s">
        <v>74</v>
      </c>
      <c r="BE589" t="s">
        <v>9739</v>
      </c>
      <c r="BF589" t="str">
        <f>HYPERLINK("http://dx.doi.org/10.1016/j.dss.2018.11.003","http://dx.doi.org/10.1016/j.dss.2018.11.003")</f>
        <v>http://dx.doi.org/10.1016/j.dss.2018.11.003</v>
      </c>
      <c r="BG589" t="s">
        <v>74</v>
      </c>
      <c r="BH589" t="s">
        <v>74</v>
      </c>
      <c r="BI589">
        <v>11</v>
      </c>
      <c r="BJ589" t="s">
        <v>7834</v>
      </c>
      <c r="BK589" t="s">
        <v>322</v>
      </c>
      <c r="BL589" t="s">
        <v>7835</v>
      </c>
      <c r="BM589" t="s">
        <v>9740</v>
      </c>
      <c r="BN589" t="s">
        <v>74</v>
      </c>
      <c r="BO589" t="s">
        <v>74</v>
      </c>
      <c r="BP589" t="s">
        <v>74</v>
      </c>
      <c r="BQ589" t="s">
        <v>74</v>
      </c>
      <c r="BR589" t="s">
        <v>104</v>
      </c>
      <c r="BS589" t="s">
        <v>9741</v>
      </c>
      <c r="BT589" t="str">
        <f>HYPERLINK("https%3A%2F%2Fwww.webofscience.com%2Fwos%2Fwoscc%2Ffull-record%2FWOS:000457506800010","View Full Record in Web of Science")</f>
        <v>View Full Record in Web of Science</v>
      </c>
    </row>
    <row r="590" spans="1:72" x14ac:dyDescent="0.25">
      <c r="A590" t="s">
        <v>72</v>
      </c>
      <c r="B590" t="s">
        <v>9742</v>
      </c>
      <c r="C590" t="s">
        <v>74</v>
      </c>
      <c r="D590" t="s">
        <v>74</v>
      </c>
      <c r="E590" t="s">
        <v>74</v>
      </c>
      <c r="F590" t="s">
        <v>9743</v>
      </c>
      <c r="G590" t="s">
        <v>74</v>
      </c>
      <c r="H590" t="s">
        <v>74</v>
      </c>
      <c r="I590" t="s">
        <v>9744</v>
      </c>
      <c r="J590" t="s">
        <v>1557</v>
      </c>
      <c r="K590" t="s">
        <v>74</v>
      </c>
      <c r="L590" t="s">
        <v>74</v>
      </c>
      <c r="M590" t="s">
        <v>78</v>
      </c>
      <c r="N590" t="s">
        <v>79</v>
      </c>
      <c r="O590" t="s">
        <v>74</v>
      </c>
      <c r="P590" t="s">
        <v>74</v>
      </c>
      <c r="Q590" t="s">
        <v>74</v>
      </c>
      <c r="R590" t="s">
        <v>74</v>
      </c>
      <c r="S590" t="s">
        <v>74</v>
      </c>
      <c r="T590" t="s">
        <v>9745</v>
      </c>
      <c r="U590" t="s">
        <v>74</v>
      </c>
      <c r="V590" t="s">
        <v>9746</v>
      </c>
      <c r="W590" t="s">
        <v>9747</v>
      </c>
      <c r="X590" t="s">
        <v>9748</v>
      </c>
      <c r="Y590" t="s">
        <v>9749</v>
      </c>
      <c r="Z590" t="s">
        <v>9750</v>
      </c>
      <c r="AA590" t="s">
        <v>9751</v>
      </c>
      <c r="AB590" t="s">
        <v>74</v>
      </c>
      <c r="AC590" t="s">
        <v>74</v>
      </c>
      <c r="AD590" t="s">
        <v>74</v>
      </c>
      <c r="AE590" t="s">
        <v>74</v>
      </c>
      <c r="AF590" t="s">
        <v>74</v>
      </c>
      <c r="AG590">
        <v>21</v>
      </c>
      <c r="AH590">
        <v>35</v>
      </c>
      <c r="AI590">
        <v>39</v>
      </c>
      <c r="AJ590">
        <v>2</v>
      </c>
      <c r="AK590">
        <v>17</v>
      </c>
      <c r="AL590" t="s">
        <v>707</v>
      </c>
      <c r="AM590" t="s">
        <v>246</v>
      </c>
      <c r="AN590" t="s">
        <v>708</v>
      </c>
      <c r="AO590" t="s">
        <v>1569</v>
      </c>
      <c r="AP590" t="s">
        <v>1570</v>
      </c>
      <c r="AQ590" t="s">
        <v>74</v>
      </c>
      <c r="AR590" t="s">
        <v>1571</v>
      </c>
      <c r="AS590" t="s">
        <v>1572</v>
      </c>
      <c r="AT590" t="s">
        <v>6825</v>
      </c>
      <c r="AU590">
        <v>2019</v>
      </c>
      <c r="AV590">
        <v>128</v>
      </c>
      <c r="AW590" t="s">
        <v>74</v>
      </c>
      <c r="AX590" t="s">
        <v>74</v>
      </c>
      <c r="AY590" t="s">
        <v>74</v>
      </c>
      <c r="AZ590" t="s">
        <v>74</v>
      </c>
      <c r="BA590" t="s">
        <v>74</v>
      </c>
      <c r="BB590">
        <v>96</v>
      </c>
      <c r="BC590">
        <v>108</v>
      </c>
      <c r="BD590" t="s">
        <v>74</v>
      </c>
      <c r="BE590" t="s">
        <v>9752</v>
      </c>
      <c r="BF590" t="str">
        <f>HYPERLINK("http://dx.doi.org/10.1016/j.eswa.2019.03.031","http://dx.doi.org/10.1016/j.eswa.2019.03.031")</f>
        <v>http://dx.doi.org/10.1016/j.eswa.2019.03.031</v>
      </c>
      <c r="BG590" t="s">
        <v>74</v>
      </c>
      <c r="BH590" t="s">
        <v>74</v>
      </c>
      <c r="BI590">
        <v>13</v>
      </c>
      <c r="BJ590" t="s">
        <v>1575</v>
      </c>
      <c r="BK590" t="s">
        <v>149</v>
      </c>
      <c r="BL590" t="s">
        <v>1576</v>
      </c>
      <c r="BM590" t="s">
        <v>9753</v>
      </c>
      <c r="BN590" t="s">
        <v>74</v>
      </c>
      <c r="BO590" t="s">
        <v>1706</v>
      </c>
      <c r="BP590" t="s">
        <v>74</v>
      </c>
      <c r="BQ590" t="s">
        <v>74</v>
      </c>
      <c r="BR590" t="s">
        <v>104</v>
      </c>
      <c r="BS590" t="s">
        <v>9754</v>
      </c>
      <c r="BT590" t="str">
        <f>HYPERLINK("https%3A%2F%2Fwww.webofscience.com%2Fwos%2Fwoscc%2Ffull-record%2FWOS:000470050400008","View Full Record in Web of Science")</f>
        <v>View Full Record in Web of Science</v>
      </c>
    </row>
    <row r="591" spans="1:72" x14ac:dyDescent="0.25">
      <c r="A591" t="s">
        <v>72</v>
      </c>
      <c r="B591" t="s">
        <v>9755</v>
      </c>
      <c r="C591" t="s">
        <v>74</v>
      </c>
      <c r="D591" t="s">
        <v>74</v>
      </c>
      <c r="E591" t="s">
        <v>74</v>
      </c>
      <c r="F591" t="s">
        <v>9756</v>
      </c>
      <c r="G591" t="s">
        <v>74</v>
      </c>
      <c r="H591" t="s">
        <v>74</v>
      </c>
      <c r="I591" t="s">
        <v>9757</v>
      </c>
      <c r="J591" t="s">
        <v>1557</v>
      </c>
      <c r="K591" t="s">
        <v>74</v>
      </c>
      <c r="L591" t="s">
        <v>74</v>
      </c>
      <c r="M591" t="s">
        <v>78</v>
      </c>
      <c r="N591" t="s">
        <v>79</v>
      </c>
      <c r="O591" t="s">
        <v>74</v>
      </c>
      <c r="P591" t="s">
        <v>74</v>
      </c>
      <c r="Q591" t="s">
        <v>74</v>
      </c>
      <c r="R591" t="s">
        <v>74</v>
      </c>
      <c r="S591" t="s">
        <v>74</v>
      </c>
      <c r="T591" t="s">
        <v>9758</v>
      </c>
      <c r="U591" t="s">
        <v>74</v>
      </c>
      <c r="V591" t="s">
        <v>9759</v>
      </c>
      <c r="W591" t="s">
        <v>9760</v>
      </c>
      <c r="X591" t="s">
        <v>9761</v>
      </c>
      <c r="Y591" t="s">
        <v>9762</v>
      </c>
      <c r="Z591" t="s">
        <v>9763</v>
      </c>
      <c r="AA591" t="s">
        <v>9764</v>
      </c>
      <c r="AB591" t="s">
        <v>9765</v>
      </c>
      <c r="AC591" t="s">
        <v>74</v>
      </c>
      <c r="AD591" t="s">
        <v>74</v>
      </c>
      <c r="AE591" t="s">
        <v>74</v>
      </c>
      <c r="AF591" t="s">
        <v>74</v>
      </c>
      <c r="AG591">
        <v>49</v>
      </c>
      <c r="AH591">
        <v>12</v>
      </c>
      <c r="AI591">
        <v>12</v>
      </c>
      <c r="AJ591">
        <v>2</v>
      </c>
      <c r="AK591">
        <v>48</v>
      </c>
      <c r="AL591" t="s">
        <v>707</v>
      </c>
      <c r="AM591" t="s">
        <v>246</v>
      </c>
      <c r="AN591" t="s">
        <v>708</v>
      </c>
      <c r="AO591" t="s">
        <v>1569</v>
      </c>
      <c r="AP591" t="s">
        <v>1570</v>
      </c>
      <c r="AQ591" t="s">
        <v>74</v>
      </c>
      <c r="AR591" t="s">
        <v>1571</v>
      </c>
      <c r="AS591" t="s">
        <v>1572</v>
      </c>
      <c r="AT591" t="s">
        <v>4404</v>
      </c>
      <c r="AU591">
        <v>2020</v>
      </c>
      <c r="AV591">
        <v>141</v>
      </c>
      <c r="AW591" t="s">
        <v>74</v>
      </c>
      <c r="AX591" t="s">
        <v>74</v>
      </c>
      <c r="AY591" t="s">
        <v>74</v>
      </c>
      <c r="AZ591" t="s">
        <v>74</v>
      </c>
      <c r="BA591" t="s">
        <v>74</v>
      </c>
      <c r="BB591" t="s">
        <v>74</v>
      </c>
      <c r="BC591" t="s">
        <v>74</v>
      </c>
      <c r="BD591">
        <v>112947</v>
      </c>
      <c r="BE591" t="s">
        <v>9766</v>
      </c>
      <c r="BF591" t="str">
        <f>HYPERLINK("http://dx.doi.org/10.1016/j.eswa.2019.112947","http://dx.doi.org/10.1016/j.eswa.2019.112947")</f>
        <v>http://dx.doi.org/10.1016/j.eswa.2019.112947</v>
      </c>
      <c r="BG591" t="s">
        <v>74</v>
      </c>
      <c r="BH591" t="s">
        <v>74</v>
      </c>
      <c r="BI591">
        <v>13</v>
      </c>
      <c r="BJ591" t="s">
        <v>1575</v>
      </c>
      <c r="BK591" t="s">
        <v>149</v>
      </c>
      <c r="BL591" t="s">
        <v>1576</v>
      </c>
      <c r="BM591" t="s">
        <v>9767</v>
      </c>
      <c r="BN591" t="s">
        <v>74</v>
      </c>
      <c r="BO591" t="s">
        <v>1044</v>
      </c>
      <c r="BP591" t="s">
        <v>74</v>
      </c>
      <c r="BQ591" t="s">
        <v>74</v>
      </c>
      <c r="BR591" t="s">
        <v>104</v>
      </c>
      <c r="BS591" t="s">
        <v>9768</v>
      </c>
      <c r="BT591" t="str">
        <f>HYPERLINK("https%3A%2F%2Fwww.webofscience.com%2Fwos%2Fwoscc%2Ffull-record%2FWOS:000496334800028","View Full Record in Web of Science")</f>
        <v>View Full Record in Web of Science</v>
      </c>
    </row>
    <row r="592" spans="1:72" x14ac:dyDescent="0.25">
      <c r="A592" t="s">
        <v>72</v>
      </c>
      <c r="B592" t="s">
        <v>9769</v>
      </c>
      <c r="C592" t="s">
        <v>74</v>
      </c>
      <c r="D592" t="s">
        <v>74</v>
      </c>
      <c r="E592" t="s">
        <v>74</v>
      </c>
      <c r="F592" t="s">
        <v>9770</v>
      </c>
      <c r="G592" t="s">
        <v>74</v>
      </c>
      <c r="H592" t="s">
        <v>74</v>
      </c>
      <c r="I592" t="s">
        <v>9771</v>
      </c>
      <c r="J592" t="s">
        <v>128</v>
      </c>
      <c r="K592" t="s">
        <v>74</v>
      </c>
      <c r="L592" t="s">
        <v>74</v>
      </c>
      <c r="M592" t="s">
        <v>78</v>
      </c>
      <c r="N592" t="s">
        <v>79</v>
      </c>
      <c r="O592" t="s">
        <v>74</v>
      </c>
      <c r="P592" t="s">
        <v>74</v>
      </c>
      <c r="Q592" t="s">
        <v>74</v>
      </c>
      <c r="R592" t="s">
        <v>74</v>
      </c>
      <c r="S592" t="s">
        <v>74</v>
      </c>
      <c r="T592" t="s">
        <v>9772</v>
      </c>
      <c r="U592" t="s">
        <v>9773</v>
      </c>
      <c r="V592" t="s">
        <v>9774</v>
      </c>
      <c r="W592" t="s">
        <v>9775</v>
      </c>
      <c r="X592" t="s">
        <v>9776</v>
      </c>
      <c r="Y592" t="s">
        <v>9777</v>
      </c>
      <c r="Z592" t="s">
        <v>9778</v>
      </c>
      <c r="AA592" t="s">
        <v>9779</v>
      </c>
      <c r="AB592" t="s">
        <v>9780</v>
      </c>
      <c r="AC592" t="s">
        <v>9781</v>
      </c>
      <c r="AD592" t="s">
        <v>9782</v>
      </c>
      <c r="AE592" t="s">
        <v>9783</v>
      </c>
      <c r="AF592" t="s">
        <v>74</v>
      </c>
      <c r="AG592">
        <v>52</v>
      </c>
      <c r="AH592">
        <v>3</v>
      </c>
      <c r="AI592">
        <v>3</v>
      </c>
      <c r="AJ592">
        <v>5</v>
      </c>
      <c r="AK592">
        <v>15</v>
      </c>
      <c r="AL592" t="s">
        <v>138</v>
      </c>
      <c r="AM592" t="s">
        <v>246</v>
      </c>
      <c r="AN592" t="s">
        <v>247</v>
      </c>
      <c r="AO592" t="s">
        <v>141</v>
      </c>
      <c r="AP592" t="s">
        <v>142</v>
      </c>
      <c r="AQ592" t="s">
        <v>74</v>
      </c>
      <c r="AR592" t="s">
        <v>143</v>
      </c>
      <c r="AS592" t="s">
        <v>144</v>
      </c>
      <c r="AT592" t="s">
        <v>1076</v>
      </c>
      <c r="AU592">
        <v>2022</v>
      </c>
      <c r="AV592">
        <v>226</v>
      </c>
      <c r="AW592" t="s">
        <v>74</v>
      </c>
      <c r="AX592" t="s">
        <v>74</v>
      </c>
      <c r="AY592" t="s">
        <v>74</v>
      </c>
      <c r="AZ592" t="s">
        <v>74</v>
      </c>
      <c r="BA592" t="s">
        <v>74</v>
      </c>
      <c r="BB592" t="s">
        <v>74</v>
      </c>
      <c r="BC592" t="s">
        <v>74</v>
      </c>
      <c r="BD592">
        <v>108638</v>
      </c>
      <c r="BE592" t="s">
        <v>9784</v>
      </c>
      <c r="BF592" t="str">
        <f>HYPERLINK("http://dx.doi.org/10.1016/j.ress.2022.108638","http://dx.doi.org/10.1016/j.ress.2022.108638")</f>
        <v>http://dx.doi.org/10.1016/j.ress.2022.108638</v>
      </c>
      <c r="BG592" t="s">
        <v>74</v>
      </c>
      <c r="BH592" t="s">
        <v>74</v>
      </c>
      <c r="BI592">
        <v>12</v>
      </c>
      <c r="BJ592" t="s">
        <v>148</v>
      </c>
      <c r="BK592" t="s">
        <v>149</v>
      </c>
      <c r="BL592" t="s">
        <v>150</v>
      </c>
      <c r="BM592" t="s">
        <v>4214</v>
      </c>
      <c r="BN592" t="s">
        <v>74</v>
      </c>
      <c r="BO592" t="s">
        <v>758</v>
      </c>
      <c r="BP592" t="s">
        <v>74</v>
      </c>
      <c r="BQ592" t="s">
        <v>74</v>
      </c>
      <c r="BR592" t="s">
        <v>104</v>
      </c>
      <c r="BS592" t="s">
        <v>9785</v>
      </c>
      <c r="BT592" t="str">
        <f>HYPERLINK("https%3A%2F%2Fwww.webofscience.com%2Fwos%2Fwoscc%2Ffull-record%2FWOS:000821966900001","View Full Record in Web of Science")</f>
        <v>View Full Record in Web of Science</v>
      </c>
    </row>
    <row r="593" spans="1:72" x14ac:dyDescent="0.25">
      <c r="A593" t="s">
        <v>72</v>
      </c>
      <c r="B593" t="s">
        <v>9786</v>
      </c>
      <c r="C593" t="s">
        <v>74</v>
      </c>
      <c r="D593" t="s">
        <v>74</v>
      </c>
      <c r="E593" t="s">
        <v>74</v>
      </c>
      <c r="F593" t="s">
        <v>9787</v>
      </c>
      <c r="G593" t="s">
        <v>74</v>
      </c>
      <c r="H593" t="s">
        <v>74</v>
      </c>
      <c r="I593" t="s">
        <v>9788</v>
      </c>
      <c r="J593" t="s">
        <v>77</v>
      </c>
      <c r="K593" t="s">
        <v>74</v>
      </c>
      <c r="L593" t="s">
        <v>74</v>
      </c>
      <c r="M593" t="s">
        <v>78</v>
      </c>
      <c r="N593" t="s">
        <v>79</v>
      </c>
      <c r="O593" t="s">
        <v>74</v>
      </c>
      <c r="P593" t="s">
        <v>74</v>
      </c>
      <c r="Q593" t="s">
        <v>74</v>
      </c>
      <c r="R593" t="s">
        <v>74</v>
      </c>
      <c r="S593" t="s">
        <v>74</v>
      </c>
      <c r="T593" t="s">
        <v>9789</v>
      </c>
      <c r="U593" t="s">
        <v>9790</v>
      </c>
      <c r="V593" t="s">
        <v>9791</v>
      </c>
      <c r="W593" t="s">
        <v>9792</v>
      </c>
      <c r="X593" t="s">
        <v>9793</v>
      </c>
      <c r="Y593" t="s">
        <v>9794</v>
      </c>
      <c r="Z593" t="s">
        <v>9795</v>
      </c>
      <c r="AA593" t="s">
        <v>9796</v>
      </c>
      <c r="AB593" t="s">
        <v>9797</v>
      </c>
      <c r="AC593" t="s">
        <v>74</v>
      </c>
      <c r="AD593" t="s">
        <v>74</v>
      </c>
      <c r="AE593" t="s">
        <v>74</v>
      </c>
      <c r="AF593" t="s">
        <v>74</v>
      </c>
      <c r="AG593">
        <v>25</v>
      </c>
      <c r="AH593">
        <v>7</v>
      </c>
      <c r="AI593">
        <v>6</v>
      </c>
      <c r="AJ593">
        <v>0</v>
      </c>
      <c r="AK593">
        <v>0</v>
      </c>
      <c r="AL593" t="s">
        <v>90</v>
      </c>
      <c r="AM593" t="s">
        <v>118</v>
      </c>
      <c r="AN593" t="s">
        <v>119</v>
      </c>
      <c r="AO593" t="s">
        <v>93</v>
      </c>
      <c r="AP593" t="s">
        <v>94</v>
      </c>
      <c r="AQ593" t="s">
        <v>74</v>
      </c>
      <c r="AR593" t="s">
        <v>95</v>
      </c>
      <c r="AS593" t="s">
        <v>96</v>
      </c>
      <c r="AT593" t="s">
        <v>9798</v>
      </c>
      <c r="AU593">
        <v>2023</v>
      </c>
      <c r="AV593">
        <v>29</v>
      </c>
      <c r="AW593">
        <v>3</v>
      </c>
      <c r="AX593" t="s">
        <v>74</v>
      </c>
      <c r="AY593" t="s">
        <v>74</v>
      </c>
      <c r="AZ593" t="s">
        <v>74</v>
      </c>
      <c r="BA593" t="s">
        <v>74</v>
      </c>
      <c r="BB593">
        <v>606</v>
      </c>
      <c r="BC593">
        <v>621</v>
      </c>
      <c r="BD593" t="s">
        <v>74</v>
      </c>
      <c r="BE593" t="s">
        <v>9799</v>
      </c>
      <c r="BF593" t="str">
        <f>HYPERLINK("http://dx.doi.org/10.1108/JQME-01-2022-0008","http://dx.doi.org/10.1108/JQME-01-2022-0008")</f>
        <v>http://dx.doi.org/10.1108/JQME-01-2022-0008</v>
      </c>
      <c r="BG593" t="s">
        <v>74</v>
      </c>
      <c r="BH593" t="s">
        <v>2984</v>
      </c>
      <c r="BI593">
        <v>16</v>
      </c>
      <c r="BJ593" t="s">
        <v>100</v>
      </c>
      <c r="BK593" t="s">
        <v>101</v>
      </c>
      <c r="BL593" t="s">
        <v>102</v>
      </c>
      <c r="BM593" t="s">
        <v>9800</v>
      </c>
      <c r="BN593" t="s">
        <v>74</v>
      </c>
      <c r="BO593" t="s">
        <v>74</v>
      </c>
      <c r="BP593" t="s">
        <v>74</v>
      </c>
      <c r="BQ593" t="s">
        <v>74</v>
      </c>
      <c r="BR593" t="s">
        <v>104</v>
      </c>
      <c r="BS593" t="s">
        <v>9801</v>
      </c>
      <c r="BT593" t="str">
        <f>HYPERLINK("https%3A%2F%2Fwww.webofscience.com%2Fwos%2Fwoscc%2Ffull-record%2FWOS:000918588800001","View Full Record in Web of Science")</f>
        <v>View Full Record in Web of Science</v>
      </c>
    </row>
    <row r="594" spans="1:72" x14ac:dyDescent="0.25">
      <c r="A594" t="s">
        <v>72</v>
      </c>
      <c r="B594" t="s">
        <v>9802</v>
      </c>
      <c r="C594" t="s">
        <v>74</v>
      </c>
      <c r="D594" t="s">
        <v>74</v>
      </c>
      <c r="E594" t="s">
        <v>74</v>
      </c>
      <c r="F594" t="s">
        <v>9803</v>
      </c>
      <c r="G594" t="s">
        <v>74</v>
      </c>
      <c r="H594" t="s">
        <v>74</v>
      </c>
      <c r="I594" t="s">
        <v>9804</v>
      </c>
      <c r="J594" t="s">
        <v>1140</v>
      </c>
      <c r="K594" t="s">
        <v>74</v>
      </c>
      <c r="L594" t="s">
        <v>74</v>
      </c>
      <c r="M594" t="s">
        <v>78</v>
      </c>
      <c r="N594" t="s">
        <v>79</v>
      </c>
      <c r="O594" t="s">
        <v>74</v>
      </c>
      <c r="P594" t="s">
        <v>74</v>
      </c>
      <c r="Q594" t="s">
        <v>74</v>
      </c>
      <c r="R594" t="s">
        <v>74</v>
      </c>
      <c r="S594" t="s">
        <v>74</v>
      </c>
      <c r="T594" t="s">
        <v>9805</v>
      </c>
      <c r="U594" t="s">
        <v>9806</v>
      </c>
      <c r="V594" t="s">
        <v>9807</v>
      </c>
      <c r="W594" t="s">
        <v>9808</v>
      </c>
      <c r="X594" t="s">
        <v>9809</v>
      </c>
      <c r="Y594" t="s">
        <v>9810</v>
      </c>
      <c r="Z594" t="s">
        <v>9811</v>
      </c>
      <c r="AA594" t="s">
        <v>9812</v>
      </c>
      <c r="AB594" t="s">
        <v>9813</v>
      </c>
      <c r="AC594" t="s">
        <v>74</v>
      </c>
      <c r="AD594" t="s">
        <v>74</v>
      </c>
      <c r="AE594" t="s">
        <v>74</v>
      </c>
      <c r="AF594" t="s">
        <v>74</v>
      </c>
      <c r="AG594">
        <v>56</v>
      </c>
      <c r="AH594">
        <v>7</v>
      </c>
      <c r="AI594">
        <v>7</v>
      </c>
      <c r="AJ594">
        <v>14</v>
      </c>
      <c r="AK594">
        <v>46</v>
      </c>
      <c r="AL594" t="s">
        <v>707</v>
      </c>
      <c r="AM594" t="s">
        <v>246</v>
      </c>
      <c r="AN594" t="s">
        <v>708</v>
      </c>
      <c r="AO594" t="s">
        <v>1150</v>
      </c>
      <c r="AP594" t="s">
        <v>1151</v>
      </c>
      <c r="AQ594" t="s">
        <v>74</v>
      </c>
      <c r="AR594" t="s">
        <v>1152</v>
      </c>
      <c r="AS594" t="s">
        <v>1153</v>
      </c>
      <c r="AT594" t="s">
        <v>1076</v>
      </c>
      <c r="AU594">
        <v>2023</v>
      </c>
      <c r="AV594">
        <v>125</v>
      </c>
      <c r="AW594" t="s">
        <v>74</v>
      </c>
      <c r="AX594" t="s">
        <v>74</v>
      </c>
      <c r="AY594" t="s">
        <v>74</v>
      </c>
      <c r="AZ594" t="s">
        <v>74</v>
      </c>
      <c r="BA594" t="s">
        <v>74</v>
      </c>
      <c r="BB594" t="s">
        <v>74</v>
      </c>
      <c r="BC594" t="s">
        <v>74</v>
      </c>
      <c r="BD594">
        <v>106665</v>
      </c>
      <c r="BE594" t="s">
        <v>9814</v>
      </c>
      <c r="BF594" t="str">
        <f>HYPERLINK("http://dx.doi.org/10.1016/j.engappai.2023.106665","http://dx.doi.org/10.1016/j.engappai.2023.106665")</f>
        <v>http://dx.doi.org/10.1016/j.engappai.2023.106665</v>
      </c>
      <c r="BG594" t="s">
        <v>74</v>
      </c>
      <c r="BH594" t="s">
        <v>1155</v>
      </c>
      <c r="BI594">
        <v>16</v>
      </c>
      <c r="BJ594" t="s">
        <v>1156</v>
      </c>
      <c r="BK594" t="s">
        <v>149</v>
      </c>
      <c r="BL594" t="s">
        <v>1157</v>
      </c>
      <c r="BM594" t="s">
        <v>9815</v>
      </c>
      <c r="BN594" t="s">
        <v>74</v>
      </c>
      <c r="BO594" t="s">
        <v>74</v>
      </c>
      <c r="BP594" t="s">
        <v>74</v>
      </c>
      <c r="BQ594" t="s">
        <v>74</v>
      </c>
      <c r="BR594" t="s">
        <v>104</v>
      </c>
      <c r="BS594" t="s">
        <v>9816</v>
      </c>
      <c r="BT594" t="str">
        <f>HYPERLINK("https%3A%2F%2Fwww.webofscience.com%2Fwos%2Fwoscc%2Ffull-record%2FWOS:001032298900001","View Full Record in Web of Science")</f>
        <v>View Full Record in Web of Science</v>
      </c>
    </row>
    <row r="595" spans="1:72" x14ac:dyDescent="0.25">
      <c r="A595" t="s">
        <v>72</v>
      </c>
      <c r="B595" t="s">
        <v>9817</v>
      </c>
      <c r="C595" t="s">
        <v>74</v>
      </c>
      <c r="D595" t="s">
        <v>74</v>
      </c>
      <c r="E595" t="s">
        <v>74</v>
      </c>
      <c r="F595" t="s">
        <v>9818</v>
      </c>
      <c r="G595" t="s">
        <v>74</v>
      </c>
      <c r="H595" t="s">
        <v>74</v>
      </c>
      <c r="I595" t="s">
        <v>9819</v>
      </c>
      <c r="J595" t="s">
        <v>6832</v>
      </c>
      <c r="K595" t="s">
        <v>74</v>
      </c>
      <c r="L595" t="s">
        <v>74</v>
      </c>
      <c r="M595" t="s">
        <v>78</v>
      </c>
      <c r="N595" t="s">
        <v>79</v>
      </c>
      <c r="O595" t="s">
        <v>74</v>
      </c>
      <c r="P595" t="s">
        <v>74</v>
      </c>
      <c r="Q595" t="s">
        <v>74</v>
      </c>
      <c r="R595" t="s">
        <v>74</v>
      </c>
      <c r="S595" t="s">
        <v>74</v>
      </c>
      <c r="T595" t="s">
        <v>9820</v>
      </c>
      <c r="U595" t="s">
        <v>9821</v>
      </c>
      <c r="V595" t="s">
        <v>9822</v>
      </c>
      <c r="W595" t="s">
        <v>9823</v>
      </c>
      <c r="X595" t="s">
        <v>9824</v>
      </c>
      <c r="Y595" t="s">
        <v>9825</v>
      </c>
      <c r="Z595" t="s">
        <v>9826</v>
      </c>
      <c r="AA595" t="s">
        <v>9827</v>
      </c>
      <c r="AB595" t="s">
        <v>9828</v>
      </c>
      <c r="AC595" t="s">
        <v>74</v>
      </c>
      <c r="AD595" t="s">
        <v>74</v>
      </c>
      <c r="AE595" t="s">
        <v>74</v>
      </c>
      <c r="AF595" t="s">
        <v>74</v>
      </c>
      <c r="AG595">
        <v>71</v>
      </c>
      <c r="AH595">
        <v>0</v>
      </c>
      <c r="AI595">
        <v>0</v>
      </c>
      <c r="AJ595">
        <v>9</v>
      </c>
      <c r="AK595">
        <v>13</v>
      </c>
      <c r="AL595" t="s">
        <v>484</v>
      </c>
      <c r="AM595" t="s">
        <v>485</v>
      </c>
      <c r="AN595" t="s">
        <v>486</v>
      </c>
      <c r="AO595" t="s">
        <v>6841</v>
      </c>
      <c r="AP595" t="s">
        <v>6842</v>
      </c>
      <c r="AQ595" t="s">
        <v>74</v>
      </c>
      <c r="AR595" t="s">
        <v>6843</v>
      </c>
      <c r="AS595" t="s">
        <v>6844</v>
      </c>
      <c r="AT595" t="s">
        <v>533</v>
      </c>
      <c r="AU595">
        <v>2025</v>
      </c>
      <c r="AV595">
        <v>42</v>
      </c>
      <c r="AW595">
        <v>2</v>
      </c>
      <c r="AX595" t="s">
        <v>74</v>
      </c>
      <c r="AY595" t="s">
        <v>74</v>
      </c>
      <c r="AZ595" t="s">
        <v>74</v>
      </c>
      <c r="BA595" t="s">
        <v>74</v>
      </c>
      <c r="BB595" t="s">
        <v>74</v>
      </c>
      <c r="BC595" t="s">
        <v>74</v>
      </c>
      <c r="BD595" t="s">
        <v>74</v>
      </c>
      <c r="BE595" t="s">
        <v>9829</v>
      </c>
      <c r="BF595" t="str">
        <f>HYPERLINK("http://dx.doi.org/10.1111/exsy.13661","http://dx.doi.org/10.1111/exsy.13661")</f>
        <v>http://dx.doi.org/10.1111/exsy.13661</v>
      </c>
      <c r="BG595" t="s">
        <v>74</v>
      </c>
      <c r="BH595" t="s">
        <v>361</v>
      </c>
      <c r="BI595">
        <v>12</v>
      </c>
      <c r="BJ595" t="s">
        <v>6847</v>
      </c>
      <c r="BK595" t="s">
        <v>149</v>
      </c>
      <c r="BL595" t="s">
        <v>1228</v>
      </c>
      <c r="BM595" t="s">
        <v>9830</v>
      </c>
      <c r="BN595" t="s">
        <v>74</v>
      </c>
      <c r="BO595" t="s">
        <v>74</v>
      </c>
      <c r="BP595" t="s">
        <v>74</v>
      </c>
      <c r="BQ595" t="s">
        <v>74</v>
      </c>
      <c r="BR595" t="s">
        <v>104</v>
      </c>
      <c r="BS595" t="s">
        <v>9831</v>
      </c>
      <c r="BT595" t="str">
        <f>HYPERLINK("https%3A%2F%2Fwww.webofscience.com%2Fwos%2Fwoscc%2Ffull-record%2FWOS:001244384700001","View Full Record in Web of Science")</f>
        <v>View Full Record in Web of Science</v>
      </c>
    </row>
    <row r="596" spans="1:72" x14ac:dyDescent="0.25">
      <c r="A596" t="s">
        <v>72</v>
      </c>
      <c r="B596" t="s">
        <v>9832</v>
      </c>
      <c r="C596" t="s">
        <v>74</v>
      </c>
      <c r="D596" t="s">
        <v>74</v>
      </c>
      <c r="E596" t="s">
        <v>74</v>
      </c>
      <c r="F596" t="s">
        <v>9833</v>
      </c>
      <c r="G596" t="s">
        <v>74</v>
      </c>
      <c r="H596" t="s">
        <v>74</v>
      </c>
      <c r="I596" t="s">
        <v>9834</v>
      </c>
      <c r="J596" t="s">
        <v>1557</v>
      </c>
      <c r="K596" t="s">
        <v>74</v>
      </c>
      <c r="L596" t="s">
        <v>74</v>
      </c>
      <c r="M596" t="s">
        <v>78</v>
      </c>
      <c r="N596" t="s">
        <v>79</v>
      </c>
      <c r="O596" t="s">
        <v>74</v>
      </c>
      <c r="P596" t="s">
        <v>74</v>
      </c>
      <c r="Q596" t="s">
        <v>74</v>
      </c>
      <c r="R596" t="s">
        <v>74</v>
      </c>
      <c r="S596" t="s">
        <v>74</v>
      </c>
      <c r="T596" t="s">
        <v>9835</v>
      </c>
      <c r="U596" t="s">
        <v>9836</v>
      </c>
      <c r="V596" t="s">
        <v>9837</v>
      </c>
      <c r="W596" t="s">
        <v>9838</v>
      </c>
      <c r="X596" t="s">
        <v>74</v>
      </c>
      <c r="Y596" t="s">
        <v>9839</v>
      </c>
      <c r="Z596" t="s">
        <v>9840</v>
      </c>
      <c r="AA596" t="s">
        <v>74</v>
      </c>
      <c r="AB596" t="s">
        <v>9841</v>
      </c>
      <c r="AC596" t="s">
        <v>9842</v>
      </c>
      <c r="AD596" t="s">
        <v>9842</v>
      </c>
      <c r="AE596" t="s">
        <v>9843</v>
      </c>
      <c r="AF596" t="s">
        <v>74</v>
      </c>
      <c r="AG596">
        <v>78</v>
      </c>
      <c r="AH596">
        <v>1</v>
      </c>
      <c r="AI596">
        <v>1</v>
      </c>
      <c r="AJ596">
        <v>11</v>
      </c>
      <c r="AK596">
        <v>13</v>
      </c>
      <c r="AL596" t="s">
        <v>707</v>
      </c>
      <c r="AM596" t="s">
        <v>246</v>
      </c>
      <c r="AN596" t="s">
        <v>708</v>
      </c>
      <c r="AO596" t="s">
        <v>1569</v>
      </c>
      <c r="AP596" t="s">
        <v>1570</v>
      </c>
      <c r="AQ596" t="s">
        <v>74</v>
      </c>
      <c r="AR596" t="s">
        <v>1571</v>
      </c>
      <c r="AS596" t="s">
        <v>1572</v>
      </c>
      <c r="AT596" t="s">
        <v>9844</v>
      </c>
      <c r="AU596">
        <v>2024</v>
      </c>
      <c r="AV596">
        <v>254</v>
      </c>
      <c r="AW596" t="s">
        <v>74</v>
      </c>
      <c r="AX596" t="s">
        <v>74</v>
      </c>
      <c r="AY596" t="s">
        <v>74</v>
      </c>
      <c r="AZ596" t="s">
        <v>74</v>
      </c>
      <c r="BA596" t="s">
        <v>74</v>
      </c>
      <c r="BB596" t="s">
        <v>74</v>
      </c>
      <c r="BC596" t="s">
        <v>74</v>
      </c>
      <c r="BD596">
        <v>124331</v>
      </c>
      <c r="BE596" t="s">
        <v>9845</v>
      </c>
      <c r="BF596" t="str">
        <f>HYPERLINK("http://dx.doi.org/10.1016/j.eswa.2024.124331","http://dx.doi.org/10.1016/j.eswa.2024.124331")</f>
        <v>http://dx.doi.org/10.1016/j.eswa.2024.124331</v>
      </c>
      <c r="BG596" t="s">
        <v>74</v>
      </c>
      <c r="BH596" t="s">
        <v>361</v>
      </c>
      <c r="BI596">
        <v>15</v>
      </c>
      <c r="BJ596" t="s">
        <v>1575</v>
      </c>
      <c r="BK596" t="s">
        <v>149</v>
      </c>
      <c r="BL596" t="s">
        <v>1576</v>
      </c>
      <c r="BM596" t="s">
        <v>9846</v>
      </c>
      <c r="BN596" t="s">
        <v>74</v>
      </c>
      <c r="BO596" t="s">
        <v>74</v>
      </c>
      <c r="BP596" t="s">
        <v>74</v>
      </c>
      <c r="BQ596" t="s">
        <v>74</v>
      </c>
      <c r="BR596" t="s">
        <v>104</v>
      </c>
      <c r="BS596" t="s">
        <v>9847</v>
      </c>
      <c r="BT596" t="str">
        <f>HYPERLINK("https%3A%2F%2Fwww.webofscience.com%2Fwos%2Fwoscc%2Ffull-record%2FWOS:001251837700001","View Full Record in Web of Science")</f>
        <v>View Full Record in Web of Science</v>
      </c>
    </row>
    <row r="597" spans="1:72" x14ac:dyDescent="0.25">
      <c r="A597" t="s">
        <v>72</v>
      </c>
      <c r="B597" t="s">
        <v>9848</v>
      </c>
      <c r="C597" t="s">
        <v>74</v>
      </c>
      <c r="D597" t="s">
        <v>74</v>
      </c>
      <c r="E597" t="s">
        <v>74</v>
      </c>
      <c r="F597" t="s">
        <v>9849</v>
      </c>
      <c r="G597" t="s">
        <v>74</v>
      </c>
      <c r="H597" t="s">
        <v>74</v>
      </c>
      <c r="I597" t="s">
        <v>9850</v>
      </c>
      <c r="J597" t="s">
        <v>128</v>
      </c>
      <c r="K597" t="s">
        <v>74</v>
      </c>
      <c r="L597" t="s">
        <v>74</v>
      </c>
      <c r="M597" t="s">
        <v>78</v>
      </c>
      <c r="N597" t="s">
        <v>79</v>
      </c>
      <c r="O597" t="s">
        <v>74</v>
      </c>
      <c r="P597" t="s">
        <v>74</v>
      </c>
      <c r="Q597" t="s">
        <v>74</v>
      </c>
      <c r="R597" t="s">
        <v>74</v>
      </c>
      <c r="S597" t="s">
        <v>74</v>
      </c>
      <c r="T597" t="s">
        <v>9851</v>
      </c>
      <c r="U597" t="s">
        <v>9852</v>
      </c>
      <c r="V597" t="s">
        <v>9853</v>
      </c>
      <c r="W597" t="s">
        <v>9854</v>
      </c>
      <c r="X597" t="s">
        <v>9855</v>
      </c>
      <c r="Y597" t="s">
        <v>1625</v>
      </c>
      <c r="Z597" t="s">
        <v>2083</v>
      </c>
      <c r="AA597" t="s">
        <v>74</v>
      </c>
      <c r="AB597" t="s">
        <v>480</v>
      </c>
      <c r="AC597" t="s">
        <v>9856</v>
      </c>
      <c r="AD597" t="s">
        <v>9857</v>
      </c>
      <c r="AE597" t="s">
        <v>9858</v>
      </c>
      <c r="AF597" t="s">
        <v>74</v>
      </c>
      <c r="AG597">
        <v>44</v>
      </c>
      <c r="AH597">
        <v>23</v>
      </c>
      <c r="AI597">
        <v>24</v>
      </c>
      <c r="AJ597">
        <v>9</v>
      </c>
      <c r="AK597">
        <v>52</v>
      </c>
      <c r="AL597" t="s">
        <v>138</v>
      </c>
      <c r="AM597" t="s">
        <v>139</v>
      </c>
      <c r="AN597" t="s">
        <v>140</v>
      </c>
      <c r="AO597" t="s">
        <v>141</v>
      </c>
      <c r="AP597" t="s">
        <v>142</v>
      </c>
      <c r="AQ597" t="s">
        <v>74</v>
      </c>
      <c r="AR597" t="s">
        <v>143</v>
      </c>
      <c r="AS597" t="s">
        <v>144</v>
      </c>
      <c r="AT597" t="s">
        <v>533</v>
      </c>
      <c r="AU597">
        <v>2023</v>
      </c>
      <c r="AV597">
        <v>230</v>
      </c>
      <c r="AW597" t="s">
        <v>74</v>
      </c>
      <c r="AX597" t="s">
        <v>74</v>
      </c>
      <c r="AY597" t="s">
        <v>74</v>
      </c>
      <c r="AZ597" t="s">
        <v>74</v>
      </c>
      <c r="BA597" t="s">
        <v>74</v>
      </c>
      <c r="BB597" t="s">
        <v>74</v>
      </c>
      <c r="BC597" t="s">
        <v>74</v>
      </c>
      <c r="BD597">
        <v>108909</v>
      </c>
      <c r="BE597" t="s">
        <v>9859</v>
      </c>
      <c r="BF597" t="str">
        <f>HYPERLINK("http://dx.doi.org/10.1016/j.ress.2022.108909","http://dx.doi.org/10.1016/j.ress.2022.108909")</f>
        <v>http://dx.doi.org/10.1016/j.ress.2022.108909</v>
      </c>
      <c r="BG597" t="s">
        <v>74</v>
      </c>
      <c r="BH597" t="s">
        <v>1285</v>
      </c>
      <c r="BI597">
        <v>14</v>
      </c>
      <c r="BJ597" t="s">
        <v>148</v>
      </c>
      <c r="BK597" t="s">
        <v>149</v>
      </c>
      <c r="BL597" t="s">
        <v>150</v>
      </c>
      <c r="BM597" t="s">
        <v>1286</v>
      </c>
      <c r="BN597" t="s">
        <v>74</v>
      </c>
      <c r="BO597" t="s">
        <v>74</v>
      </c>
      <c r="BP597" t="s">
        <v>74</v>
      </c>
      <c r="BQ597" t="s">
        <v>74</v>
      </c>
      <c r="BR597" t="s">
        <v>104</v>
      </c>
      <c r="BS597" t="s">
        <v>9860</v>
      </c>
      <c r="BT597" t="str">
        <f>HYPERLINK("https%3A%2F%2Fwww.webofscience.com%2Fwos%2Fwoscc%2Ffull-record%2FWOS:000900397900006","View Full Record in Web of Science")</f>
        <v>View Full Record in Web of Science</v>
      </c>
    </row>
    <row r="598" spans="1:72" x14ac:dyDescent="0.25">
      <c r="A598" t="s">
        <v>72</v>
      </c>
      <c r="B598" t="s">
        <v>9861</v>
      </c>
      <c r="C598" t="s">
        <v>74</v>
      </c>
      <c r="D598" t="s">
        <v>74</v>
      </c>
      <c r="E598" t="s">
        <v>74</v>
      </c>
      <c r="F598" t="s">
        <v>9862</v>
      </c>
      <c r="G598" t="s">
        <v>74</v>
      </c>
      <c r="H598" t="s">
        <v>74</v>
      </c>
      <c r="I598" t="s">
        <v>9863</v>
      </c>
      <c r="J598" t="s">
        <v>128</v>
      </c>
      <c r="K598" t="s">
        <v>74</v>
      </c>
      <c r="L598" t="s">
        <v>74</v>
      </c>
      <c r="M598" t="s">
        <v>78</v>
      </c>
      <c r="N598" t="s">
        <v>79</v>
      </c>
      <c r="O598" t="s">
        <v>74</v>
      </c>
      <c r="P598" t="s">
        <v>74</v>
      </c>
      <c r="Q598" t="s">
        <v>74</v>
      </c>
      <c r="R598" t="s">
        <v>74</v>
      </c>
      <c r="S598" t="s">
        <v>74</v>
      </c>
      <c r="T598" t="s">
        <v>9864</v>
      </c>
      <c r="U598" t="s">
        <v>9865</v>
      </c>
      <c r="V598" t="s">
        <v>9866</v>
      </c>
      <c r="W598" t="s">
        <v>9867</v>
      </c>
      <c r="X598" t="s">
        <v>1802</v>
      </c>
      <c r="Y598" t="s">
        <v>9868</v>
      </c>
      <c r="Z598" t="s">
        <v>9869</v>
      </c>
      <c r="AA598" t="s">
        <v>74</v>
      </c>
      <c r="AB598" t="s">
        <v>74</v>
      </c>
      <c r="AC598" t="s">
        <v>74</v>
      </c>
      <c r="AD598" t="s">
        <v>74</v>
      </c>
      <c r="AE598" t="s">
        <v>74</v>
      </c>
      <c r="AF598" t="s">
        <v>74</v>
      </c>
      <c r="AG598">
        <v>50</v>
      </c>
      <c r="AH598">
        <v>9</v>
      </c>
      <c r="AI598">
        <v>9</v>
      </c>
      <c r="AJ598">
        <v>18</v>
      </c>
      <c r="AK598">
        <v>41</v>
      </c>
      <c r="AL598" t="s">
        <v>138</v>
      </c>
      <c r="AM598" t="s">
        <v>139</v>
      </c>
      <c r="AN598" t="s">
        <v>140</v>
      </c>
      <c r="AO598" t="s">
        <v>141</v>
      </c>
      <c r="AP598" t="s">
        <v>142</v>
      </c>
      <c r="AQ598" t="s">
        <v>74</v>
      </c>
      <c r="AR598" t="s">
        <v>143</v>
      </c>
      <c r="AS598" t="s">
        <v>144</v>
      </c>
      <c r="AT598" t="s">
        <v>275</v>
      </c>
      <c r="AU598">
        <v>2023</v>
      </c>
      <c r="AV598">
        <v>231</v>
      </c>
      <c r="AW598" t="s">
        <v>74</v>
      </c>
      <c r="AX598" t="s">
        <v>74</v>
      </c>
      <c r="AY598" t="s">
        <v>74</v>
      </c>
      <c r="AZ598" t="s">
        <v>74</v>
      </c>
      <c r="BA598" t="s">
        <v>74</v>
      </c>
      <c r="BB598" t="s">
        <v>74</v>
      </c>
      <c r="BC598" t="s">
        <v>74</v>
      </c>
      <c r="BD598">
        <v>108911</v>
      </c>
      <c r="BE598" t="s">
        <v>9870</v>
      </c>
      <c r="BF598" t="str">
        <f>HYPERLINK("http://dx.doi.org/10.1016/j.ress.2022.108911","http://dx.doi.org/10.1016/j.ress.2022.108911")</f>
        <v>http://dx.doi.org/10.1016/j.ress.2022.108911</v>
      </c>
      <c r="BG598" t="s">
        <v>74</v>
      </c>
      <c r="BH598" t="s">
        <v>74</v>
      </c>
      <c r="BI598">
        <v>13</v>
      </c>
      <c r="BJ598" t="s">
        <v>148</v>
      </c>
      <c r="BK598" t="s">
        <v>149</v>
      </c>
      <c r="BL598" t="s">
        <v>150</v>
      </c>
      <c r="BM598" t="s">
        <v>9871</v>
      </c>
      <c r="BN598" t="s">
        <v>74</v>
      </c>
      <c r="BO598" t="s">
        <v>74</v>
      </c>
      <c r="BP598" t="s">
        <v>74</v>
      </c>
      <c r="BQ598" t="s">
        <v>74</v>
      </c>
      <c r="BR598" t="s">
        <v>104</v>
      </c>
      <c r="BS598" t="s">
        <v>9872</v>
      </c>
      <c r="BT598" t="str">
        <f>HYPERLINK("https%3A%2F%2Fwww.webofscience.com%2Fwos%2Fwoscc%2Ffull-record%2FWOS:001126856900001","View Full Record in Web of Science")</f>
        <v>View Full Record in Web of Science</v>
      </c>
    </row>
    <row r="599" spans="1:72" x14ac:dyDescent="0.25">
      <c r="A599" t="s">
        <v>72</v>
      </c>
      <c r="B599" t="s">
        <v>9873</v>
      </c>
      <c r="C599" t="s">
        <v>74</v>
      </c>
      <c r="D599" t="s">
        <v>74</v>
      </c>
      <c r="E599" t="s">
        <v>74</v>
      </c>
      <c r="F599" t="s">
        <v>9874</v>
      </c>
      <c r="G599" t="s">
        <v>74</v>
      </c>
      <c r="H599" t="s">
        <v>74</v>
      </c>
      <c r="I599" t="s">
        <v>9875</v>
      </c>
      <c r="J599" t="s">
        <v>940</v>
      </c>
      <c r="K599" t="s">
        <v>74</v>
      </c>
      <c r="L599" t="s">
        <v>74</v>
      </c>
      <c r="M599" t="s">
        <v>78</v>
      </c>
      <c r="N599" t="s">
        <v>79</v>
      </c>
      <c r="O599" t="s">
        <v>74</v>
      </c>
      <c r="P599" t="s">
        <v>74</v>
      </c>
      <c r="Q599" t="s">
        <v>74</v>
      </c>
      <c r="R599" t="s">
        <v>74</v>
      </c>
      <c r="S599" t="s">
        <v>74</v>
      </c>
      <c r="T599" t="s">
        <v>9876</v>
      </c>
      <c r="U599" t="s">
        <v>9877</v>
      </c>
      <c r="V599" t="s">
        <v>9878</v>
      </c>
      <c r="W599" t="s">
        <v>9879</v>
      </c>
      <c r="X599" t="s">
        <v>9880</v>
      </c>
      <c r="Y599" t="s">
        <v>9881</v>
      </c>
      <c r="Z599" t="s">
        <v>9882</v>
      </c>
      <c r="AA599" t="s">
        <v>9883</v>
      </c>
      <c r="AB599" t="s">
        <v>9884</v>
      </c>
      <c r="AC599" t="s">
        <v>74</v>
      </c>
      <c r="AD599" t="s">
        <v>74</v>
      </c>
      <c r="AE599" t="s">
        <v>74</v>
      </c>
      <c r="AF599" t="s">
        <v>74</v>
      </c>
      <c r="AG599">
        <v>82</v>
      </c>
      <c r="AH599">
        <v>0</v>
      </c>
      <c r="AI599">
        <v>0</v>
      </c>
      <c r="AJ599">
        <v>3</v>
      </c>
      <c r="AK599">
        <v>14</v>
      </c>
      <c r="AL599" t="s">
        <v>220</v>
      </c>
      <c r="AM599" t="s">
        <v>221</v>
      </c>
      <c r="AN599" t="s">
        <v>222</v>
      </c>
      <c r="AO599" t="s">
        <v>950</v>
      </c>
      <c r="AP599" t="s">
        <v>951</v>
      </c>
      <c r="AQ599" t="s">
        <v>74</v>
      </c>
      <c r="AR599" t="s">
        <v>952</v>
      </c>
      <c r="AS599" t="s">
        <v>953</v>
      </c>
      <c r="AT599" t="s">
        <v>74</v>
      </c>
      <c r="AU599">
        <v>2024</v>
      </c>
      <c r="AV599">
        <v>71</v>
      </c>
      <c r="AW599" t="s">
        <v>74</v>
      </c>
      <c r="AX599" t="s">
        <v>74</v>
      </c>
      <c r="AY599" t="s">
        <v>74</v>
      </c>
      <c r="AZ599" t="s">
        <v>74</v>
      </c>
      <c r="BA599" t="s">
        <v>74</v>
      </c>
      <c r="BB599">
        <v>440</v>
      </c>
      <c r="BC599">
        <v>451</v>
      </c>
      <c r="BD599" t="s">
        <v>74</v>
      </c>
      <c r="BE599" t="s">
        <v>9885</v>
      </c>
      <c r="BF599" t="str">
        <f>HYPERLINK("http://dx.doi.org/10.1109/TEM.2021.3125245","http://dx.doi.org/10.1109/TEM.2021.3125245")</f>
        <v>http://dx.doi.org/10.1109/TEM.2021.3125245</v>
      </c>
      <c r="BG599" t="s">
        <v>74</v>
      </c>
      <c r="BH599" t="s">
        <v>536</v>
      </c>
      <c r="BI599">
        <v>12</v>
      </c>
      <c r="BJ599" t="s">
        <v>955</v>
      </c>
      <c r="BK599" t="s">
        <v>322</v>
      </c>
      <c r="BL599" t="s">
        <v>956</v>
      </c>
      <c r="BM599" t="s">
        <v>1972</v>
      </c>
      <c r="BN599" t="s">
        <v>74</v>
      </c>
      <c r="BO599" t="s">
        <v>74</v>
      </c>
      <c r="BP599" t="s">
        <v>74</v>
      </c>
      <c r="BQ599" t="s">
        <v>74</v>
      </c>
      <c r="BR599" t="s">
        <v>104</v>
      </c>
      <c r="BS599" t="s">
        <v>9886</v>
      </c>
      <c r="BT599" t="str">
        <f>HYPERLINK("https%3A%2F%2Fwww.webofscience.com%2Fwos%2Fwoscc%2Ffull-record%2FWOS:000732627100001","View Full Record in Web of Science")</f>
        <v>View Full Record in Web of Science</v>
      </c>
    </row>
    <row r="600" spans="1:72" x14ac:dyDescent="0.25">
      <c r="A600" t="s">
        <v>72</v>
      </c>
      <c r="B600" t="s">
        <v>9887</v>
      </c>
      <c r="C600" t="s">
        <v>74</v>
      </c>
      <c r="D600" t="s">
        <v>74</v>
      </c>
      <c r="E600" t="s">
        <v>74</v>
      </c>
      <c r="F600" t="s">
        <v>9888</v>
      </c>
      <c r="G600" t="s">
        <v>74</v>
      </c>
      <c r="H600" t="s">
        <v>74</v>
      </c>
      <c r="I600" t="s">
        <v>9889</v>
      </c>
      <c r="J600" t="s">
        <v>542</v>
      </c>
      <c r="K600" t="s">
        <v>74</v>
      </c>
      <c r="L600" t="s">
        <v>74</v>
      </c>
      <c r="M600" t="s">
        <v>78</v>
      </c>
      <c r="N600" t="s">
        <v>79</v>
      </c>
      <c r="O600" t="s">
        <v>74</v>
      </c>
      <c r="P600" t="s">
        <v>74</v>
      </c>
      <c r="Q600" t="s">
        <v>74</v>
      </c>
      <c r="R600" t="s">
        <v>74</v>
      </c>
      <c r="S600" t="s">
        <v>74</v>
      </c>
      <c r="T600" t="s">
        <v>9890</v>
      </c>
      <c r="U600" t="s">
        <v>9891</v>
      </c>
      <c r="V600" t="s">
        <v>9892</v>
      </c>
      <c r="W600" t="s">
        <v>9893</v>
      </c>
      <c r="X600" t="s">
        <v>9894</v>
      </c>
      <c r="Y600" t="s">
        <v>9895</v>
      </c>
      <c r="Z600" t="s">
        <v>9896</v>
      </c>
      <c r="AA600" t="s">
        <v>9897</v>
      </c>
      <c r="AB600" t="s">
        <v>9898</v>
      </c>
      <c r="AC600" t="s">
        <v>9899</v>
      </c>
      <c r="AD600" t="s">
        <v>9900</v>
      </c>
      <c r="AE600" t="s">
        <v>9901</v>
      </c>
      <c r="AF600" t="s">
        <v>74</v>
      </c>
      <c r="AG600">
        <v>27</v>
      </c>
      <c r="AH600">
        <v>16</v>
      </c>
      <c r="AI600">
        <v>16</v>
      </c>
      <c r="AJ600">
        <v>0</v>
      </c>
      <c r="AK600">
        <v>16</v>
      </c>
      <c r="AL600" t="s">
        <v>552</v>
      </c>
      <c r="AM600" t="s">
        <v>553</v>
      </c>
      <c r="AN600" t="s">
        <v>554</v>
      </c>
      <c r="AO600" t="s">
        <v>555</v>
      </c>
      <c r="AP600" t="s">
        <v>556</v>
      </c>
      <c r="AQ600" t="s">
        <v>74</v>
      </c>
      <c r="AR600" t="s">
        <v>557</v>
      </c>
      <c r="AS600" t="s">
        <v>558</v>
      </c>
      <c r="AT600" t="s">
        <v>2225</v>
      </c>
      <c r="AU600">
        <v>2019</v>
      </c>
      <c r="AV600">
        <v>233</v>
      </c>
      <c r="AW600">
        <v>4</v>
      </c>
      <c r="AX600" t="s">
        <v>74</v>
      </c>
      <c r="AY600" t="s">
        <v>74</v>
      </c>
      <c r="AZ600" t="s">
        <v>74</v>
      </c>
      <c r="BA600" t="s">
        <v>74</v>
      </c>
      <c r="BB600">
        <v>505</v>
      </c>
      <c r="BC600">
        <v>519</v>
      </c>
      <c r="BD600" t="s">
        <v>74</v>
      </c>
      <c r="BE600" t="s">
        <v>9902</v>
      </c>
      <c r="BF600" t="str">
        <f>HYPERLINK("http://dx.doi.org/10.1177/1748006X18808085","http://dx.doi.org/10.1177/1748006X18808085")</f>
        <v>http://dx.doi.org/10.1177/1748006X18808085</v>
      </c>
      <c r="BG600" t="s">
        <v>74</v>
      </c>
      <c r="BH600" t="s">
        <v>74</v>
      </c>
      <c r="BI600">
        <v>15</v>
      </c>
      <c r="BJ600" t="s">
        <v>494</v>
      </c>
      <c r="BK600" t="s">
        <v>149</v>
      </c>
      <c r="BL600" t="s">
        <v>150</v>
      </c>
      <c r="BM600" t="s">
        <v>5007</v>
      </c>
      <c r="BN600" t="s">
        <v>74</v>
      </c>
      <c r="BO600" t="s">
        <v>400</v>
      </c>
      <c r="BP600" t="s">
        <v>74</v>
      </c>
      <c r="BQ600" t="s">
        <v>74</v>
      </c>
      <c r="BR600" t="s">
        <v>104</v>
      </c>
      <c r="BS600" t="s">
        <v>9903</v>
      </c>
      <c r="BT600" t="str">
        <f>HYPERLINK("https%3A%2F%2Fwww.webofscience.com%2Fwos%2Fwoscc%2Ffull-record%2FWOS:000478598600001","View Full Record in Web of Science")</f>
        <v>View Full Record in Web of Science</v>
      </c>
    </row>
    <row r="601" spans="1:72" x14ac:dyDescent="0.25">
      <c r="A601" t="s">
        <v>72</v>
      </c>
      <c r="B601" t="s">
        <v>9904</v>
      </c>
      <c r="C601" t="s">
        <v>74</v>
      </c>
      <c r="D601" t="s">
        <v>74</v>
      </c>
      <c r="E601" t="s">
        <v>74</v>
      </c>
      <c r="F601" t="s">
        <v>9905</v>
      </c>
      <c r="G601" t="s">
        <v>74</v>
      </c>
      <c r="H601" t="s">
        <v>74</v>
      </c>
      <c r="I601" t="s">
        <v>9906</v>
      </c>
      <c r="J601" t="s">
        <v>1557</v>
      </c>
      <c r="K601" t="s">
        <v>74</v>
      </c>
      <c r="L601" t="s">
        <v>74</v>
      </c>
      <c r="M601" t="s">
        <v>78</v>
      </c>
      <c r="N601" t="s">
        <v>79</v>
      </c>
      <c r="O601" t="s">
        <v>74</v>
      </c>
      <c r="P601" t="s">
        <v>74</v>
      </c>
      <c r="Q601" t="s">
        <v>74</v>
      </c>
      <c r="R601" t="s">
        <v>74</v>
      </c>
      <c r="S601" t="s">
        <v>74</v>
      </c>
      <c r="T601" t="s">
        <v>9907</v>
      </c>
      <c r="U601" t="s">
        <v>74</v>
      </c>
      <c r="V601" t="s">
        <v>9908</v>
      </c>
      <c r="W601" t="s">
        <v>9909</v>
      </c>
      <c r="X601" t="s">
        <v>9910</v>
      </c>
      <c r="Y601" t="s">
        <v>9911</v>
      </c>
      <c r="Z601" t="s">
        <v>9912</v>
      </c>
      <c r="AA601" t="s">
        <v>9913</v>
      </c>
      <c r="AB601" t="s">
        <v>9914</v>
      </c>
      <c r="AC601" t="s">
        <v>9915</v>
      </c>
      <c r="AD601" t="s">
        <v>9916</v>
      </c>
      <c r="AE601" t="s">
        <v>9917</v>
      </c>
      <c r="AF601" t="s">
        <v>74</v>
      </c>
      <c r="AG601">
        <v>30</v>
      </c>
      <c r="AH601">
        <v>30</v>
      </c>
      <c r="AI601">
        <v>33</v>
      </c>
      <c r="AJ601">
        <v>5</v>
      </c>
      <c r="AK601">
        <v>40</v>
      </c>
      <c r="AL601" t="s">
        <v>707</v>
      </c>
      <c r="AM601" t="s">
        <v>246</v>
      </c>
      <c r="AN601" t="s">
        <v>708</v>
      </c>
      <c r="AO601" t="s">
        <v>1569</v>
      </c>
      <c r="AP601" t="s">
        <v>1570</v>
      </c>
      <c r="AQ601" t="s">
        <v>74</v>
      </c>
      <c r="AR601" t="s">
        <v>1571</v>
      </c>
      <c r="AS601" t="s">
        <v>1572</v>
      </c>
      <c r="AT601" t="s">
        <v>9918</v>
      </c>
      <c r="AU601">
        <v>2021</v>
      </c>
      <c r="AV601">
        <v>186</v>
      </c>
      <c r="AW601" t="s">
        <v>74</v>
      </c>
      <c r="AX601" t="s">
        <v>74</v>
      </c>
      <c r="AY601" t="s">
        <v>74</v>
      </c>
      <c r="AZ601" t="s">
        <v>74</v>
      </c>
      <c r="BA601" t="s">
        <v>74</v>
      </c>
      <c r="BB601" t="s">
        <v>74</v>
      </c>
      <c r="BC601" t="s">
        <v>74</v>
      </c>
      <c r="BD601">
        <v>115763</v>
      </c>
      <c r="BE601" t="s">
        <v>9919</v>
      </c>
      <c r="BF601" t="str">
        <f>HYPERLINK("http://dx.doi.org/10.1016/j.eswa.2021.115763","http://dx.doi.org/10.1016/j.eswa.2021.115763")</f>
        <v>http://dx.doi.org/10.1016/j.eswa.2021.115763</v>
      </c>
      <c r="BG601" t="s">
        <v>74</v>
      </c>
      <c r="BH601" t="s">
        <v>2573</v>
      </c>
      <c r="BI601">
        <v>8</v>
      </c>
      <c r="BJ601" t="s">
        <v>1575</v>
      </c>
      <c r="BK601" t="s">
        <v>149</v>
      </c>
      <c r="BL601" t="s">
        <v>1576</v>
      </c>
      <c r="BM601" t="s">
        <v>9920</v>
      </c>
      <c r="BN601" t="s">
        <v>74</v>
      </c>
      <c r="BO601" t="s">
        <v>74</v>
      </c>
      <c r="BP601" t="s">
        <v>74</v>
      </c>
      <c r="BQ601" t="s">
        <v>74</v>
      </c>
      <c r="BR601" t="s">
        <v>104</v>
      </c>
      <c r="BS601" t="s">
        <v>9921</v>
      </c>
      <c r="BT601" t="str">
        <f>HYPERLINK("https%3A%2F%2Fwww.webofscience.com%2Fwos%2Fwoscc%2Ffull-record%2FWOS:000705531600008","View Full Record in Web of Science")</f>
        <v>View Full Record in Web of Science</v>
      </c>
    </row>
    <row r="602" spans="1:72" x14ac:dyDescent="0.25">
      <c r="A602" t="s">
        <v>72</v>
      </c>
      <c r="B602" t="s">
        <v>9922</v>
      </c>
      <c r="C602" t="s">
        <v>74</v>
      </c>
      <c r="D602" t="s">
        <v>74</v>
      </c>
      <c r="E602" t="s">
        <v>74</v>
      </c>
      <c r="F602" t="s">
        <v>9923</v>
      </c>
      <c r="G602" t="s">
        <v>74</v>
      </c>
      <c r="H602" t="s">
        <v>74</v>
      </c>
      <c r="I602" t="s">
        <v>9924</v>
      </c>
      <c r="J602" t="s">
        <v>1557</v>
      </c>
      <c r="K602" t="s">
        <v>74</v>
      </c>
      <c r="L602" t="s">
        <v>74</v>
      </c>
      <c r="M602" t="s">
        <v>78</v>
      </c>
      <c r="N602" t="s">
        <v>79</v>
      </c>
      <c r="O602" t="s">
        <v>74</v>
      </c>
      <c r="P602" t="s">
        <v>74</v>
      </c>
      <c r="Q602" t="s">
        <v>74</v>
      </c>
      <c r="R602" t="s">
        <v>74</v>
      </c>
      <c r="S602" t="s">
        <v>74</v>
      </c>
      <c r="T602" t="s">
        <v>9925</v>
      </c>
      <c r="U602" t="s">
        <v>9926</v>
      </c>
      <c r="V602" t="s">
        <v>9927</v>
      </c>
      <c r="W602" t="s">
        <v>9928</v>
      </c>
      <c r="X602" t="s">
        <v>9929</v>
      </c>
      <c r="Y602" t="s">
        <v>9930</v>
      </c>
      <c r="Z602" t="s">
        <v>9931</v>
      </c>
      <c r="AA602" t="s">
        <v>9932</v>
      </c>
      <c r="AB602" t="s">
        <v>9933</v>
      </c>
      <c r="AC602" t="s">
        <v>9934</v>
      </c>
      <c r="AD602" t="s">
        <v>9934</v>
      </c>
      <c r="AE602" t="s">
        <v>9935</v>
      </c>
      <c r="AF602" t="s">
        <v>74</v>
      </c>
      <c r="AG602">
        <v>55</v>
      </c>
      <c r="AH602">
        <v>37</v>
      </c>
      <c r="AI602">
        <v>37</v>
      </c>
      <c r="AJ602">
        <v>2</v>
      </c>
      <c r="AK602">
        <v>47</v>
      </c>
      <c r="AL602" t="s">
        <v>707</v>
      </c>
      <c r="AM602" t="s">
        <v>246</v>
      </c>
      <c r="AN602" t="s">
        <v>708</v>
      </c>
      <c r="AO602" t="s">
        <v>1569</v>
      </c>
      <c r="AP602" t="s">
        <v>1570</v>
      </c>
      <c r="AQ602" t="s">
        <v>74</v>
      </c>
      <c r="AR602" t="s">
        <v>1571</v>
      </c>
      <c r="AS602" t="s">
        <v>1572</v>
      </c>
      <c r="AT602" t="s">
        <v>8803</v>
      </c>
      <c r="AU602">
        <v>2019</v>
      </c>
      <c r="AV602">
        <v>137</v>
      </c>
      <c r="AW602" t="s">
        <v>74</v>
      </c>
      <c r="AX602" t="s">
        <v>74</v>
      </c>
      <c r="AY602" t="s">
        <v>74</v>
      </c>
      <c r="AZ602" t="s">
        <v>74</v>
      </c>
      <c r="BA602" t="s">
        <v>74</v>
      </c>
      <c r="BB602">
        <v>100</v>
      </c>
      <c r="BC602">
        <v>116</v>
      </c>
      <c r="BD602" t="s">
        <v>74</v>
      </c>
      <c r="BE602" t="s">
        <v>9936</v>
      </c>
      <c r="BF602" t="str">
        <f>HYPERLINK("http://dx.doi.org/10.1016/j.eswa.2019.06.050","http://dx.doi.org/10.1016/j.eswa.2019.06.050")</f>
        <v>http://dx.doi.org/10.1016/j.eswa.2019.06.050</v>
      </c>
      <c r="BG602" t="s">
        <v>74</v>
      </c>
      <c r="BH602" t="s">
        <v>74</v>
      </c>
      <c r="BI602">
        <v>17</v>
      </c>
      <c r="BJ602" t="s">
        <v>1575</v>
      </c>
      <c r="BK602" t="s">
        <v>149</v>
      </c>
      <c r="BL602" t="s">
        <v>1576</v>
      </c>
      <c r="BM602" t="s">
        <v>8805</v>
      </c>
      <c r="BN602" t="s">
        <v>74</v>
      </c>
      <c r="BO602" t="s">
        <v>74</v>
      </c>
      <c r="BP602" t="s">
        <v>74</v>
      </c>
      <c r="BQ602" t="s">
        <v>74</v>
      </c>
      <c r="BR602" t="s">
        <v>104</v>
      </c>
      <c r="BS602" t="s">
        <v>9937</v>
      </c>
      <c r="BT602" t="str">
        <f>HYPERLINK("https%3A%2F%2Fwww.webofscience.com%2Fwos%2Fwoscc%2Ffull-record%2FWOS:000487167500008","View Full Record in Web of Science")</f>
        <v>View Full Record in Web of Science</v>
      </c>
    </row>
    <row r="603" spans="1:72" x14ac:dyDescent="0.25">
      <c r="A603" t="s">
        <v>72</v>
      </c>
      <c r="B603" t="s">
        <v>9938</v>
      </c>
      <c r="C603" t="s">
        <v>74</v>
      </c>
      <c r="D603" t="s">
        <v>74</v>
      </c>
      <c r="E603" t="s">
        <v>74</v>
      </c>
      <c r="F603" t="s">
        <v>9939</v>
      </c>
      <c r="G603" t="s">
        <v>74</v>
      </c>
      <c r="H603" t="s">
        <v>74</v>
      </c>
      <c r="I603" t="s">
        <v>9940</v>
      </c>
      <c r="J603" t="s">
        <v>542</v>
      </c>
      <c r="K603" t="s">
        <v>74</v>
      </c>
      <c r="L603" t="s">
        <v>74</v>
      </c>
      <c r="M603" t="s">
        <v>78</v>
      </c>
      <c r="N603" t="s">
        <v>79</v>
      </c>
      <c r="O603" t="s">
        <v>74</v>
      </c>
      <c r="P603" t="s">
        <v>74</v>
      </c>
      <c r="Q603" t="s">
        <v>74</v>
      </c>
      <c r="R603" t="s">
        <v>74</v>
      </c>
      <c r="S603" t="s">
        <v>74</v>
      </c>
      <c r="T603" t="s">
        <v>9941</v>
      </c>
      <c r="U603" t="s">
        <v>9942</v>
      </c>
      <c r="V603" t="s">
        <v>9943</v>
      </c>
      <c r="W603" t="s">
        <v>9944</v>
      </c>
      <c r="X603" t="s">
        <v>9945</v>
      </c>
      <c r="Y603" t="s">
        <v>9946</v>
      </c>
      <c r="Z603" t="s">
        <v>9947</v>
      </c>
      <c r="AA603" t="s">
        <v>74</v>
      </c>
      <c r="AB603" t="s">
        <v>74</v>
      </c>
      <c r="AC603" t="s">
        <v>9948</v>
      </c>
      <c r="AD603" t="s">
        <v>9949</v>
      </c>
      <c r="AE603" t="s">
        <v>9950</v>
      </c>
      <c r="AF603" t="s">
        <v>74</v>
      </c>
      <c r="AG603">
        <v>35</v>
      </c>
      <c r="AH603">
        <v>9</v>
      </c>
      <c r="AI603">
        <v>10</v>
      </c>
      <c r="AJ603">
        <v>3</v>
      </c>
      <c r="AK603">
        <v>39</v>
      </c>
      <c r="AL603" t="s">
        <v>552</v>
      </c>
      <c r="AM603" t="s">
        <v>553</v>
      </c>
      <c r="AN603" t="s">
        <v>554</v>
      </c>
      <c r="AO603" t="s">
        <v>555</v>
      </c>
      <c r="AP603" t="s">
        <v>556</v>
      </c>
      <c r="AQ603" t="s">
        <v>74</v>
      </c>
      <c r="AR603" t="s">
        <v>557</v>
      </c>
      <c r="AS603" t="s">
        <v>558</v>
      </c>
      <c r="AT603" t="s">
        <v>559</v>
      </c>
      <c r="AU603">
        <v>2020</v>
      </c>
      <c r="AV603">
        <v>234</v>
      </c>
      <c r="AW603">
        <v>3</v>
      </c>
      <c r="AX603" t="s">
        <v>74</v>
      </c>
      <c r="AY603" t="s">
        <v>74</v>
      </c>
      <c r="AZ603" t="s">
        <v>74</v>
      </c>
      <c r="BA603" t="s">
        <v>74</v>
      </c>
      <c r="BB603">
        <v>550</v>
      </c>
      <c r="BC603">
        <v>561</v>
      </c>
      <c r="BD603" t="s">
        <v>9951</v>
      </c>
      <c r="BE603" t="s">
        <v>9952</v>
      </c>
      <c r="BF603" t="str">
        <f>HYPERLINK("http://dx.doi.org/10.1177/1748006X19886162","http://dx.doi.org/10.1177/1748006X19886162")</f>
        <v>http://dx.doi.org/10.1177/1748006X19886162</v>
      </c>
      <c r="BG603" t="s">
        <v>74</v>
      </c>
      <c r="BH603" t="s">
        <v>5390</v>
      </c>
      <c r="BI603">
        <v>12</v>
      </c>
      <c r="BJ603" t="s">
        <v>494</v>
      </c>
      <c r="BK603" t="s">
        <v>149</v>
      </c>
      <c r="BL603" t="s">
        <v>150</v>
      </c>
      <c r="BM603" t="s">
        <v>9953</v>
      </c>
      <c r="BN603" t="s">
        <v>74</v>
      </c>
      <c r="BO603" t="s">
        <v>74</v>
      </c>
      <c r="BP603" t="s">
        <v>74</v>
      </c>
      <c r="BQ603" t="s">
        <v>74</v>
      </c>
      <c r="BR603" t="s">
        <v>104</v>
      </c>
      <c r="BS603" t="s">
        <v>9954</v>
      </c>
      <c r="BT603" t="str">
        <f>HYPERLINK("https%3A%2F%2Fwww.webofscience.com%2Fwos%2Fwoscc%2Ffull-record%2FWOS:000499756900001","View Full Record in Web of Science")</f>
        <v>View Full Record in Web of Science</v>
      </c>
    </row>
    <row r="604" spans="1:72" x14ac:dyDescent="0.25">
      <c r="A604" t="s">
        <v>72</v>
      </c>
      <c r="B604" t="s">
        <v>9955</v>
      </c>
      <c r="C604" t="s">
        <v>74</v>
      </c>
      <c r="D604" t="s">
        <v>74</v>
      </c>
      <c r="E604" t="s">
        <v>74</v>
      </c>
      <c r="F604" t="s">
        <v>9956</v>
      </c>
      <c r="G604" t="s">
        <v>74</v>
      </c>
      <c r="H604" t="s">
        <v>74</v>
      </c>
      <c r="I604" t="s">
        <v>9957</v>
      </c>
      <c r="J604" t="s">
        <v>128</v>
      </c>
      <c r="K604" t="s">
        <v>74</v>
      </c>
      <c r="L604" t="s">
        <v>74</v>
      </c>
      <c r="M604" t="s">
        <v>78</v>
      </c>
      <c r="N604" t="s">
        <v>79</v>
      </c>
      <c r="O604" t="s">
        <v>74</v>
      </c>
      <c r="P604" t="s">
        <v>74</v>
      </c>
      <c r="Q604" t="s">
        <v>74</v>
      </c>
      <c r="R604" t="s">
        <v>74</v>
      </c>
      <c r="S604" t="s">
        <v>74</v>
      </c>
      <c r="T604" t="s">
        <v>9958</v>
      </c>
      <c r="U604" t="s">
        <v>9959</v>
      </c>
      <c r="V604" t="s">
        <v>9960</v>
      </c>
      <c r="W604" t="s">
        <v>9961</v>
      </c>
      <c r="X604" t="s">
        <v>9962</v>
      </c>
      <c r="Y604" t="s">
        <v>1803</v>
      </c>
      <c r="Z604" t="s">
        <v>1804</v>
      </c>
      <c r="AA604" t="s">
        <v>9963</v>
      </c>
      <c r="AB604" t="s">
        <v>9964</v>
      </c>
      <c r="AC604" t="s">
        <v>9965</v>
      </c>
      <c r="AD604" t="s">
        <v>9966</v>
      </c>
      <c r="AE604" t="s">
        <v>9967</v>
      </c>
      <c r="AF604" t="s">
        <v>74</v>
      </c>
      <c r="AG604">
        <v>35</v>
      </c>
      <c r="AH604">
        <v>34</v>
      </c>
      <c r="AI604">
        <v>34</v>
      </c>
      <c r="AJ604">
        <v>9</v>
      </c>
      <c r="AK604">
        <v>88</v>
      </c>
      <c r="AL604" t="s">
        <v>138</v>
      </c>
      <c r="AM604" t="s">
        <v>246</v>
      </c>
      <c r="AN604" t="s">
        <v>247</v>
      </c>
      <c r="AO604" t="s">
        <v>141</v>
      </c>
      <c r="AP604" t="s">
        <v>142</v>
      </c>
      <c r="AQ604" t="s">
        <v>74</v>
      </c>
      <c r="AR604" t="s">
        <v>143</v>
      </c>
      <c r="AS604" t="s">
        <v>144</v>
      </c>
      <c r="AT604" t="s">
        <v>1008</v>
      </c>
      <c r="AU604">
        <v>2022</v>
      </c>
      <c r="AV604">
        <v>217</v>
      </c>
      <c r="AW604" t="s">
        <v>74</v>
      </c>
      <c r="AX604" t="s">
        <v>74</v>
      </c>
      <c r="AY604" t="s">
        <v>74</v>
      </c>
      <c r="AZ604" t="s">
        <v>74</v>
      </c>
      <c r="BA604" t="s">
        <v>74</v>
      </c>
      <c r="BB604" t="s">
        <v>74</v>
      </c>
      <c r="BC604" t="s">
        <v>74</v>
      </c>
      <c r="BD604">
        <v>108112</v>
      </c>
      <c r="BE604" t="s">
        <v>9968</v>
      </c>
      <c r="BF604" t="str">
        <f>HYPERLINK("http://dx.doi.org/10.1016/j.ress.2021.108112","http://dx.doi.org/10.1016/j.ress.2021.108112")</f>
        <v>http://dx.doi.org/10.1016/j.ress.2021.108112</v>
      </c>
      <c r="BG604" t="s">
        <v>74</v>
      </c>
      <c r="BH604" t="s">
        <v>99</v>
      </c>
      <c r="BI604">
        <v>11</v>
      </c>
      <c r="BJ604" t="s">
        <v>148</v>
      </c>
      <c r="BK604" t="s">
        <v>149</v>
      </c>
      <c r="BL604" t="s">
        <v>150</v>
      </c>
      <c r="BM604" t="s">
        <v>4508</v>
      </c>
      <c r="BN604" t="s">
        <v>74</v>
      </c>
      <c r="BO604" t="s">
        <v>74</v>
      </c>
      <c r="BP604" t="s">
        <v>74</v>
      </c>
      <c r="BQ604" t="s">
        <v>74</v>
      </c>
      <c r="BR604" t="s">
        <v>104</v>
      </c>
      <c r="BS604" t="s">
        <v>9969</v>
      </c>
      <c r="BT604" t="str">
        <f>HYPERLINK("https%3A%2F%2Fwww.webofscience.com%2Fwos%2Fwoscc%2Ffull-record%2FWOS:000708365800027","View Full Record in Web of Science")</f>
        <v>View Full Record in Web of Science</v>
      </c>
    </row>
    <row r="605" spans="1:72" x14ac:dyDescent="0.25">
      <c r="A605" t="s">
        <v>72</v>
      </c>
      <c r="B605" t="s">
        <v>9970</v>
      </c>
      <c r="C605" t="s">
        <v>74</v>
      </c>
      <c r="D605" t="s">
        <v>74</v>
      </c>
      <c r="E605" t="s">
        <v>74</v>
      </c>
      <c r="F605" t="s">
        <v>9971</v>
      </c>
      <c r="G605" t="s">
        <v>74</v>
      </c>
      <c r="H605" t="s">
        <v>74</v>
      </c>
      <c r="I605" t="s">
        <v>9972</v>
      </c>
      <c r="J605" t="s">
        <v>697</v>
      </c>
      <c r="K605" t="s">
        <v>74</v>
      </c>
      <c r="L605" t="s">
        <v>74</v>
      </c>
      <c r="M605" t="s">
        <v>78</v>
      </c>
      <c r="N605" t="s">
        <v>79</v>
      </c>
      <c r="O605" t="s">
        <v>74</v>
      </c>
      <c r="P605" t="s">
        <v>74</v>
      </c>
      <c r="Q605" t="s">
        <v>74</v>
      </c>
      <c r="R605" t="s">
        <v>74</v>
      </c>
      <c r="S605" t="s">
        <v>74</v>
      </c>
      <c r="T605" t="s">
        <v>9973</v>
      </c>
      <c r="U605" t="s">
        <v>9974</v>
      </c>
      <c r="V605" t="s">
        <v>9975</v>
      </c>
      <c r="W605" t="s">
        <v>9976</v>
      </c>
      <c r="X605" t="s">
        <v>9977</v>
      </c>
      <c r="Y605" t="s">
        <v>9978</v>
      </c>
      <c r="Z605" t="s">
        <v>9979</v>
      </c>
      <c r="AA605" t="s">
        <v>9980</v>
      </c>
      <c r="AB605" t="s">
        <v>9981</v>
      </c>
      <c r="AC605" t="s">
        <v>74</v>
      </c>
      <c r="AD605" t="s">
        <v>74</v>
      </c>
      <c r="AE605" t="s">
        <v>74</v>
      </c>
      <c r="AF605" t="s">
        <v>74</v>
      </c>
      <c r="AG605">
        <v>47</v>
      </c>
      <c r="AH605">
        <v>16</v>
      </c>
      <c r="AI605">
        <v>16</v>
      </c>
      <c r="AJ605">
        <v>9</v>
      </c>
      <c r="AK605">
        <v>46</v>
      </c>
      <c r="AL605" t="s">
        <v>707</v>
      </c>
      <c r="AM605" t="s">
        <v>246</v>
      </c>
      <c r="AN605" t="s">
        <v>708</v>
      </c>
      <c r="AO605" t="s">
        <v>709</v>
      </c>
      <c r="AP605" t="s">
        <v>710</v>
      </c>
      <c r="AQ605" t="s">
        <v>74</v>
      </c>
      <c r="AR605" t="s">
        <v>711</v>
      </c>
      <c r="AS605" t="s">
        <v>712</v>
      </c>
      <c r="AT605" t="s">
        <v>2225</v>
      </c>
      <c r="AU605">
        <v>2021</v>
      </c>
      <c r="AV605">
        <v>158</v>
      </c>
      <c r="AW605" t="s">
        <v>74</v>
      </c>
      <c r="AX605" t="s">
        <v>74</v>
      </c>
      <c r="AY605" t="s">
        <v>74</v>
      </c>
      <c r="AZ605" t="s">
        <v>74</v>
      </c>
      <c r="BA605" t="s">
        <v>74</v>
      </c>
      <c r="BB605" t="s">
        <v>74</v>
      </c>
      <c r="BC605" t="s">
        <v>74</v>
      </c>
      <c r="BD605">
        <v>107415</v>
      </c>
      <c r="BE605" t="s">
        <v>9982</v>
      </c>
      <c r="BF605" t="str">
        <f>HYPERLINK("http://dx.doi.org/10.1016/j.cie.2021.107415","http://dx.doi.org/10.1016/j.cie.2021.107415")</f>
        <v>http://dx.doi.org/10.1016/j.cie.2021.107415</v>
      </c>
      <c r="BG605" t="s">
        <v>74</v>
      </c>
      <c r="BH605" t="s">
        <v>1771</v>
      </c>
      <c r="BI605">
        <v>12</v>
      </c>
      <c r="BJ605" t="s">
        <v>715</v>
      </c>
      <c r="BK605" t="s">
        <v>149</v>
      </c>
      <c r="BL605" t="s">
        <v>716</v>
      </c>
      <c r="BM605" t="s">
        <v>5694</v>
      </c>
      <c r="BN605" t="s">
        <v>74</v>
      </c>
      <c r="BO605" t="s">
        <v>74</v>
      </c>
      <c r="BP605" t="s">
        <v>74</v>
      </c>
      <c r="BQ605" t="s">
        <v>74</v>
      </c>
      <c r="BR605" t="s">
        <v>104</v>
      </c>
      <c r="BS605" t="s">
        <v>9983</v>
      </c>
      <c r="BT605" t="str">
        <f>HYPERLINK("https%3A%2F%2Fwww.webofscience.com%2Fwos%2Fwoscc%2Ffull-record%2FWOS:000667165200058","View Full Record in Web of Science")</f>
        <v>View Full Record in Web of Science</v>
      </c>
    </row>
    <row r="606" spans="1:72" x14ac:dyDescent="0.25">
      <c r="A606" t="s">
        <v>72</v>
      </c>
      <c r="B606" t="s">
        <v>9984</v>
      </c>
      <c r="C606" t="s">
        <v>74</v>
      </c>
      <c r="D606" t="s">
        <v>74</v>
      </c>
      <c r="E606" t="s">
        <v>74</v>
      </c>
      <c r="F606" t="s">
        <v>9985</v>
      </c>
      <c r="G606" t="s">
        <v>74</v>
      </c>
      <c r="H606" t="s">
        <v>74</v>
      </c>
      <c r="I606" t="s">
        <v>9986</v>
      </c>
      <c r="J606" t="s">
        <v>1557</v>
      </c>
      <c r="K606" t="s">
        <v>74</v>
      </c>
      <c r="L606" t="s">
        <v>74</v>
      </c>
      <c r="M606" t="s">
        <v>78</v>
      </c>
      <c r="N606" t="s">
        <v>79</v>
      </c>
      <c r="O606" t="s">
        <v>74</v>
      </c>
      <c r="P606" t="s">
        <v>74</v>
      </c>
      <c r="Q606" t="s">
        <v>74</v>
      </c>
      <c r="R606" t="s">
        <v>74</v>
      </c>
      <c r="S606" t="s">
        <v>74</v>
      </c>
      <c r="T606" t="s">
        <v>9987</v>
      </c>
      <c r="U606" t="s">
        <v>74</v>
      </c>
      <c r="V606" t="s">
        <v>9988</v>
      </c>
      <c r="W606" t="s">
        <v>9989</v>
      </c>
      <c r="X606" t="s">
        <v>74</v>
      </c>
      <c r="Y606" t="s">
        <v>9990</v>
      </c>
      <c r="Z606" t="s">
        <v>9991</v>
      </c>
      <c r="AA606" t="s">
        <v>9992</v>
      </c>
      <c r="AB606" t="s">
        <v>9993</v>
      </c>
      <c r="AC606" t="s">
        <v>74</v>
      </c>
      <c r="AD606" t="s">
        <v>74</v>
      </c>
      <c r="AE606" t="s">
        <v>74</v>
      </c>
      <c r="AF606" t="s">
        <v>74</v>
      </c>
      <c r="AG606">
        <v>26</v>
      </c>
      <c r="AH606">
        <v>113</v>
      </c>
      <c r="AI606">
        <v>122</v>
      </c>
      <c r="AJ606">
        <v>4</v>
      </c>
      <c r="AK606">
        <v>106</v>
      </c>
      <c r="AL606" t="s">
        <v>707</v>
      </c>
      <c r="AM606" t="s">
        <v>246</v>
      </c>
      <c r="AN606" t="s">
        <v>708</v>
      </c>
      <c r="AO606" t="s">
        <v>1569</v>
      </c>
      <c r="AP606" t="s">
        <v>1570</v>
      </c>
      <c r="AQ606" t="s">
        <v>74</v>
      </c>
      <c r="AR606" t="s">
        <v>1571</v>
      </c>
      <c r="AS606" t="s">
        <v>1572</v>
      </c>
      <c r="AT606" t="s">
        <v>9844</v>
      </c>
      <c r="AU606">
        <v>2019</v>
      </c>
      <c r="AV606">
        <v>134</v>
      </c>
      <c r="AW606" t="s">
        <v>74</v>
      </c>
      <c r="AX606" t="s">
        <v>74</v>
      </c>
      <c r="AY606" t="s">
        <v>74</v>
      </c>
      <c r="AZ606" t="s">
        <v>74</v>
      </c>
      <c r="BA606" t="s">
        <v>74</v>
      </c>
      <c r="BB606">
        <v>192</v>
      </c>
      <c r="BC606">
        <v>200</v>
      </c>
      <c r="BD606" t="s">
        <v>74</v>
      </c>
      <c r="BE606" t="s">
        <v>9994</v>
      </c>
      <c r="BF606" t="str">
        <f>HYPERLINK("http://dx.doi.org/10.1016/j.eswa.2019.05.030","http://dx.doi.org/10.1016/j.eswa.2019.05.030")</f>
        <v>http://dx.doi.org/10.1016/j.eswa.2019.05.030</v>
      </c>
      <c r="BG606" t="s">
        <v>74</v>
      </c>
      <c r="BH606" t="s">
        <v>74</v>
      </c>
      <c r="BI606">
        <v>9</v>
      </c>
      <c r="BJ606" t="s">
        <v>1575</v>
      </c>
      <c r="BK606" t="s">
        <v>149</v>
      </c>
      <c r="BL606" t="s">
        <v>1576</v>
      </c>
      <c r="BM606" t="s">
        <v>9995</v>
      </c>
      <c r="BN606" t="s">
        <v>74</v>
      </c>
      <c r="BO606" t="s">
        <v>74</v>
      </c>
      <c r="BP606" t="s">
        <v>74</v>
      </c>
      <c r="BQ606" t="s">
        <v>74</v>
      </c>
      <c r="BR606" t="s">
        <v>104</v>
      </c>
      <c r="BS606" t="s">
        <v>9996</v>
      </c>
      <c r="BT606" t="str">
        <f>HYPERLINK("https%3A%2F%2Fwww.webofscience.com%2Fwos%2Fwoscc%2Ffull-record%2FWOS:000475997000016","View Full Record in Web of Science")</f>
        <v>View Full Record in Web of Science</v>
      </c>
    </row>
    <row r="607" spans="1:72" x14ac:dyDescent="0.25">
      <c r="A607" t="s">
        <v>72</v>
      </c>
      <c r="B607" t="s">
        <v>9997</v>
      </c>
      <c r="C607" t="s">
        <v>74</v>
      </c>
      <c r="D607" t="s">
        <v>74</v>
      </c>
      <c r="E607" t="s">
        <v>74</v>
      </c>
      <c r="F607" t="s">
        <v>9998</v>
      </c>
      <c r="G607" t="s">
        <v>74</v>
      </c>
      <c r="H607" t="s">
        <v>74</v>
      </c>
      <c r="I607" t="s">
        <v>9999</v>
      </c>
      <c r="J607" t="s">
        <v>1932</v>
      </c>
      <c r="K607" t="s">
        <v>74</v>
      </c>
      <c r="L607" t="s">
        <v>74</v>
      </c>
      <c r="M607" t="s">
        <v>78</v>
      </c>
      <c r="N607" t="s">
        <v>79</v>
      </c>
      <c r="O607" t="s">
        <v>74</v>
      </c>
      <c r="P607" t="s">
        <v>74</v>
      </c>
      <c r="Q607" t="s">
        <v>74</v>
      </c>
      <c r="R607" t="s">
        <v>74</v>
      </c>
      <c r="S607" t="s">
        <v>74</v>
      </c>
      <c r="T607" t="s">
        <v>10000</v>
      </c>
      <c r="U607" t="s">
        <v>10001</v>
      </c>
      <c r="V607" t="s">
        <v>10002</v>
      </c>
      <c r="W607" t="s">
        <v>10003</v>
      </c>
      <c r="X607" t="s">
        <v>2612</v>
      </c>
      <c r="Y607" t="s">
        <v>10004</v>
      </c>
      <c r="Z607" t="s">
        <v>10005</v>
      </c>
      <c r="AA607" t="s">
        <v>74</v>
      </c>
      <c r="AB607" t="s">
        <v>74</v>
      </c>
      <c r="AC607" t="s">
        <v>10006</v>
      </c>
      <c r="AD607" t="s">
        <v>10007</v>
      </c>
      <c r="AE607" t="s">
        <v>10008</v>
      </c>
      <c r="AF607" t="s">
        <v>74</v>
      </c>
      <c r="AG607">
        <v>27</v>
      </c>
      <c r="AH607">
        <v>4</v>
      </c>
      <c r="AI607">
        <v>4</v>
      </c>
      <c r="AJ607">
        <v>5</v>
      </c>
      <c r="AK607">
        <v>27</v>
      </c>
      <c r="AL607" t="s">
        <v>311</v>
      </c>
      <c r="AM607" t="s">
        <v>312</v>
      </c>
      <c r="AN607" t="s">
        <v>313</v>
      </c>
      <c r="AO607" t="s">
        <v>1945</v>
      </c>
      <c r="AP607" t="s">
        <v>1946</v>
      </c>
      <c r="AQ607" t="s">
        <v>74</v>
      </c>
      <c r="AR607" t="s">
        <v>1947</v>
      </c>
      <c r="AS607" t="s">
        <v>1948</v>
      </c>
      <c r="AT607" t="s">
        <v>3367</v>
      </c>
      <c r="AU607">
        <v>2022</v>
      </c>
      <c r="AV607">
        <v>19</v>
      </c>
      <c r="AW607">
        <v>4</v>
      </c>
      <c r="AX607" t="s">
        <v>74</v>
      </c>
      <c r="AY607" t="s">
        <v>74</v>
      </c>
      <c r="AZ607" t="s">
        <v>74</v>
      </c>
      <c r="BA607" t="s">
        <v>74</v>
      </c>
      <c r="BB607">
        <v>473</v>
      </c>
      <c r="BC607">
        <v>489</v>
      </c>
      <c r="BD607" t="s">
        <v>74</v>
      </c>
      <c r="BE607" t="s">
        <v>10009</v>
      </c>
      <c r="BF607" t="str">
        <f>HYPERLINK("http://dx.doi.org/10.1080/16843703.2022.2034260","http://dx.doi.org/10.1080/16843703.2022.2034260")</f>
        <v>http://dx.doi.org/10.1080/16843703.2022.2034260</v>
      </c>
      <c r="BG607" t="s">
        <v>74</v>
      </c>
      <c r="BH607" t="s">
        <v>813</v>
      </c>
      <c r="BI607">
        <v>17</v>
      </c>
      <c r="BJ607" t="s">
        <v>1951</v>
      </c>
      <c r="BK607" t="s">
        <v>149</v>
      </c>
      <c r="BL607" t="s">
        <v>1952</v>
      </c>
      <c r="BM607" t="s">
        <v>10010</v>
      </c>
      <c r="BN607" t="s">
        <v>74</v>
      </c>
      <c r="BO607" t="s">
        <v>74</v>
      </c>
      <c r="BP607" t="s">
        <v>74</v>
      </c>
      <c r="BQ607" t="s">
        <v>74</v>
      </c>
      <c r="BR607" t="s">
        <v>104</v>
      </c>
      <c r="BS607" t="s">
        <v>10011</v>
      </c>
      <c r="BT607" t="str">
        <f>HYPERLINK("https%3A%2F%2Fwww.webofscience.com%2Fwos%2Fwoscc%2Ffull-record%2FWOS:000767662000001","View Full Record in Web of Science")</f>
        <v>View Full Record in Web of Science</v>
      </c>
    </row>
    <row r="608" spans="1:72" x14ac:dyDescent="0.25">
      <c r="A608" t="s">
        <v>72</v>
      </c>
      <c r="B608" t="s">
        <v>10012</v>
      </c>
      <c r="C608" t="s">
        <v>74</v>
      </c>
      <c r="D608" t="s">
        <v>74</v>
      </c>
      <c r="E608" t="s">
        <v>74</v>
      </c>
      <c r="F608" t="s">
        <v>10013</v>
      </c>
      <c r="G608" t="s">
        <v>74</v>
      </c>
      <c r="H608" t="s">
        <v>74</v>
      </c>
      <c r="I608" t="s">
        <v>10014</v>
      </c>
      <c r="J608" t="s">
        <v>1557</v>
      </c>
      <c r="K608" t="s">
        <v>74</v>
      </c>
      <c r="L608" t="s">
        <v>74</v>
      </c>
      <c r="M608" t="s">
        <v>78</v>
      </c>
      <c r="N608" t="s">
        <v>79</v>
      </c>
      <c r="O608" t="s">
        <v>74</v>
      </c>
      <c r="P608" t="s">
        <v>74</v>
      </c>
      <c r="Q608" t="s">
        <v>74</v>
      </c>
      <c r="R608" t="s">
        <v>74</v>
      </c>
      <c r="S608" t="s">
        <v>74</v>
      </c>
      <c r="T608" t="s">
        <v>10015</v>
      </c>
      <c r="U608" t="s">
        <v>10016</v>
      </c>
      <c r="V608" t="s">
        <v>10017</v>
      </c>
      <c r="W608" t="s">
        <v>10018</v>
      </c>
      <c r="X608" t="s">
        <v>74</v>
      </c>
      <c r="Y608" t="s">
        <v>10019</v>
      </c>
      <c r="Z608" t="s">
        <v>10020</v>
      </c>
      <c r="AA608" t="s">
        <v>10021</v>
      </c>
      <c r="AB608" t="s">
        <v>10022</v>
      </c>
      <c r="AC608" t="s">
        <v>10023</v>
      </c>
      <c r="AD608" t="s">
        <v>10024</v>
      </c>
      <c r="AE608" t="s">
        <v>10025</v>
      </c>
      <c r="AF608" t="s">
        <v>74</v>
      </c>
      <c r="AG608">
        <v>57</v>
      </c>
      <c r="AH608">
        <v>23</v>
      </c>
      <c r="AI608">
        <v>23</v>
      </c>
      <c r="AJ608">
        <v>2</v>
      </c>
      <c r="AK608">
        <v>13</v>
      </c>
      <c r="AL608" t="s">
        <v>707</v>
      </c>
      <c r="AM608" t="s">
        <v>246</v>
      </c>
      <c r="AN608" t="s">
        <v>708</v>
      </c>
      <c r="AO608" t="s">
        <v>1569</v>
      </c>
      <c r="AP608" t="s">
        <v>1570</v>
      </c>
      <c r="AQ608" t="s">
        <v>74</v>
      </c>
      <c r="AR608" t="s">
        <v>1571</v>
      </c>
      <c r="AS608" t="s">
        <v>1572</v>
      </c>
      <c r="AT608" t="s">
        <v>10026</v>
      </c>
      <c r="AU608">
        <v>2020</v>
      </c>
      <c r="AV608">
        <v>146</v>
      </c>
      <c r="AW608" t="s">
        <v>74</v>
      </c>
      <c r="AX608" t="s">
        <v>74</v>
      </c>
      <c r="AY608" t="s">
        <v>74</v>
      </c>
      <c r="AZ608" t="s">
        <v>74</v>
      </c>
      <c r="BA608" t="s">
        <v>74</v>
      </c>
      <c r="BB608" t="s">
        <v>74</v>
      </c>
      <c r="BC608" t="s">
        <v>74</v>
      </c>
      <c r="BD608">
        <v>113138</v>
      </c>
      <c r="BE608" t="s">
        <v>10027</v>
      </c>
      <c r="BF608" t="str">
        <f>HYPERLINK("http://dx.doi.org/10.1016/j.eswa.2019.113138","http://dx.doi.org/10.1016/j.eswa.2019.113138")</f>
        <v>http://dx.doi.org/10.1016/j.eswa.2019.113138</v>
      </c>
      <c r="BG608" t="s">
        <v>74</v>
      </c>
      <c r="BH608" t="s">
        <v>74</v>
      </c>
      <c r="BI608">
        <v>16</v>
      </c>
      <c r="BJ608" t="s">
        <v>1575</v>
      </c>
      <c r="BK608" t="s">
        <v>149</v>
      </c>
      <c r="BL608" t="s">
        <v>1576</v>
      </c>
      <c r="BM608" t="s">
        <v>10028</v>
      </c>
      <c r="BN608" t="s">
        <v>74</v>
      </c>
      <c r="BO608" t="s">
        <v>74</v>
      </c>
      <c r="BP608" t="s">
        <v>74</v>
      </c>
      <c r="BQ608" t="s">
        <v>74</v>
      </c>
      <c r="BR608" t="s">
        <v>104</v>
      </c>
      <c r="BS608" t="s">
        <v>10029</v>
      </c>
      <c r="BT608" t="str">
        <f>HYPERLINK("https%3A%2F%2Fwww.webofscience.com%2Fwos%2Fwoscc%2Ffull-record%2FWOS:000519653400004","View Full Record in Web of Science")</f>
        <v>View Full Record in Web of Science</v>
      </c>
    </row>
    <row r="609" spans="1:72" x14ac:dyDescent="0.25">
      <c r="A609" t="s">
        <v>72</v>
      </c>
      <c r="B609" t="s">
        <v>10030</v>
      </c>
      <c r="C609" t="s">
        <v>74</v>
      </c>
      <c r="D609" t="s">
        <v>74</v>
      </c>
      <c r="E609" t="s">
        <v>74</v>
      </c>
      <c r="F609" t="s">
        <v>10031</v>
      </c>
      <c r="G609" t="s">
        <v>74</v>
      </c>
      <c r="H609" t="s">
        <v>74</v>
      </c>
      <c r="I609" t="s">
        <v>10032</v>
      </c>
      <c r="J609" t="s">
        <v>1557</v>
      </c>
      <c r="K609" t="s">
        <v>74</v>
      </c>
      <c r="L609" t="s">
        <v>74</v>
      </c>
      <c r="M609" t="s">
        <v>78</v>
      </c>
      <c r="N609" t="s">
        <v>79</v>
      </c>
      <c r="O609" t="s">
        <v>74</v>
      </c>
      <c r="P609" t="s">
        <v>74</v>
      </c>
      <c r="Q609" t="s">
        <v>74</v>
      </c>
      <c r="R609" t="s">
        <v>74</v>
      </c>
      <c r="S609" t="s">
        <v>74</v>
      </c>
      <c r="T609" t="s">
        <v>10033</v>
      </c>
      <c r="U609" t="s">
        <v>10034</v>
      </c>
      <c r="V609" t="s">
        <v>10035</v>
      </c>
      <c r="W609" t="s">
        <v>10036</v>
      </c>
      <c r="X609" t="s">
        <v>10037</v>
      </c>
      <c r="Y609" t="s">
        <v>10038</v>
      </c>
      <c r="Z609" t="s">
        <v>10039</v>
      </c>
      <c r="AA609" t="s">
        <v>10040</v>
      </c>
      <c r="AB609" t="s">
        <v>74</v>
      </c>
      <c r="AC609" t="s">
        <v>74</v>
      </c>
      <c r="AD609" t="s">
        <v>74</v>
      </c>
      <c r="AE609" t="s">
        <v>74</v>
      </c>
      <c r="AF609" t="s">
        <v>74</v>
      </c>
      <c r="AG609">
        <v>42</v>
      </c>
      <c r="AH609">
        <v>13</v>
      </c>
      <c r="AI609">
        <v>13</v>
      </c>
      <c r="AJ609">
        <v>1</v>
      </c>
      <c r="AK609">
        <v>28</v>
      </c>
      <c r="AL609" t="s">
        <v>707</v>
      </c>
      <c r="AM609" t="s">
        <v>246</v>
      </c>
      <c r="AN609" t="s">
        <v>708</v>
      </c>
      <c r="AO609" t="s">
        <v>1569</v>
      </c>
      <c r="AP609" t="s">
        <v>1570</v>
      </c>
      <c r="AQ609" t="s">
        <v>74</v>
      </c>
      <c r="AR609" t="s">
        <v>1571</v>
      </c>
      <c r="AS609" t="s">
        <v>1572</v>
      </c>
      <c r="AT609" t="s">
        <v>6825</v>
      </c>
      <c r="AU609">
        <v>2021</v>
      </c>
      <c r="AV609">
        <v>176</v>
      </c>
      <c r="AW609" t="s">
        <v>74</v>
      </c>
      <c r="AX609" t="s">
        <v>74</v>
      </c>
      <c r="AY609" t="s">
        <v>74</v>
      </c>
      <c r="AZ609" t="s">
        <v>74</v>
      </c>
      <c r="BA609" t="s">
        <v>74</v>
      </c>
      <c r="BB609" t="s">
        <v>74</v>
      </c>
      <c r="BC609" t="s">
        <v>74</v>
      </c>
      <c r="BD609">
        <v>114882</v>
      </c>
      <c r="BE609" t="s">
        <v>10041</v>
      </c>
      <c r="BF609" t="str">
        <f>HYPERLINK("http://dx.doi.org/10.1016/j.eswa.2021.114882","http://dx.doi.org/10.1016/j.eswa.2021.114882")</f>
        <v>http://dx.doi.org/10.1016/j.eswa.2021.114882</v>
      </c>
      <c r="BG609" t="s">
        <v>74</v>
      </c>
      <c r="BH609" t="s">
        <v>756</v>
      </c>
      <c r="BI609">
        <v>14</v>
      </c>
      <c r="BJ609" t="s">
        <v>1575</v>
      </c>
      <c r="BK609" t="s">
        <v>149</v>
      </c>
      <c r="BL609" t="s">
        <v>1576</v>
      </c>
      <c r="BM609" t="s">
        <v>10042</v>
      </c>
      <c r="BN609" t="s">
        <v>74</v>
      </c>
      <c r="BO609" t="s">
        <v>74</v>
      </c>
      <c r="BP609" t="s">
        <v>74</v>
      </c>
      <c r="BQ609" t="s">
        <v>74</v>
      </c>
      <c r="BR609" t="s">
        <v>104</v>
      </c>
      <c r="BS609" t="s">
        <v>10043</v>
      </c>
      <c r="BT609" t="str">
        <f>HYPERLINK("https%3A%2F%2Fwww.webofscience.com%2Fwos%2Fwoscc%2Ffull-record%2FWOS:000649743900003","View Full Record in Web of Science")</f>
        <v>View Full Record in Web of Science</v>
      </c>
    </row>
    <row r="610" spans="1:72" x14ac:dyDescent="0.25">
      <c r="A610" t="s">
        <v>72</v>
      </c>
      <c r="B610" t="s">
        <v>10044</v>
      </c>
      <c r="C610" t="s">
        <v>74</v>
      </c>
      <c r="D610" t="s">
        <v>74</v>
      </c>
      <c r="E610" t="s">
        <v>74</v>
      </c>
      <c r="F610" t="s">
        <v>10045</v>
      </c>
      <c r="G610" t="s">
        <v>74</v>
      </c>
      <c r="H610" t="s">
        <v>74</v>
      </c>
      <c r="I610" t="s">
        <v>10046</v>
      </c>
      <c r="J610" t="s">
        <v>1932</v>
      </c>
      <c r="K610" t="s">
        <v>74</v>
      </c>
      <c r="L610" t="s">
        <v>74</v>
      </c>
      <c r="M610" t="s">
        <v>78</v>
      </c>
      <c r="N610" t="s">
        <v>79</v>
      </c>
      <c r="O610" t="s">
        <v>74</v>
      </c>
      <c r="P610" t="s">
        <v>74</v>
      </c>
      <c r="Q610" t="s">
        <v>74</v>
      </c>
      <c r="R610" t="s">
        <v>74</v>
      </c>
      <c r="S610" t="s">
        <v>74</v>
      </c>
      <c r="T610" t="s">
        <v>10047</v>
      </c>
      <c r="U610" t="s">
        <v>10048</v>
      </c>
      <c r="V610" t="s">
        <v>10049</v>
      </c>
      <c r="W610" t="s">
        <v>10050</v>
      </c>
      <c r="X610" t="s">
        <v>10051</v>
      </c>
      <c r="Y610" t="s">
        <v>10052</v>
      </c>
      <c r="Z610" t="s">
        <v>10053</v>
      </c>
      <c r="AA610" t="s">
        <v>10054</v>
      </c>
      <c r="AB610" t="s">
        <v>10055</v>
      </c>
      <c r="AC610" t="s">
        <v>10056</v>
      </c>
      <c r="AD610" t="s">
        <v>10057</v>
      </c>
      <c r="AE610" t="s">
        <v>10058</v>
      </c>
      <c r="AF610" t="s">
        <v>74</v>
      </c>
      <c r="AG610">
        <v>36</v>
      </c>
      <c r="AH610">
        <v>3</v>
      </c>
      <c r="AI610">
        <v>3</v>
      </c>
      <c r="AJ610">
        <v>7</v>
      </c>
      <c r="AK610">
        <v>27</v>
      </c>
      <c r="AL610" t="s">
        <v>311</v>
      </c>
      <c r="AM610" t="s">
        <v>312</v>
      </c>
      <c r="AN610" t="s">
        <v>313</v>
      </c>
      <c r="AO610" t="s">
        <v>1945</v>
      </c>
      <c r="AP610" t="s">
        <v>1946</v>
      </c>
      <c r="AQ610" t="s">
        <v>74</v>
      </c>
      <c r="AR610" t="s">
        <v>1947</v>
      </c>
      <c r="AS610" t="s">
        <v>1948</v>
      </c>
      <c r="AT610" t="s">
        <v>6182</v>
      </c>
      <c r="AU610">
        <v>2024</v>
      </c>
      <c r="AV610">
        <v>21</v>
      </c>
      <c r="AW610">
        <v>6</v>
      </c>
      <c r="AX610" t="s">
        <v>74</v>
      </c>
      <c r="AY610" t="s">
        <v>74</v>
      </c>
      <c r="AZ610" t="s">
        <v>74</v>
      </c>
      <c r="BA610" t="s">
        <v>74</v>
      </c>
      <c r="BB610">
        <v>1058</v>
      </c>
      <c r="BC610">
        <v>1075</v>
      </c>
      <c r="BD610" t="s">
        <v>74</v>
      </c>
      <c r="BE610" t="s">
        <v>10059</v>
      </c>
      <c r="BF610" t="str">
        <f>HYPERLINK("http://dx.doi.org/10.1080/16843703.2023.2286410","http://dx.doi.org/10.1080/16843703.2023.2286410")</f>
        <v>http://dx.doi.org/10.1080/16843703.2023.2286410</v>
      </c>
      <c r="BG610" t="s">
        <v>74</v>
      </c>
      <c r="BH610" t="s">
        <v>1111</v>
      </c>
      <c r="BI610">
        <v>18</v>
      </c>
      <c r="BJ610" t="s">
        <v>1951</v>
      </c>
      <c r="BK610" t="s">
        <v>149</v>
      </c>
      <c r="BL610" t="s">
        <v>1952</v>
      </c>
      <c r="BM610" t="s">
        <v>6184</v>
      </c>
      <c r="BN610" t="s">
        <v>74</v>
      </c>
      <c r="BO610" t="s">
        <v>74</v>
      </c>
      <c r="BP610" t="s">
        <v>74</v>
      </c>
      <c r="BQ610" t="s">
        <v>74</v>
      </c>
      <c r="BR610" t="s">
        <v>104</v>
      </c>
      <c r="BS610" t="s">
        <v>10060</v>
      </c>
      <c r="BT610" t="str">
        <f>HYPERLINK("https%3A%2F%2Fwww.webofscience.com%2Fwos%2Fwoscc%2Ffull-record%2FWOS:001107530800001","View Full Record in Web of Science")</f>
        <v>View Full Record in Web of Science</v>
      </c>
    </row>
    <row r="611" spans="1:72" x14ac:dyDescent="0.25">
      <c r="A611" t="s">
        <v>72</v>
      </c>
      <c r="B611" t="s">
        <v>10061</v>
      </c>
      <c r="C611" t="s">
        <v>74</v>
      </c>
      <c r="D611" t="s">
        <v>74</v>
      </c>
      <c r="E611" t="s">
        <v>74</v>
      </c>
      <c r="F611" t="s">
        <v>10062</v>
      </c>
      <c r="G611" t="s">
        <v>74</v>
      </c>
      <c r="H611" t="s">
        <v>74</v>
      </c>
      <c r="I611" t="s">
        <v>10063</v>
      </c>
      <c r="J611" t="s">
        <v>1932</v>
      </c>
      <c r="K611" t="s">
        <v>74</v>
      </c>
      <c r="L611" t="s">
        <v>74</v>
      </c>
      <c r="M611" t="s">
        <v>78</v>
      </c>
      <c r="N611" t="s">
        <v>79</v>
      </c>
      <c r="O611" t="s">
        <v>74</v>
      </c>
      <c r="P611" t="s">
        <v>74</v>
      </c>
      <c r="Q611" t="s">
        <v>74</v>
      </c>
      <c r="R611" t="s">
        <v>74</v>
      </c>
      <c r="S611" t="s">
        <v>74</v>
      </c>
      <c r="T611" t="s">
        <v>10064</v>
      </c>
      <c r="U611" t="s">
        <v>10065</v>
      </c>
      <c r="V611" t="s">
        <v>10066</v>
      </c>
      <c r="W611" t="s">
        <v>10067</v>
      </c>
      <c r="X611" t="s">
        <v>10068</v>
      </c>
      <c r="Y611" t="s">
        <v>10069</v>
      </c>
      <c r="Z611" t="s">
        <v>10070</v>
      </c>
      <c r="AA611" t="s">
        <v>10071</v>
      </c>
      <c r="AB611" t="s">
        <v>10072</v>
      </c>
      <c r="AC611" t="s">
        <v>10073</v>
      </c>
      <c r="AD611" t="s">
        <v>10074</v>
      </c>
      <c r="AE611" t="s">
        <v>10075</v>
      </c>
      <c r="AF611" t="s">
        <v>74</v>
      </c>
      <c r="AG611">
        <v>40</v>
      </c>
      <c r="AH611">
        <v>9</v>
      </c>
      <c r="AI611">
        <v>9</v>
      </c>
      <c r="AJ611">
        <v>9</v>
      </c>
      <c r="AK611">
        <v>40</v>
      </c>
      <c r="AL611" t="s">
        <v>311</v>
      </c>
      <c r="AM611" t="s">
        <v>312</v>
      </c>
      <c r="AN611" t="s">
        <v>313</v>
      </c>
      <c r="AO611" t="s">
        <v>1945</v>
      </c>
      <c r="AP611" t="s">
        <v>1946</v>
      </c>
      <c r="AQ611" t="s">
        <v>74</v>
      </c>
      <c r="AR611" t="s">
        <v>1947</v>
      </c>
      <c r="AS611" t="s">
        <v>1948</v>
      </c>
      <c r="AT611" t="s">
        <v>10076</v>
      </c>
      <c r="AU611">
        <v>2024</v>
      </c>
      <c r="AV611">
        <v>21</v>
      </c>
      <c r="AW611">
        <v>3</v>
      </c>
      <c r="AX611" t="s">
        <v>74</v>
      </c>
      <c r="AY611" t="s">
        <v>74</v>
      </c>
      <c r="AZ611" t="s">
        <v>74</v>
      </c>
      <c r="BA611" t="s">
        <v>74</v>
      </c>
      <c r="BB611">
        <v>363</v>
      </c>
      <c r="BC611">
        <v>385</v>
      </c>
      <c r="BD611" t="s">
        <v>74</v>
      </c>
      <c r="BE611" t="s">
        <v>10077</v>
      </c>
      <c r="BF611" t="str">
        <f>HYPERLINK("http://dx.doi.org/10.1080/16843703.2023.2202955","http://dx.doi.org/10.1080/16843703.2023.2202955")</f>
        <v>http://dx.doi.org/10.1080/16843703.2023.2202955</v>
      </c>
      <c r="BG611" t="s">
        <v>74</v>
      </c>
      <c r="BH611" t="s">
        <v>1204</v>
      </c>
      <c r="BI611">
        <v>23</v>
      </c>
      <c r="BJ611" t="s">
        <v>1951</v>
      </c>
      <c r="BK611" t="s">
        <v>149</v>
      </c>
      <c r="BL611" t="s">
        <v>1952</v>
      </c>
      <c r="BM611" t="s">
        <v>10078</v>
      </c>
      <c r="BN611" t="s">
        <v>74</v>
      </c>
      <c r="BO611" t="s">
        <v>74</v>
      </c>
      <c r="BP611" t="s">
        <v>74</v>
      </c>
      <c r="BQ611" t="s">
        <v>74</v>
      </c>
      <c r="BR611" t="s">
        <v>104</v>
      </c>
      <c r="BS611" t="s">
        <v>10079</v>
      </c>
      <c r="BT611" t="str">
        <f>HYPERLINK("https%3A%2F%2Fwww.webofscience.com%2Fwos%2Fwoscc%2Ffull-record%2FWOS:000976217300001","View Full Record in Web of Science")</f>
        <v>View Full Record in Web of Science</v>
      </c>
    </row>
    <row r="612" spans="1:72" x14ac:dyDescent="0.25">
      <c r="A612" t="s">
        <v>72</v>
      </c>
      <c r="B612" t="s">
        <v>10080</v>
      </c>
      <c r="C612" t="s">
        <v>74</v>
      </c>
      <c r="D612" t="s">
        <v>74</v>
      </c>
      <c r="E612" t="s">
        <v>74</v>
      </c>
      <c r="F612" t="s">
        <v>10081</v>
      </c>
      <c r="G612" t="s">
        <v>74</v>
      </c>
      <c r="H612" t="s">
        <v>74</v>
      </c>
      <c r="I612" t="s">
        <v>10082</v>
      </c>
      <c r="J612" t="s">
        <v>128</v>
      </c>
      <c r="K612" t="s">
        <v>74</v>
      </c>
      <c r="L612" t="s">
        <v>74</v>
      </c>
      <c r="M612" t="s">
        <v>78</v>
      </c>
      <c r="N612" t="s">
        <v>79</v>
      </c>
      <c r="O612" t="s">
        <v>74</v>
      </c>
      <c r="P612" t="s">
        <v>74</v>
      </c>
      <c r="Q612" t="s">
        <v>74</v>
      </c>
      <c r="R612" t="s">
        <v>74</v>
      </c>
      <c r="S612" t="s">
        <v>74</v>
      </c>
      <c r="T612" t="s">
        <v>10083</v>
      </c>
      <c r="U612" t="s">
        <v>10084</v>
      </c>
      <c r="V612" t="s">
        <v>10085</v>
      </c>
      <c r="W612" t="s">
        <v>10086</v>
      </c>
      <c r="X612" t="s">
        <v>4223</v>
      </c>
      <c r="Y612" t="s">
        <v>10087</v>
      </c>
      <c r="Z612" t="s">
        <v>806</v>
      </c>
      <c r="AA612" t="s">
        <v>4226</v>
      </c>
      <c r="AB612" t="s">
        <v>10088</v>
      </c>
      <c r="AC612" t="s">
        <v>10089</v>
      </c>
      <c r="AD612" t="s">
        <v>10090</v>
      </c>
      <c r="AE612" t="s">
        <v>10091</v>
      </c>
      <c r="AF612" t="s">
        <v>74</v>
      </c>
      <c r="AG612">
        <v>46</v>
      </c>
      <c r="AH612">
        <v>133</v>
      </c>
      <c r="AI612">
        <v>135</v>
      </c>
      <c r="AJ612">
        <v>44</v>
      </c>
      <c r="AK612">
        <v>323</v>
      </c>
      <c r="AL612" t="s">
        <v>138</v>
      </c>
      <c r="AM612" t="s">
        <v>246</v>
      </c>
      <c r="AN612" t="s">
        <v>247</v>
      </c>
      <c r="AO612" t="s">
        <v>141</v>
      </c>
      <c r="AP612" t="s">
        <v>142</v>
      </c>
      <c r="AQ612" t="s">
        <v>74</v>
      </c>
      <c r="AR612" t="s">
        <v>143</v>
      </c>
      <c r="AS612" t="s">
        <v>144</v>
      </c>
      <c r="AT612" t="s">
        <v>1202</v>
      </c>
      <c r="AU612">
        <v>2021</v>
      </c>
      <c r="AV612">
        <v>209</v>
      </c>
      <c r="AW612" t="s">
        <v>74</v>
      </c>
      <c r="AX612" t="s">
        <v>74</v>
      </c>
      <c r="AY612" t="s">
        <v>74</v>
      </c>
      <c r="AZ612" t="s">
        <v>74</v>
      </c>
      <c r="BA612" t="s">
        <v>74</v>
      </c>
      <c r="BB612" t="s">
        <v>74</v>
      </c>
      <c r="BC612" t="s">
        <v>74</v>
      </c>
      <c r="BD612">
        <v>107461</v>
      </c>
      <c r="BE612" t="s">
        <v>10092</v>
      </c>
      <c r="BF612" t="str">
        <f>HYPERLINK("http://dx.doi.org/10.1016/j.ress.2021.107461","http://dx.doi.org/10.1016/j.ress.2021.107461")</f>
        <v>http://dx.doi.org/10.1016/j.ress.2021.107461</v>
      </c>
      <c r="BG612" t="s">
        <v>74</v>
      </c>
      <c r="BH612" t="s">
        <v>773</v>
      </c>
      <c r="BI612">
        <v>12</v>
      </c>
      <c r="BJ612" t="s">
        <v>148</v>
      </c>
      <c r="BK612" t="s">
        <v>149</v>
      </c>
      <c r="BL612" t="s">
        <v>150</v>
      </c>
      <c r="BM612" t="s">
        <v>7144</v>
      </c>
      <c r="BN612" t="s">
        <v>74</v>
      </c>
      <c r="BO612" t="s">
        <v>400</v>
      </c>
      <c r="BP612" t="s">
        <v>10093</v>
      </c>
      <c r="BQ612" t="s">
        <v>10094</v>
      </c>
      <c r="BR612" t="s">
        <v>104</v>
      </c>
      <c r="BS612" t="s">
        <v>10095</v>
      </c>
      <c r="BT612" t="str">
        <f>HYPERLINK("https%3A%2F%2Fwww.webofscience.com%2Fwos%2Fwoscc%2Ffull-record%2FWOS:000663909200024","View Full Record in Web of Science")</f>
        <v>View Full Record in Web of Science</v>
      </c>
    </row>
    <row r="613" spans="1:72" x14ac:dyDescent="0.25">
      <c r="A613" t="s">
        <v>72</v>
      </c>
      <c r="B613" t="s">
        <v>10096</v>
      </c>
      <c r="C613" t="s">
        <v>74</v>
      </c>
      <c r="D613" t="s">
        <v>74</v>
      </c>
      <c r="E613" t="s">
        <v>74</v>
      </c>
      <c r="F613" t="s">
        <v>10097</v>
      </c>
      <c r="G613" t="s">
        <v>74</v>
      </c>
      <c r="H613" t="s">
        <v>74</v>
      </c>
      <c r="I613" t="s">
        <v>10098</v>
      </c>
      <c r="J613" t="s">
        <v>995</v>
      </c>
      <c r="K613" t="s">
        <v>74</v>
      </c>
      <c r="L613" t="s">
        <v>74</v>
      </c>
      <c r="M613" t="s">
        <v>78</v>
      </c>
      <c r="N613" t="s">
        <v>1083</v>
      </c>
      <c r="O613" t="s">
        <v>74</v>
      </c>
      <c r="P613" t="s">
        <v>74</v>
      </c>
      <c r="Q613" t="s">
        <v>74</v>
      </c>
      <c r="R613" t="s">
        <v>74</v>
      </c>
      <c r="S613" t="s">
        <v>74</v>
      </c>
      <c r="T613" t="s">
        <v>10099</v>
      </c>
      <c r="U613" t="s">
        <v>74</v>
      </c>
      <c r="V613" t="s">
        <v>10100</v>
      </c>
      <c r="W613" t="s">
        <v>10101</v>
      </c>
      <c r="X613" t="s">
        <v>10102</v>
      </c>
      <c r="Y613" t="s">
        <v>10103</v>
      </c>
      <c r="Z613" t="s">
        <v>10104</v>
      </c>
      <c r="AA613" t="s">
        <v>74</v>
      </c>
      <c r="AB613" t="s">
        <v>10105</v>
      </c>
      <c r="AC613" t="s">
        <v>10106</v>
      </c>
      <c r="AD613" t="s">
        <v>10107</v>
      </c>
      <c r="AE613" t="s">
        <v>10108</v>
      </c>
      <c r="AF613" t="s">
        <v>74</v>
      </c>
      <c r="AG613">
        <v>17</v>
      </c>
      <c r="AH613">
        <v>0</v>
      </c>
      <c r="AI613">
        <v>0</v>
      </c>
      <c r="AJ613">
        <v>4</v>
      </c>
      <c r="AK613">
        <v>4</v>
      </c>
      <c r="AL613" t="s">
        <v>484</v>
      </c>
      <c r="AM613" t="s">
        <v>485</v>
      </c>
      <c r="AN613" t="s">
        <v>486</v>
      </c>
      <c r="AO613" t="s">
        <v>1004</v>
      </c>
      <c r="AP613" t="s">
        <v>1005</v>
      </c>
      <c r="AQ613" t="s">
        <v>74</v>
      </c>
      <c r="AR613" t="s">
        <v>1006</v>
      </c>
      <c r="AS613" t="s">
        <v>1007</v>
      </c>
      <c r="AT613" t="s">
        <v>10109</v>
      </c>
      <c r="AU613">
        <v>2024</v>
      </c>
      <c r="AV613" t="s">
        <v>74</v>
      </c>
      <c r="AW613" t="s">
        <v>74</v>
      </c>
      <c r="AX613" t="s">
        <v>74</v>
      </c>
      <c r="AY613" t="s">
        <v>74</v>
      </c>
      <c r="AZ613" t="s">
        <v>74</v>
      </c>
      <c r="BA613" t="s">
        <v>74</v>
      </c>
      <c r="BB613" t="s">
        <v>74</v>
      </c>
      <c r="BC613" t="s">
        <v>74</v>
      </c>
      <c r="BD613" t="s">
        <v>74</v>
      </c>
      <c r="BE613" t="s">
        <v>10110</v>
      </c>
      <c r="BF613" t="str">
        <f>HYPERLINK("http://dx.doi.org/10.1002/sys.21798","http://dx.doi.org/10.1002/sys.21798")</f>
        <v>http://dx.doi.org/10.1002/sys.21798</v>
      </c>
      <c r="BG613" t="s">
        <v>74</v>
      </c>
      <c r="BH613" t="s">
        <v>1869</v>
      </c>
      <c r="BI613">
        <v>11</v>
      </c>
      <c r="BJ613" t="s">
        <v>148</v>
      </c>
      <c r="BK613" t="s">
        <v>149</v>
      </c>
      <c r="BL613" t="s">
        <v>150</v>
      </c>
      <c r="BM613" t="s">
        <v>10111</v>
      </c>
      <c r="BN613" t="s">
        <v>74</v>
      </c>
      <c r="BO613" t="s">
        <v>74</v>
      </c>
      <c r="BP613" t="s">
        <v>74</v>
      </c>
      <c r="BQ613" t="s">
        <v>74</v>
      </c>
      <c r="BR613" t="s">
        <v>104</v>
      </c>
      <c r="BS613" t="s">
        <v>10112</v>
      </c>
      <c r="BT613" t="str">
        <f>HYPERLINK("https%3A%2F%2Fwww.webofscience.com%2Fwos%2Fwoscc%2Ffull-record%2FWOS:001378502400001","View Full Record in Web of Science")</f>
        <v>View Full Record in Web of Science</v>
      </c>
    </row>
    <row r="614" spans="1:72" x14ac:dyDescent="0.25">
      <c r="A614" t="s">
        <v>72</v>
      </c>
      <c r="B614" t="s">
        <v>10113</v>
      </c>
      <c r="C614" t="s">
        <v>74</v>
      </c>
      <c r="D614" t="s">
        <v>74</v>
      </c>
      <c r="E614" t="s">
        <v>74</v>
      </c>
      <c r="F614" t="s">
        <v>10114</v>
      </c>
      <c r="G614" t="s">
        <v>74</v>
      </c>
      <c r="H614" t="s">
        <v>74</v>
      </c>
      <c r="I614" t="s">
        <v>10115</v>
      </c>
      <c r="J614" t="s">
        <v>128</v>
      </c>
      <c r="K614" t="s">
        <v>74</v>
      </c>
      <c r="L614" t="s">
        <v>74</v>
      </c>
      <c r="M614" t="s">
        <v>78</v>
      </c>
      <c r="N614" t="s">
        <v>79</v>
      </c>
      <c r="O614" t="s">
        <v>74</v>
      </c>
      <c r="P614" t="s">
        <v>74</v>
      </c>
      <c r="Q614" t="s">
        <v>74</v>
      </c>
      <c r="R614" t="s">
        <v>74</v>
      </c>
      <c r="S614" t="s">
        <v>74</v>
      </c>
      <c r="T614" t="s">
        <v>10116</v>
      </c>
      <c r="U614" t="s">
        <v>10117</v>
      </c>
      <c r="V614" t="s">
        <v>10118</v>
      </c>
      <c r="W614" t="s">
        <v>10119</v>
      </c>
      <c r="X614" t="s">
        <v>10120</v>
      </c>
      <c r="Y614" t="s">
        <v>10121</v>
      </c>
      <c r="Z614" t="s">
        <v>2331</v>
      </c>
      <c r="AA614" t="s">
        <v>10122</v>
      </c>
      <c r="AB614" t="s">
        <v>5974</v>
      </c>
      <c r="AC614" t="s">
        <v>10123</v>
      </c>
      <c r="AD614" t="s">
        <v>10124</v>
      </c>
      <c r="AE614" t="s">
        <v>10125</v>
      </c>
      <c r="AF614" t="s">
        <v>74</v>
      </c>
      <c r="AG614">
        <v>41</v>
      </c>
      <c r="AH614">
        <v>19</v>
      </c>
      <c r="AI614">
        <v>19</v>
      </c>
      <c r="AJ614">
        <v>9</v>
      </c>
      <c r="AK614">
        <v>56</v>
      </c>
      <c r="AL614" t="s">
        <v>138</v>
      </c>
      <c r="AM614" t="s">
        <v>139</v>
      </c>
      <c r="AN614" t="s">
        <v>140</v>
      </c>
      <c r="AO614" t="s">
        <v>141</v>
      </c>
      <c r="AP614" t="s">
        <v>142</v>
      </c>
      <c r="AQ614" t="s">
        <v>74</v>
      </c>
      <c r="AR614" t="s">
        <v>143</v>
      </c>
      <c r="AS614" t="s">
        <v>144</v>
      </c>
      <c r="AT614" t="s">
        <v>275</v>
      </c>
      <c r="AU614">
        <v>2023</v>
      </c>
      <c r="AV614">
        <v>231</v>
      </c>
      <c r="AW614" t="s">
        <v>74</v>
      </c>
      <c r="AX614" t="s">
        <v>74</v>
      </c>
      <c r="AY614" t="s">
        <v>74</v>
      </c>
      <c r="AZ614" t="s">
        <v>74</v>
      </c>
      <c r="BA614" t="s">
        <v>74</v>
      </c>
      <c r="BB614" t="s">
        <v>74</v>
      </c>
      <c r="BC614" t="s">
        <v>74</v>
      </c>
      <c r="BD614">
        <v>109022</v>
      </c>
      <c r="BE614" t="s">
        <v>10126</v>
      </c>
      <c r="BF614" t="str">
        <f>HYPERLINK("http://dx.doi.org/10.1016/j.ress.2022.109022","http://dx.doi.org/10.1016/j.ress.2022.109022")</f>
        <v>http://dx.doi.org/10.1016/j.ress.2022.109022</v>
      </c>
      <c r="BG614" t="s">
        <v>74</v>
      </c>
      <c r="BH614" t="s">
        <v>396</v>
      </c>
      <c r="BI614">
        <v>10</v>
      </c>
      <c r="BJ614" t="s">
        <v>148</v>
      </c>
      <c r="BK614" t="s">
        <v>149</v>
      </c>
      <c r="BL614" t="s">
        <v>150</v>
      </c>
      <c r="BM614" t="s">
        <v>10127</v>
      </c>
      <c r="BN614" t="s">
        <v>74</v>
      </c>
      <c r="BO614" t="s">
        <v>1772</v>
      </c>
      <c r="BP614" t="s">
        <v>74</v>
      </c>
      <c r="BQ614" t="s">
        <v>74</v>
      </c>
      <c r="BR614" t="s">
        <v>104</v>
      </c>
      <c r="BS614" t="s">
        <v>10128</v>
      </c>
      <c r="BT614" t="str">
        <f>HYPERLINK("https%3A%2F%2Fwww.webofscience.com%2Fwos%2Fwoscc%2Ffull-record%2FWOS:000910909700001","View Full Record in Web of Science")</f>
        <v>View Full Record in Web of Science</v>
      </c>
    </row>
    <row r="615" spans="1:72" x14ac:dyDescent="0.25">
      <c r="A615" t="s">
        <v>72</v>
      </c>
      <c r="B615" t="s">
        <v>10129</v>
      </c>
      <c r="C615" t="s">
        <v>74</v>
      </c>
      <c r="D615" t="s">
        <v>74</v>
      </c>
      <c r="E615" t="s">
        <v>74</v>
      </c>
      <c r="F615" t="s">
        <v>10130</v>
      </c>
      <c r="G615" t="s">
        <v>74</v>
      </c>
      <c r="H615" t="s">
        <v>74</v>
      </c>
      <c r="I615" t="s">
        <v>10131</v>
      </c>
      <c r="J615" t="s">
        <v>1557</v>
      </c>
      <c r="K615" t="s">
        <v>74</v>
      </c>
      <c r="L615" t="s">
        <v>74</v>
      </c>
      <c r="M615" t="s">
        <v>78</v>
      </c>
      <c r="N615" t="s">
        <v>79</v>
      </c>
      <c r="O615" t="s">
        <v>74</v>
      </c>
      <c r="P615" t="s">
        <v>74</v>
      </c>
      <c r="Q615" t="s">
        <v>74</v>
      </c>
      <c r="R615" t="s">
        <v>74</v>
      </c>
      <c r="S615" t="s">
        <v>74</v>
      </c>
      <c r="T615" t="s">
        <v>10132</v>
      </c>
      <c r="U615" t="s">
        <v>74</v>
      </c>
      <c r="V615" t="s">
        <v>10133</v>
      </c>
      <c r="W615" t="s">
        <v>10134</v>
      </c>
      <c r="X615" t="s">
        <v>10135</v>
      </c>
      <c r="Y615" t="s">
        <v>10136</v>
      </c>
      <c r="Z615" t="s">
        <v>10137</v>
      </c>
      <c r="AA615" t="s">
        <v>10138</v>
      </c>
      <c r="AB615" t="s">
        <v>10139</v>
      </c>
      <c r="AC615" t="s">
        <v>10140</v>
      </c>
      <c r="AD615" t="s">
        <v>10141</v>
      </c>
      <c r="AE615" t="s">
        <v>10142</v>
      </c>
      <c r="AF615" t="s">
        <v>74</v>
      </c>
      <c r="AG615">
        <v>30</v>
      </c>
      <c r="AH615">
        <v>1</v>
      </c>
      <c r="AI615">
        <v>1</v>
      </c>
      <c r="AJ615">
        <v>5</v>
      </c>
      <c r="AK615">
        <v>5</v>
      </c>
      <c r="AL615" t="s">
        <v>707</v>
      </c>
      <c r="AM615" t="s">
        <v>246</v>
      </c>
      <c r="AN615" t="s">
        <v>708</v>
      </c>
      <c r="AO615" t="s">
        <v>1569</v>
      </c>
      <c r="AP615" t="s">
        <v>1570</v>
      </c>
      <c r="AQ615" t="s">
        <v>74</v>
      </c>
      <c r="AR615" t="s">
        <v>1571</v>
      </c>
      <c r="AS615" t="s">
        <v>1572</v>
      </c>
      <c r="AT615" t="s">
        <v>8727</v>
      </c>
      <c r="AU615">
        <v>2025</v>
      </c>
      <c r="AV615">
        <v>263</v>
      </c>
      <c r="AW615" t="s">
        <v>74</v>
      </c>
      <c r="AX615" t="s">
        <v>74</v>
      </c>
      <c r="AY615" t="s">
        <v>74</v>
      </c>
      <c r="AZ615" t="s">
        <v>74</v>
      </c>
      <c r="BA615" t="s">
        <v>74</v>
      </c>
      <c r="BB615" t="s">
        <v>74</v>
      </c>
      <c r="BC615" t="s">
        <v>74</v>
      </c>
      <c r="BD615">
        <v>125733</v>
      </c>
      <c r="BE615" t="s">
        <v>10143</v>
      </c>
      <c r="BF615" t="str">
        <f>HYPERLINK("http://dx.doi.org/10.1016/j.eswa.2024.125733","http://dx.doi.org/10.1016/j.eswa.2024.125733")</f>
        <v>http://dx.doi.org/10.1016/j.eswa.2024.125733</v>
      </c>
      <c r="BG615" t="s">
        <v>74</v>
      </c>
      <c r="BH615" t="s">
        <v>1174</v>
      </c>
      <c r="BI615">
        <v>19</v>
      </c>
      <c r="BJ615" t="s">
        <v>1575</v>
      </c>
      <c r="BK615" t="s">
        <v>149</v>
      </c>
      <c r="BL615" t="s">
        <v>1576</v>
      </c>
      <c r="BM615" t="s">
        <v>10144</v>
      </c>
      <c r="BN615" t="s">
        <v>74</v>
      </c>
      <c r="BO615" t="s">
        <v>74</v>
      </c>
      <c r="BP615" t="s">
        <v>74</v>
      </c>
      <c r="BQ615" t="s">
        <v>74</v>
      </c>
      <c r="BR615" t="s">
        <v>104</v>
      </c>
      <c r="BS615" t="s">
        <v>10145</v>
      </c>
      <c r="BT615" t="str">
        <f>HYPERLINK("https%3A%2F%2Fwww.webofscience.com%2Fwos%2Fwoscc%2Ffull-record%2FWOS:001363773200001","View Full Record in Web of Science")</f>
        <v>View Full Record in Web of Science</v>
      </c>
    </row>
    <row r="616" spans="1:72" x14ac:dyDescent="0.25">
      <c r="A616" t="s">
        <v>72</v>
      </c>
      <c r="B616" t="s">
        <v>10146</v>
      </c>
      <c r="C616" t="s">
        <v>74</v>
      </c>
      <c r="D616" t="s">
        <v>74</v>
      </c>
      <c r="E616" t="s">
        <v>74</v>
      </c>
      <c r="F616" t="s">
        <v>10147</v>
      </c>
      <c r="G616" t="s">
        <v>74</v>
      </c>
      <c r="H616" t="s">
        <v>74</v>
      </c>
      <c r="I616" t="s">
        <v>10148</v>
      </c>
      <c r="J616" t="s">
        <v>128</v>
      </c>
      <c r="K616" t="s">
        <v>74</v>
      </c>
      <c r="L616" t="s">
        <v>74</v>
      </c>
      <c r="M616" t="s">
        <v>78</v>
      </c>
      <c r="N616" t="s">
        <v>79</v>
      </c>
      <c r="O616" t="s">
        <v>74</v>
      </c>
      <c r="P616" t="s">
        <v>74</v>
      </c>
      <c r="Q616" t="s">
        <v>74</v>
      </c>
      <c r="R616" t="s">
        <v>74</v>
      </c>
      <c r="S616" t="s">
        <v>74</v>
      </c>
      <c r="T616" t="s">
        <v>10149</v>
      </c>
      <c r="U616" t="s">
        <v>10150</v>
      </c>
      <c r="V616" t="s">
        <v>10151</v>
      </c>
      <c r="W616" t="s">
        <v>10152</v>
      </c>
      <c r="X616" t="s">
        <v>10153</v>
      </c>
      <c r="Y616" t="s">
        <v>5016</v>
      </c>
      <c r="Z616" t="s">
        <v>4519</v>
      </c>
      <c r="AA616" t="s">
        <v>5017</v>
      </c>
      <c r="AB616" t="s">
        <v>10154</v>
      </c>
      <c r="AC616" t="s">
        <v>10155</v>
      </c>
      <c r="AD616" t="s">
        <v>10156</v>
      </c>
      <c r="AE616" t="s">
        <v>10157</v>
      </c>
      <c r="AF616" t="s">
        <v>74</v>
      </c>
      <c r="AG616">
        <v>44</v>
      </c>
      <c r="AH616">
        <v>23</v>
      </c>
      <c r="AI616">
        <v>23</v>
      </c>
      <c r="AJ616">
        <v>4</v>
      </c>
      <c r="AK616">
        <v>29</v>
      </c>
      <c r="AL616" t="s">
        <v>138</v>
      </c>
      <c r="AM616" t="s">
        <v>139</v>
      </c>
      <c r="AN616" t="s">
        <v>140</v>
      </c>
      <c r="AO616" t="s">
        <v>141</v>
      </c>
      <c r="AP616" t="s">
        <v>142</v>
      </c>
      <c r="AQ616" t="s">
        <v>74</v>
      </c>
      <c r="AR616" t="s">
        <v>143</v>
      </c>
      <c r="AS616" t="s">
        <v>144</v>
      </c>
      <c r="AT616" t="s">
        <v>1867</v>
      </c>
      <c r="AU616">
        <v>2023</v>
      </c>
      <c r="AV616">
        <v>232</v>
      </c>
      <c r="AW616" t="s">
        <v>74</v>
      </c>
      <c r="AX616" t="s">
        <v>74</v>
      </c>
      <c r="AY616" t="s">
        <v>74</v>
      </c>
      <c r="AZ616" t="s">
        <v>74</v>
      </c>
      <c r="BA616" t="s">
        <v>74</v>
      </c>
      <c r="BB616" t="s">
        <v>74</v>
      </c>
      <c r="BC616" t="s">
        <v>74</v>
      </c>
      <c r="BD616">
        <v>109063</v>
      </c>
      <c r="BE616" t="s">
        <v>10158</v>
      </c>
      <c r="BF616" t="str">
        <f>HYPERLINK("http://dx.doi.org/10.1016/j.ress.2022.109063","http://dx.doi.org/10.1016/j.ress.2022.109063")</f>
        <v>http://dx.doi.org/10.1016/j.ress.2022.109063</v>
      </c>
      <c r="BG616" t="s">
        <v>74</v>
      </c>
      <c r="BH616" t="s">
        <v>396</v>
      </c>
      <c r="BI616">
        <v>10</v>
      </c>
      <c r="BJ616" t="s">
        <v>148</v>
      </c>
      <c r="BK616" t="s">
        <v>149</v>
      </c>
      <c r="BL616" t="s">
        <v>150</v>
      </c>
      <c r="BM616" t="s">
        <v>10159</v>
      </c>
      <c r="BN616" t="s">
        <v>74</v>
      </c>
      <c r="BO616" t="s">
        <v>74</v>
      </c>
      <c r="BP616" t="s">
        <v>74</v>
      </c>
      <c r="BQ616" t="s">
        <v>74</v>
      </c>
      <c r="BR616" t="s">
        <v>104</v>
      </c>
      <c r="BS616" t="s">
        <v>10160</v>
      </c>
      <c r="BT616" t="str">
        <f>HYPERLINK("https%3A%2F%2Fwww.webofscience.com%2Fwos%2Fwoscc%2Ffull-record%2FWOS:000913958500001","View Full Record in Web of Science")</f>
        <v>View Full Record in Web of Science</v>
      </c>
    </row>
    <row r="617" spans="1:72" x14ac:dyDescent="0.25">
      <c r="A617" t="s">
        <v>72</v>
      </c>
      <c r="B617" t="s">
        <v>10161</v>
      </c>
      <c r="C617" t="s">
        <v>74</v>
      </c>
      <c r="D617" t="s">
        <v>74</v>
      </c>
      <c r="E617" t="s">
        <v>74</v>
      </c>
      <c r="F617" t="s">
        <v>10162</v>
      </c>
      <c r="G617" t="s">
        <v>74</v>
      </c>
      <c r="H617" t="s">
        <v>74</v>
      </c>
      <c r="I617" t="s">
        <v>10163</v>
      </c>
      <c r="J617" t="s">
        <v>10164</v>
      </c>
      <c r="K617" t="s">
        <v>74</v>
      </c>
      <c r="L617" t="s">
        <v>74</v>
      </c>
      <c r="M617" t="s">
        <v>78</v>
      </c>
      <c r="N617" t="s">
        <v>79</v>
      </c>
      <c r="O617" t="s">
        <v>74</v>
      </c>
      <c r="P617" t="s">
        <v>74</v>
      </c>
      <c r="Q617" t="s">
        <v>74</v>
      </c>
      <c r="R617" t="s">
        <v>74</v>
      </c>
      <c r="S617" t="s">
        <v>74</v>
      </c>
      <c r="T617" t="s">
        <v>10165</v>
      </c>
      <c r="U617" t="s">
        <v>10166</v>
      </c>
      <c r="V617" t="s">
        <v>10167</v>
      </c>
      <c r="W617" t="s">
        <v>10168</v>
      </c>
      <c r="X617" t="s">
        <v>10169</v>
      </c>
      <c r="Y617" t="s">
        <v>10170</v>
      </c>
      <c r="Z617" t="s">
        <v>10171</v>
      </c>
      <c r="AA617" t="s">
        <v>74</v>
      </c>
      <c r="AB617" t="s">
        <v>10172</v>
      </c>
      <c r="AC617" t="s">
        <v>10173</v>
      </c>
      <c r="AD617" t="s">
        <v>10174</v>
      </c>
      <c r="AE617" t="s">
        <v>10175</v>
      </c>
      <c r="AF617" t="s">
        <v>74</v>
      </c>
      <c r="AG617">
        <v>38</v>
      </c>
      <c r="AH617">
        <v>1</v>
      </c>
      <c r="AI617">
        <v>1</v>
      </c>
      <c r="AJ617">
        <v>3</v>
      </c>
      <c r="AK617">
        <v>29</v>
      </c>
      <c r="AL617" t="s">
        <v>2421</v>
      </c>
      <c r="AM617" t="s">
        <v>2422</v>
      </c>
      <c r="AN617" t="s">
        <v>2423</v>
      </c>
      <c r="AO617" t="s">
        <v>10176</v>
      </c>
      <c r="AP617" t="s">
        <v>10177</v>
      </c>
      <c r="AQ617" t="s">
        <v>74</v>
      </c>
      <c r="AR617" t="s">
        <v>10178</v>
      </c>
      <c r="AS617" t="s">
        <v>10179</v>
      </c>
      <c r="AT617" t="s">
        <v>2225</v>
      </c>
      <c r="AU617">
        <v>2023</v>
      </c>
      <c r="AV617">
        <v>56</v>
      </c>
      <c r="AW617">
        <v>8</v>
      </c>
      <c r="AX617" t="s">
        <v>74</v>
      </c>
      <c r="AY617" t="s">
        <v>74</v>
      </c>
      <c r="AZ617" t="s">
        <v>74</v>
      </c>
      <c r="BA617" t="s">
        <v>74</v>
      </c>
      <c r="BB617">
        <v>7613</v>
      </c>
      <c r="BC617">
        <v>7632</v>
      </c>
      <c r="BD617" t="s">
        <v>74</v>
      </c>
      <c r="BE617" t="s">
        <v>10180</v>
      </c>
      <c r="BF617" t="str">
        <f>HYPERLINK("http://dx.doi.org/10.1007/s10462-022-10369-0","http://dx.doi.org/10.1007/s10462-022-10369-0")</f>
        <v>http://dx.doi.org/10.1007/s10462-022-10369-0</v>
      </c>
      <c r="BG617" t="s">
        <v>74</v>
      </c>
      <c r="BH617" t="s">
        <v>396</v>
      </c>
      <c r="BI617">
        <v>20</v>
      </c>
      <c r="BJ617" t="s">
        <v>1267</v>
      </c>
      <c r="BK617" t="s">
        <v>149</v>
      </c>
      <c r="BL617" t="s">
        <v>1228</v>
      </c>
      <c r="BM617" t="s">
        <v>10181</v>
      </c>
      <c r="BN617" t="s">
        <v>74</v>
      </c>
      <c r="BO617" t="s">
        <v>74</v>
      </c>
      <c r="BP617" t="s">
        <v>74</v>
      </c>
      <c r="BQ617" t="s">
        <v>74</v>
      </c>
      <c r="BR617" t="s">
        <v>104</v>
      </c>
      <c r="BS617" t="s">
        <v>10182</v>
      </c>
      <c r="BT617" t="str">
        <f>HYPERLINK("https%3A%2F%2Fwww.webofscience.com%2Fwos%2Fwoscc%2Ffull-record%2FWOS:000899708800001","View Full Record in Web of Science")</f>
        <v>View Full Record in Web of Science</v>
      </c>
    </row>
    <row r="618" spans="1:72" x14ac:dyDescent="0.25">
      <c r="A618" t="s">
        <v>72</v>
      </c>
      <c r="B618" t="s">
        <v>10183</v>
      </c>
      <c r="C618" t="s">
        <v>74</v>
      </c>
      <c r="D618" t="s">
        <v>74</v>
      </c>
      <c r="E618" t="s">
        <v>74</v>
      </c>
      <c r="F618" t="s">
        <v>10184</v>
      </c>
      <c r="G618" t="s">
        <v>74</v>
      </c>
      <c r="H618" t="s">
        <v>74</v>
      </c>
      <c r="I618" t="s">
        <v>10185</v>
      </c>
      <c r="J618" t="s">
        <v>1557</v>
      </c>
      <c r="K618" t="s">
        <v>74</v>
      </c>
      <c r="L618" t="s">
        <v>74</v>
      </c>
      <c r="M618" t="s">
        <v>78</v>
      </c>
      <c r="N618" t="s">
        <v>79</v>
      </c>
      <c r="O618" t="s">
        <v>74</v>
      </c>
      <c r="P618" t="s">
        <v>74</v>
      </c>
      <c r="Q618" t="s">
        <v>74</v>
      </c>
      <c r="R618" t="s">
        <v>74</v>
      </c>
      <c r="S618" t="s">
        <v>74</v>
      </c>
      <c r="T618" t="s">
        <v>10186</v>
      </c>
      <c r="U618" t="s">
        <v>10187</v>
      </c>
      <c r="V618" t="s">
        <v>10188</v>
      </c>
      <c r="W618" t="s">
        <v>10189</v>
      </c>
      <c r="X618" t="s">
        <v>10190</v>
      </c>
      <c r="Y618" t="s">
        <v>10191</v>
      </c>
      <c r="Z618" t="s">
        <v>10192</v>
      </c>
      <c r="AA618" t="s">
        <v>10193</v>
      </c>
      <c r="AB618" t="s">
        <v>74</v>
      </c>
      <c r="AC618" t="s">
        <v>10194</v>
      </c>
      <c r="AD618" t="s">
        <v>10195</v>
      </c>
      <c r="AE618" t="s">
        <v>10196</v>
      </c>
      <c r="AF618" t="s">
        <v>74</v>
      </c>
      <c r="AG618">
        <v>46</v>
      </c>
      <c r="AH618">
        <v>12</v>
      </c>
      <c r="AI618">
        <v>12</v>
      </c>
      <c r="AJ618">
        <v>3</v>
      </c>
      <c r="AK618">
        <v>16</v>
      </c>
      <c r="AL618" t="s">
        <v>707</v>
      </c>
      <c r="AM618" t="s">
        <v>246</v>
      </c>
      <c r="AN618" t="s">
        <v>708</v>
      </c>
      <c r="AO618" t="s">
        <v>1569</v>
      </c>
      <c r="AP618" t="s">
        <v>1570</v>
      </c>
      <c r="AQ618" t="s">
        <v>74</v>
      </c>
      <c r="AR618" t="s">
        <v>1571</v>
      </c>
      <c r="AS618" t="s">
        <v>1572</v>
      </c>
      <c r="AT618" t="s">
        <v>346</v>
      </c>
      <c r="AU618">
        <v>2022</v>
      </c>
      <c r="AV618">
        <v>193</v>
      </c>
      <c r="AW618" t="s">
        <v>74</v>
      </c>
      <c r="AX618" t="s">
        <v>74</v>
      </c>
      <c r="AY618" t="s">
        <v>74</v>
      </c>
      <c r="AZ618" t="s">
        <v>74</v>
      </c>
      <c r="BA618" t="s">
        <v>74</v>
      </c>
      <c r="BB618" t="s">
        <v>74</v>
      </c>
      <c r="BC618" t="s">
        <v>74</v>
      </c>
      <c r="BD618">
        <v>116410</v>
      </c>
      <c r="BE618" t="s">
        <v>10197</v>
      </c>
      <c r="BF618" t="str">
        <f>HYPERLINK("http://dx.doi.org/10.1016/j.eswa.2021.116410","http://dx.doi.org/10.1016/j.eswa.2021.116410")</f>
        <v>http://dx.doi.org/10.1016/j.eswa.2021.116410</v>
      </c>
      <c r="BG618" t="s">
        <v>74</v>
      </c>
      <c r="BH618" t="s">
        <v>2468</v>
      </c>
      <c r="BI618">
        <v>13</v>
      </c>
      <c r="BJ618" t="s">
        <v>1575</v>
      </c>
      <c r="BK618" t="s">
        <v>149</v>
      </c>
      <c r="BL618" t="s">
        <v>1576</v>
      </c>
      <c r="BM618" t="s">
        <v>10198</v>
      </c>
      <c r="BN618" t="s">
        <v>74</v>
      </c>
      <c r="BO618" t="s">
        <v>74</v>
      </c>
      <c r="BP618" t="s">
        <v>74</v>
      </c>
      <c r="BQ618" t="s">
        <v>74</v>
      </c>
      <c r="BR618" t="s">
        <v>104</v>
      </c>
      <c r="BS618" t="s">
        <v>10199</v>
      </c>
      <c r="BT618" t="str">
        <f>HYPERLINK("https%3A%2F%2Fwww.webofscience.com%2Fwos%2Fwoscc%2Ffull-record%2FWOS:000800274500006","View Full Record in Web of Science")</f>
        <v>View Full Record in Web of Science</v>
      </c>
    </row>
    <row r="619" spans="1:72" x14ac:dyDescent="0.25">
      <c r="A619" t="s">
        <v>72</v>
      </c>
      <c r="B619" t="s">
        <v>10200</v>
      </c>
      <c r="C619" t="s">
        <v>74</v>
      </c>
      <c r="D619" t="s">
        <v>74</v>
      </c>
      <c r="E619" t="s">
        <v>74</v>
      </c>
      <c r="F619" t="s">
        <v>10201</v>
      </c>
      <c r="G619" t="s">
        <v>74</v>
      </c>
      <c r="H619" t="s">
        <v>74</v>
      </c>
      <c r="I619" t="s">
        <v>10202</v>
      </c>
      <c r="J619" t="s">
        <v>128</v>
      </c>
      <c r="K619" t="s">
        <v>74</v>
      </c>
      <c r="L619" t="s">
        <v>74</v>
      </c>
      <c r="M619" t="s">
        <v>78</v>
      </c>
      <c r="N619" t="s">
        <v>79</v>
      </c>
      <c r="O619" t="s">
        <v>74</v>
      </c>
      <c r="P619" t="s">
        <v>74</v>
      </c>
      <c r="Q619" t="s">
        <v>74</v>
      </c>
      <c r="R619" t="s">
        <v>74</v>
      </c>
      <c r="S619" t="s">
        <v>74</v>
      </c>
      <c r="T619" t="s">
        <v>10203</v>
      </c>
      <c r="U619" t="s">
        <v>74</v>
      </c>
      <c r="V619" t="s">
        <v>10204</v>
      </c>
      <c r="W619" t="s">
        <v>10205</v>
      </c>
      <c r="X619" t="s">
        <v>3905</v>
      </c>
      <c r="Y619" t="s">
        <v>3520</v>
      </c>
      <c r="Z619" t="s">
        <v>806</v>
      </c>
      <c r="AA619" t="s">
        <v>74</v>
      </c>
      <c r="AB619" t="s">
        <v>10206</v>
      </c>
      <c r="AC619" t="s">
        <v>3521</v>
      </c>
      <c r="AD619" t="s">
        <v>482</v>
      </c>
      <c r="AE619" t="s">
        <v>3522</v>
      </c>
      <c r="AF619" t="s">
        <v>74</v>
      </c>
      <c r="AG619">
        <v>33</v>
      </c>
      <c r="AH619">
        <v>17</v>
      </c>
      <c r="AI619">
        <v>17</v>
      </c>
      <c r="AJ619">
        <v>25</v>
      </c>
      <c r="AK619">
        <v>39</v>
      </c>
      <c r="AL619" t="s">
        <v>138</v>
      </c>
      <c r="AM619" t="s">
        <v>139</v>
      </c>
      <c r="AN619" t="s">
        <v>140</v>
      </c>
      <c r="AO619" t="s">
        <v>141</v>
      </c>
      <c r="AP619" t="s">
        <v>142</v>
      </c>
      <c r="AQ619" t="s">
        <v>74</v>
      </c>
      <c r="AR619" t="s">
        <v>143</v>
      </c>
      <c r="AS619" t="s">
        <v>144</v>
      </c>
      <c r="AT619" t="s">
        <v>559</v>
      </c>
      <c r="AU619">
        <v>2024</v>
      </c>
      <c r="AV619">
        <v>246</v>
      </c>
      <c r="AW619" t="s">
        <v>74</v>
      </c>
      <c r="AX619" t="s">
        <v>74</v>
      </c>
      <c r="AY619" t="s">
        <v>74</v>
      </c>
      <c r="AZ619" t="s">
        <v>74</v>
      </c>
      <c r="BA619" t="s">
        <v>74</v>
      </c>
      <c r="BB619" t="s">
        <v>74</v>
      </c>
      <c r="BC619" t="s">
        <v>74</v>
      </c>
      <c r="BD619">
        <v>110071</v>
      </c>
      <c r="BE619" t="s">
        <v>10207</v>
      </c>
      <c r="BF619" t="str">
        <f>HYPERLINK("http://dx.doi.org/10.1016/j.ress.2024.110071","http://dx.doi.org/10.1016/j.ress.2024.110071")</f>
        <v>http://dx.doi.org/10.1016/j.ress.2024.110071</v>
      </c>
      <c r="BG619" t="s">
        <v>74</v>
      </c>
      <c r="BH619" t="s">
        <v>2003</v>
      </c>
      <c r="BI619">
        <v>21</v>
      </c>
      <c r="BJ619" t="s">
        <v>148</v>
      </c>
      <c r="BK619" t="s">
        <v>149</v>
      </c>
      <c r="BL619" t="s">
        <v>150</v>
      </c>
      <c r="BM619" t="s">
        <v>10208</v>
      </c>
      <c r="BN619" t="s">
        <v>74</v>
      </c>
      <c r="BO619" t="s">
        <v>74</v>
      </c>
      <c r="BP619" t="s">
        <v>10093</v>
      </c>
      <c r="BQ619" t="s">
        <v>10094</v>
      </c>
      <c r="BR619" t="s">
        <v>104</v>
      </c>
      <c r="BS619" t="s">
        <v>10209</v>
      </c>
      <c r="BT619" t="str">
        <f>HYPERLINK("https%3A%2F%2Fwww.webofscience.com%2Fwos%2Fwoscc%2Ffull-record%2FWOS:001218861000001","View Full Record in Web of Science")</f>
        <v>View Full Record in Web of Science</v>
      </c>
    </row>
    <row r="620" spans="1:72" x14ac:dyDescent="0.25">
      <c r="A620" t="s">
        <v>72</v>
      </c>
      <c r="B620" t="s">
        <v>10210</v>
      </c>
      <c r="C620" t="s">
        <v>74</v>
      </c>
      <c r="D620" t="s">
        <v>74</v>
      </c>
      <c r="E620" t="s">
        <v>74</v>
      </c>
      <c r="F620" t="s">
        <v>10211</v>
      </c>
      <c r="G620" t="s">
        <v>74</v>
      </c>
      <c r="H620" t="s">
        <v>74</v>
      </c>
      <c r="I620" t="s">
        <v>10212</v>
      </c>
      <c r="J620" t="s">
        <v>128</v>
      </c>
      <c r="K620" t="s">
        <v>74</v>
      </c>
      <c r="L620" t="s">
        <v>74</v>
      </c>
      <c r="M620" t="s">
        <v>78</v>
      </c>
      <c r="N620" t="s">
        <v>79</v>
      </c>
      <c r="O620" t="s">
        <v>74</v>
      </c>
      <c r="P620" t="s">
        <v>74</v>
      </c>
      <c r="Q620" t="s">
        <v>74</v>
      </c>
      <c r="R620" t="s">
        <v>74</v>
      </c>
      <c r="S620" t="s">
        <v>74</v>
      </c>
      <c r="T620" t="s">
        <v>10213</v>
      </c>
      <c r="U620" t="s">
        <v>10214</v>
      </c>
      <c r="V620" t="s">
        <v>10215</v>
      </c>
      <c r="W620" t="s">
        <v>10216</v>
      </c>
      <c r="X620" t="s">
        <v>1433</v>
      </c>
      <c r="Y620" t="s">
        <v>10217</v>
      </c>
      <c r="Z620" t="s">
        <v>10218</v>
      </c>
      <c r="AA620" t="s">
        <v>10219</v>
      </c>
      <c r="AB620" t="s">
        <v>10220</v>
      </c>
      <c r="AC620" t="s">
        <v>74</v>
      </c>
      <c r="AD620" t="s">
        <v>74</v>
      </c>
      <c r="AE620" t="s">
        <v>74</v>
      </c>
      <c r="AF620" t="s">
        <v>74</v>
      </c>
      <c r="AG620">
        <v>32</v>
      </c>
      <c r="AH620">
        <v>8</v>
      </c>
      <c r="AI620">
        <v>8</v>
      </c>
      <c r="AJ620">
        <v>8</v>
      </c>
      <c r="AK620">
        <v>47</v>
      </c>
      <c r="AL620" t="s">
        <v>138</v>
      </c>
      <c r="AM620" t="s">
        <v>139</v>
      </c>
      <c r="AN620" t="s">
        <v>140</v>
      </c>
      <c r="AO620" t="s">
        <v>141</v>
      </c>
      <c r="AP620" t="s">
        <v>142</v>
      </c>
      <c r="AQ620" t="s">
        <v>74</v>
      </c>
      <c r="AR620" t="s">
        <v>143</v>
      </c>
      <c r="AS620" t="s">
        <v>144</v>
      </c>
      <c r="AT620" t="s">
        <v>559</v>
      </c>
      <c r="AU620">
        <v>2022</v>
      </c>
      <c r="AV620">
        <v>222</v>
      </c>
      <c r="AW620" t="s">
        <v>74</v>
      </c>
      <c r="AX620" t="s">
        <v>74</v>
      </c>
      <c r="AY620" t="s">
        <v>74</v>
      </c>
      <c r="AZ620" t="s">
        <v>74</v>
      </c>
      <c r="BA620" t="s">
        <v>74</v>
      </c>
      <c r="BB620" t="s">
        <v>74</v>
      </c>
      <c r="BC620" t="s">
        <v>74</v>
      </c>
      <c r="BD620">
        <v>108387</v>
      </c>
      <c r="BE620" t="s">
        <v>10221</v>
      </c>
      <c r="BF620" t="str">
        <f>HYPERLINK("http://dx.doi.org/10.1016/j.ress.2022.108387","http://dx.doi.org/10.1016/j.ress.2022.108387")</f>
        <v>http://dx.doi.org/10.1016/j.ress.2022.108387</v>
      </c>
      <c r="BG620" t="s">
        <v>74</v>
      </c>
      <c r="BH620" t="s">
        <v>813</v>
      </c>
      <c r="BI620">
        <v>18</v>
      </c>
      <c r="BJ620" t="s">
        <v>148</v>
      </c>
      <c r="BK620" t="s">
        <v>149</v>
      </c>
      <c r="BL620" t="s">
        <v>150</v>
      </c>
      <c r="BM620" t="s">
        <v>814</v>
      </c>
      <c r="BN620" t="s">
        <v>74</v>
      </c>
      <c r="BO620" t="s">
        <v>74</v>
      </c>
      <c r="BP620" t="s">
        <v>74</v>
      </c>
      <c r="BQ620" t="s">
        <v>74</v>
      </c>
      <c r="BR620" t="s">
        <v>104</v>
      </c>
      <c r="BS620" t="s">
        <v>10222</v>
      </c>
      <c r="BT620" t="str">
        <f>HYPERLINK("https%3A%2F%2Fwww.webofscience.com%2Fwos%2Fwoscc%2Ffull-record%2FWOS:000771562000011","View Full Record in Web of Science")</f>
        <v>View Full Record in Web of Science</v>
      </c>
    </row>
    <row r="621" spans="1:72" x14ac:dyDescent="0.25">
      <c r="A621" t="s">
        <v>72</v>
      </c>
      <c r="B621" t="s">
        <v>10223</v>
      </c>
      <c r="C621" t="s">
        <v>74</v>
      </c>
      <c r="D621" t="s">
        <v>74</v>
      </c>
      <c r="E621" t="s">
        <v>74</v>
      </c>
      <c r="F621" t="s">
        <v>10224</v>
      </c>
      <c r="G621" t="s">
        <v>74</v>
      </c>
      <c r="H621" t="s">
        <v>74</v>
      </c>
      <c r="I621" t="s">
        <v>10225</v>
      </c>
      <c r="J621" t="s">
        <v>6499</v>
      </c>
      <c r="K621" t="s">
        <v>74</v>
      </c>
      <c r="L621" t="s">
        <v>74</v>
      </c>
      <c r="M621" t="s">
        <v>78</v>
      </c>
      <c r="N621" t="s">
        <v>79</v>
      </c>
      <c r="O621" t="s">
        <v>74</v>
      </c>
      <c r="P621" t="s">
        <v>74</v>
      </c>
      <c r="Q621" t="s">
        <v>74</v>
      </c>
      <c r="R621" t="s">
        <v>74</v>
      </c>
      <c r="S621" t="s">
        <v>74</v>
      </c>
      <c r="T621" t="s">
        <v>10226</v>
      </c>
      <c r="U621" t="s">
        <v>10227</v>
      </c>
      <c r="V621" t="s">
        <v>10228</v>
      </c>
      <c r="W621" t="s">
        <v>10229</v>
      </c>
      <c r="X621" t="s">
        <v>10230</v>
      </c>
      <c r="Y621" t="s">
        <v>10231</v>
      </c>
      <c r="Z621" t="s">
        <v>10232</v>
      </c>
      <c r="AA621" t="s">
        <v>10233</v>
      </c>
      <c r="AB621" t="s">
        <v>10234</v>
      </c>
      <c r="AC621" t="s">
        <v>10235</v>
      </c>
      <c r="AD621" t="s">
        <v>10236</v>
      </c>
      <c r="AE621" t="s">
        <v>10237</v>
      </c>
      <c r="AF621" t="s">
        <v>74</v>
      </c>
      <c r="AG621">
        <v>60</v>
      </c>
      <c r="AH621">
        <v>1</v>
      </c>
      <c r="AI621">
        <v>2</v>
      </c>
      <c r="AJ621">
        <v>3</v>
      </c>
      <c r="AK621">
        <v>6</v>
      </c>
      <c r="AL621" t="s">
        <v>6512</v>
      </c>
      <c r="AM621" t="s">
        <v>6513</v>
      </c>
      <c r="AN621" t="s">
        <v>6514</v>
      </c>
      <c r="AO621" t="s">
        <v>74</v>
      </c>
      <c r="AP621" t="s">
        <v>6515</v>
      </c>
      <c r="AQ621" t="s">
        <v>74</v>
      </c>
      <c r="AR621" t="s">
        <v>6499</v>
      </c>
      <c r="AS621" t="s">
        <v>6516</v>
      </c>
      <c r="AT621" t="s">
        <v>1202</v>
      </c>
      <c r="AU621">
        <v>2023</v>
      </c>
      <c r="AV621">
        <v>9</v>
      </c>
      <c r="AW621">
        <v>5</v>
      </c>
      <c r="AX621" t="s">
        <v>74</v>
      </c>
      <c r="AY621" t="s">
        <v>74</v>
      </c>
      <c r="AZ621" t="s">
        <v>74</v>
      </c>
      <c r="BA621" t="s">
        <v>74</v>
      </c>
      <c r="BB621" t="s">
        <v>74</v>
      </c>
      <c r="BC621" t="s">
        <v>74</v>
      </c>
      <c r="BD621" t="s">
        <v>10238</v>
      </c>
      <c r="BE621" t="s">
        <v>10239</v>
      </c>
      <c r="BF621" t="str">
        <f>HYPERLINK("http://dx.doi.org/10.1016/j.heliyon.2023.e16104","http://dx.doi.org/10.1016/j.heliyon.2023.e16104")</f>
        <v>http://dx.doi.org/10.1016/j.heliyon.2023.e16104</v>
      </c>
      <c r="BG621" t="s">
        <v>74</v>
      </c>
      <c r="BH621" t="s">
        <v>2390</v>
      </c>
      <c r="BI621">
        <v>17</v>
      </c>
      <c r="BJ621" t="s">
        <v>517</v>
      </c>
      <c r="BK621" t="s">
        <v>149</v>
      </c>
      <c r="BL621" t="s">
        <v>518</v>
      </c>
      <c r="BM621" t="s">
        <v>10240</v>
      </c>
      <c r="BN621">
        <v>37234663</v>
      </c>
      <c r="BO621" t="s">
        <v>6520</v>
      </c>
      <c r="BP621" t="s">
        <v>74</v>
      </c>
      <c r="BQ621" t="s">
        <v>74</v>
      </c>
      <c r="BR621" t="s">
        <v>104</v>
      </c>
      <c r="BS621" t="s">
        <v>10241</v>
      </c>
      <c r="BT621" t="str">
        <f>HYPERLINK("https%3A%2F%2Fwww.webofscience.com%2Fwos%2Fwoscc%2Ffull-record%2FWOS:001042318200001","View Full Record in Web of Science")</f>
        <v>View Full Record in Web of Science</v>
      </c>
    </row>
    <row r="622" spans="1:72" x14ac:dyDescent="0.25">
      <c r="A622" t="s">
        <v>72</v>
      </c>
      <c r="B622" t="s">
        <v>10242</v>
      </c>
      <c r="C622" t="s">
        <v>74</v>
      </c>
      <c r="D622" t="s">
        <v>74</v>
      </c>
      <c r="E622" t="s">
        <v>74</v>
      </c>
      <c r="F622" t="s">
        <v>10243</v>
      </c>
      <c r="G622" t="s">
        <v>74</v>
      </c>
      <c r="H622" t="s">
        <v>74</v>
      </c>
      <c r="I622" t="s">
        <v>10244</v>
      </c>
      <c r="J622" t="s">
        <v>1557</v>
      </c>
      <c r="K622" t="s">
        <v>74</v>
      </c>
      <c r="L622" t="s">
        <v>74</v>
      </c>
      <c r="M622" t="s">
        <v>78</v>
      </c>
      <c r="N622" t="s">
        <v>79</v>
      </c>
      <c r="O622" t="s">
        <v>74</v>
      </c>
      <c r="P622" t="s">
        <v>74</v>
      </c>
      <c r="Q622" t="s">
        <v>74</v>
      </c>
      <c r="R622" t="s">
        <v>74</v>
      </c>
      <c r="S622" t="s">
        <v>74</v>
      </c>
      <c r="T622" t="s">
        <v>10245</v>
      </c>
      <c r="U622" t="s">
        <v>10246</v>
      </c>
      <c r="V622" t="s">
        <v>10247</v>
      </c>
      <c r="W622" t="s">
        <v>10248</v>
      </c>
      <c r="X622" t="s">
        <v>10249</v>
      </c>
      <c r="Y622" t="s">
        <v>10250</v>
      </c>
      <c r="Z622" t="s">
        <v>10251</v>
      </c>
      <c r="AA622" t="s">
        <v>10252</v>
      </c>
      <c r="AB622" t="s">
        <v>10253</v>
      </c>
      <c r="AC622" t="s">
        <v>74</v>
      </c>
      <c r="AD622" t="s">
        <v>74</v>
      </c>
      <c r="AE622" t="s">
        <v>74</v>
      </c>
      <c r="AF622" t="s">
        <v>74</v>
      </c>
      <c r="AG622">
        <v>70</v>
      </c>
      <c r="AH622">
        <v>47</v>
      </c>
      <c r="AI622">
        <v>47</v>
      </c>
      <c r="AJ622">
        <v>5</v>
      </c>
      <c r="AK622">
        <v>32</v>
      </c>
      <c r="AL622" t="s">
        <v>707</v>
      </c>
      <c r="AM622" t="s">
        <v>246</v>
      </c>
      <c r="AN622" t="s">
        <v>708</v>
      </c>
      <c r="AO622" t="s">
        <v>1569</v>
      </c>
      <c r="AP622" t="s">
        <v>1570</v>
      </c>
      <c r="AQ622" t="s">
        <v>74</v>
      </c>
      <c r="AR622" t="s">
        <v>1571</v>
      </c>
      <c r="AS622" t="s">
        <v>1572</v>
      </c>
      <c r="AT622" t="s">
        <v>6317</v>
      </c>
      <c r="AU622">
        <v>2023</v>
      </c>
      <c r="AV622">
        <v>227</v>
      </c>
      <c r="AW622" t="s">
        <v>74</v>
      </c>
      <c r="AX622" t="s">
        <v>74</v>
      </c>
      <c r="AY622" t="s">
        <v>74</v>
      </c>
      <c r="AZ622" t="s">
        <v>74</v>
      </c>
      <c r="BA622" t="s">
        <v>74</v>
      </c>
      <c r="BB622" t="s">
        <v>74</v>
      </c>
      <c r="BC622" t="s">
        <v>74</v>
      </c>
      <c r="BD622">
        <v>120377</v>
      </c>
      <c r="BE622" t="s">
        <v>10254</v>
      </c>
      <c r="BF622" t="str">
        <f>HYPERLINK("http://dx.doi.org/10.1016/j.eswa.2023.120377","http://dx.doi.org/10.1016/j.eswa.2023.120377")</f>
        <v>http://dx.doi.org/10.1016/j.eswa.2023.120377</v>
      </c>
      <c r="BG622" t="s">
        <v>74</v>
      </c>
      <c r="BH622" t="s">
        <v>2390</v>
      </c>
      <c r="BI622">
        <v>14</v>
      </c>
      <c r="BJ622" t="s">
        <v>1575</v>
      </c>
      <c r="BK622" t="s">
        <v>149</v>
      </c>
      <c r="BL622" t="s">
        <v>1576</v>
      </c>
      <c r="BM622" t="s">
        <v>10255</v>
      </c>
      <c r="BN622" t="s">
        <v>74</v>
      </c>
      <c r="BO622" t="s">
        <v>74</v>
      </c>
      <c r="BP622" t="s">
        <v>74</v>
      </c>
      <c r="BQ622" t="s">
        <v>74</v>
      </c>
      <c r="BR622" t="s">
        <v>104</v>
      </c>
      <c r="BS622" t="s">
        <v>10256</v>
      </c>
      <c r="BT622" t="str">
        <f>HYPERLINK("https%3A%2F%2Fwww.webofscience.com%2Fwos%2Fwoscc%2Ffull-record%2FWOS:001006672200001","View Full Record in Web of Science")</f>
        <v>View Full Record in Web of Science</v>
      </c>
    </row>
    <row r="623" spans="1:72" x14ac:dyDescent="0.25">
      <c r="A623" t="s">
        <v>72</v>
      </c>
      <c r="B623" t="s">
        <v>10257</v>
      </c>
      <c r="C623" t="s">
        <v>74</v>
      </c>
      <c r="D623" t="s">
        <v>74</v>
      </c>
      <c r="E623" t="s">
        <v>74</v>
      </c>
      <c r="F623" t="s">
        <v>10258</v>
      </c>
      <c r="G623" t="s">
        <v>74</v>
      </c>
      <c r="H623" t="s">
        <v>74</v>
      </c>
      <c r="I623" t="s">
        <v>10259</v>
      </c>
      <c r="J623" t="s">
        <v>1557</v>
      </c>
      <c r="K623" t="s">
        <v>74</v>
      </c>
      <c r="L623" t="s">
        <v>74</v>
      </c>
      <c r="M623" t="s">
        <v>78</v>
      </c>
      <c r="N623" t="s">
        <v>79</v>
      </c>
      <c r="O623" t="s">
        <v>74</v>
      </c>
      <c r="P623" t="s">
        <v>74</v>
      </c>
      <c r="Q623" t="s">
        <v>74</v>
      </c>
      <c r="R623" t="s">
        <v>74</v>
      </c>
      <c r="S623" t="s">
        <v>74</v>
      </c>
      <c r="T623" t="s">
        <v>10260</v>
      </c>
      <c r="U623" t="s">
        <v>10261</v>
      </c>
      <c r="V623" t="s">
        <v>10262</v>
      </c>
      <c r="W623" t="s">
        <v>10263</v>
      </c>
      <c r="X623" t="s">
        <v>10264</v>
      </c>
      <c r="Y623" t="s">
        <v>10265</v>
      </c>
      <c r="Z623" t="s">
        <v>10266</v>
      </c>
      <c r="AA623" t="s">
        <v>10267</v>
      </c>
      <c r="AB623" t="s">
        <v>10268</v>
      </c>
      <c r="AC623" t="s">
        <v>74</v>
      </c>
      <c r="AD623" t="s">
        <v>74</v>
      </c>
      <c r="AE623" t="s">
        <v>74</v>
      </c>
      <c r="AF623" t="s">
        <v>74</v>
      </c>
      <c r="AG623">
        <v>50</v>
      </c>
      <c r="AH623">
        <v>88</v>
      </c>
      <c r="AI623">
        <v>102</v>
      </c>
      <c r="AJ623">
        <v>6</v>
      </c>
      <c r="AK623">
        <v>101</v>
      </c>
      <c r="AL623" t="s">
        <v>707</v>
      </c>
      <c r="AM623" t="s">
        <v>246</v>
      </c>
      <c r="AN623" t="s">
        <v>708</v>
      </c>
      <c r="AO623" t="s">
        <v>1569</v>
      </c>
      <c r="AP623" t="s">
        <v>1570</v>
      </c>
      <c r="AQ623" t="s">
        <v>74</v>
      </c>
      <c r="AR623" t="s">
        <v>1571</v>
      </c>
      <c r="AS623" t="s">
        <v>1572</v>
      </c>
      <c r="AT623" t="s">
        <v>1008</v>
      </c>
      <c r="AU623">
        <v>2019</v>
      </c>
      <c r="AV623">
        <v>115</v>
      </c>
      <c r="AW623" t="s">
        <v>74</v>
      </c>
      <c r="AX623" t="s">
        <v>74</v>
      </c>
      <c r="AY623" t="s">
        <v>74</v>
      </c>
      <c r="AZ623" t="s">
        <v>74</v>
      </c>
      <c r="BA623" t="s">
        <v>74</v>
      </c>
      <c r="BB623">
        <v>314</v>
      </c>
      <c r="BC623">
        <v>328</v>
      </c>
      <c r="BD623" t="s">
        <v>74</v>
      </c>
      <c r="BE623" t="s">
        <v>10269</v>
      </c>
      <c r="BF623" t="str">
        <f>HYPERLINK("http://dx.doi.org/10.1016/j.eswa.2018.07.075","http://dx.doi.org/10.1016/j.eswa.2018.07.075")</f>
        <v>http://dx.doi.org/10.1016/j.eswa.2018.07.075</v>
      </c>
      <c r="BG623" t="s">
        <v>74</v>
      </c>
      <c r="BH623" t="s">
        <v>74</v>
      </c>
      <c r="BI623">
        <v>15</v>
      </c>
      <c r="BJ623" t="s">
        <v>1575</v>
      </c>
      <c r="BK623" t="s">
        <v>149</v>
      </c>
      <c r="BL623" t="s">
        <v>1576</v>
      </c>
      <c r="BM623" t="s">
        <v>9471</v>
      </c>
      <c r="BN623" t="s">
        <v>74</v>
      </c>
      <c r="BO623" t="s">
        <v>74</v>
      </c>
      <c r="BP623" t="s">
        <v>74</v>
      </c>
      <c r="BQ623" t="s">
        <v>74</v>
      </c>
      <c r="BR623" t="s">
        <v>104</v>
      </c>
      <c r="BS623" t="s">
        <v>10270</v>
      </c>
      <c r="BT623" t="str">
        <f>HYPERLINK("https%3A%2F%2Fwww.webofscience.com%2Fwos%2Fwoscc%2Ffull-record%2FWOS:000448097700022","View Full Record in Web of Science")</f>
        <v>View Full Record in Web of Science</v>
      </c>
    </row>
    <row r="624" spans="1:72" x14ac:dyDescent="0.25">
      <c r="A624" t="s">
        <v>72</v>
      </c>
      <c r="B624" t="s">
        <v>1743</v>
      </c>
      <c r="C624" t="s">
        <v>74</v>
      </c>
      <c r="D624" t="s">
        <v>74</v>
      </c>
      <c r="E624" t="s">
        <v>74</v>
      </c>
      <c r="F624" t="s">
        <v>1744</v>
      </c>
      <c r="G624" t="s">
        <v>74</v>
      </c>
      <c r="H624" t="s">
        <v>74</v>
      </c>
      <c r="I624" t="s">
        <v>10271</v>
      </c>
      <c r="J624" t="s">
        <v>722</v>
      </c>
      <c r="K624" t="s">
        <v>74</v>
      </c>
      <c r="L624" t="s">
        <v>74</v>
      </c>
      <c r="M624" t="s">
        <v>78</v>
      </c>
      <c r="N624" t="s">
        <v>79</v>
      </c>
      <c r="O624" t="s">
        <v>74</v>
      </c>
      <c r="P624" t="s">
        <v>74</v>
      </c>
      <c r="Q624" t="s">
        <v>74</v>
      </c>
      <c r="R624" t="s">
        <v>74</v>
      </c>
      <c r="S624" t="s">
        <v>74</v>
      </c>
      <c r="T624" t="s">
        <v>10272</v>
      </c>
      <c r="U624" t="s">
        <v>10273</v>
      </c>
      <c r="V624" t="s">
        <v>10274</v>
      </c>
      <c r="W624" t="s">
        <v>10275</v>
      </c>
      <c r="X624" t="s">
        <v>1313</v>
      </c>
      <c r="Y624" t="s">
        <v>10276</v>
      </c>
      <c r="Z624" t="s">
        <v>1751</v>
      </c>
      <c r="AA624" t="s">
        <v>74</v>
      </c>
      <c r="AB624" t="s">
        <v>74</v>
      </c>
      <c r="AC624" t="s">
        <v>10277</v>
      </c>
      <c r="AD624" t="s">
        <v>10278</v>
      </c>
      <c r="AE624" t="s">
        <v>10279</v>
      </c>
      <c r="AF624" t="s">
        <v>74</v>
      </c>
      <c r="AG624">
        <v>93</v>
      </c>
      <c r="AH624">
        <v>0</v>
      </c>
      <c r="AI624">
        <v>0</v>
      </c>
      <c r="AJ624">
        <v>2</v>
      </c>
      <c r="AK624">
        <v>6</v>
      </c>
      <c r="AL624" t="s">
        <v>732</v>
      </c>
      <c r="AM624" t="s">
        <v>733</v>
      </c>
      <c r="AN624" t="s">
        <v>734</v>
      </c>
      <c r="AO624" t="s">
        <v>735</v>
      </c>
      <c r="AP624" t="s">
        <v>736</v>
      </c>
      <c r="AQ624" t="s">
        <v>74</v>
      </c>
      <c r="AR624" t="s">
        <v>737</v>
      </c>
      <c r="AS624" t="s">
        <v>738</v>
      </c>
      <c r="AT624" t="s">
        <v>74</v>
      </c>
      <c r="AU624">
        <v>2020</v>
      </c>
      <c r="AV624">
        <v>14</v>
      </c>
      <c r="AW624">
        <v>3</v>
      </c>
      <c r="AX624" t="s">
        <v>74</v>
      </c>
      <c r="AY624" t="s">
        <v>74</v>
      </c>
      <c r="AZ624" t="s">
        <v>74</v>
      </c>
      <c r="BA624" t="s">
        <v>74</v>
      </c>
      <c r="BB624">
        <v>404</v>
      </c>
      <c r="BC624">
        <v>442</v>
      </c>
      <c r="BD624" t="s">
        <v>74</v>
      </c>
      <c r="BE624" t="s">
        <v>10280</v>
      </c>
      <c r="BF624" t="str">
        <f>HYPERLINK("http://dx.doi.org/10.1504/EJIE.2020.107696","http://dx.doi.org/10.1504/EJIE.2020.107696")</f>
        <v>http://dx.doi.org/10.1504/EJIE.2020.107696</v>
      </c>
      <c r="BG624" t="s">
        <v>74</v>
      </c>
      <c r="BH624" t="s">
        <v>74</v>
      </c>
      <c r="BI624">
        <v>39</v>
      </c>
      <c r="BJ624" t="s">
        <v>148</v>
      </c>
      <c r="BK624" t="s">
        <v>322</v>
      </c>
      <c r="BL624" t="s">
        <v>150</v>
      </c>
      <c r="BM624" t="s">
        <v>10281</v>
      </c>
      <c r="BN624" t="s">
        <v>74</v>
      </c>
      <c r="BO624" t="s">
        <v>74</v>
      </c>
      <c r="BP624" t="s">
        <v>74</v>
      </c>
      <c r="BQ624" t="s">
        <v>74</v>
      </c>
      <c r="BR624" t="s">
        <v>104</v>
      </c>
      <c r="BS624" t="s">
        <v>10282</v>
      </c>
      <c r="BT624" t="str">
        <f>HYPERLINK("https%3A%2F%2Fwww.webofscience.com%2Fwos%2Fwoscc%2Ffull-record%2FWOS:000551923400005","View Full Record in Web of Science")</f>
        <v>View Full Record in Web of Science</v>
      </c>
    </row>
    <row r="625" spans="1:72" x14ac:dyDescent="0.25">
      <c r="A625" t="s">
        <v>72</v>
      </c>
      <c r="B625" t="s">
        <v>10283</v>
      </c>
      <c r="C625" t="s">
        <v>74</v>
      </c>
      <c r="D625" t="s">
        <v>74</v>
      </c>
      <c r="E625" t="s">
        <v>74</v>
      </c>
      <c r="F625" t="s">
        <v>10284</v>
      </c>
      <c r="G625" t="s">
        <v>74</v>
      </c>
      <c r="H625" t="s">
        <v>74</v>
      </c>
      <c r="I625" t="s">
        <v>10285</v>
      </c>
      <c r="J625" t="s">
        <v>128</v>
      </c>
      <c r="K625" t="s">
        <v>74</v>
      </c>
      <c r="L625" t="s">
        <v>74</v>
      </c>
      <c r="M625" t="s">
        <v>78</v>
      </c>
      <c r="N625" t="s">
        <v>79</v>
      </c>
      <c r="O625" t="s">
        <v>74</v>
      </c>
      <c r="P625" t="s">
        <v>74</v>
      </c>
      <c r="Q625" t="s">
        <v>74</v>
      </c>
      <c r="R625" t="s">
        <v>74</v>
      </c>
      <c r="S625" t="s">
        <v>74</v>
      </c>
      <c r="T625" t="s">
        <v>10286</v>
      </c>
      <c r="U625" t="s">
        <v>10287</v>
      </c>
      <c r="V625" t="s">
        <v>10288</v>
      </c>
      <c r="W625" t="s">
        <v>10289</v>
      </c>
      <c r="X625" t="s">
        <v>10290</v>
      </c>
      <c r="Y625" t="s">
        <v>10291</v>
      </c>
      <c r="Z625" t="s">
        <v>10292</v>
      </c>
      <c r="AA625" t="s">
        <v>10293</v>
      </c>
      <c r="AB625" t="s">
        <v>10294</v>
      </c>
      <c r="AC625" t="s">
        <v>10295</v>
      </c>
      <c r="AD625" t="s">
        <v>10296</v>
      </c>
      <c r="AE625" t="s">
        <v>10297</v>
      </c>
      <c r="AF625" t="s">
        <v>74</v>
      </c>
      <c r="AG625">
        <v>31</v>
      </c>
      <c r="AH625">
        <v>10</v>
      </c>
      <c r="AI625">
        <v>12</v>
      </c>
      <c r="AJ625">
        <v>1</v>
      </c>
      <c r="AK625">
        <v>10</v>
      </c>
      <c r="AL625" t="s">
        <v>138</v>
      </c>
      <c r="AM625" t="s">
        <v>246</v>
      </c>
      <c r="AN625" t="s">
        <v>247</v>
      </c>
      <c r="AO625" t="s">
        <v>141</v>
      </c>
      <c r="AP625" t="s">
        <v>142</v>
      </c>
      <c r="AQ625" t="s">
        <v>74</v>
      </c>
      <c r="AR625" t="s">
        <v>143</v>
      </c>
      <c r="AS625" t="s">
        <v>144</v>
      </c>
      <c r="AT625" t="s">
        <v>1008</v>
      </c>
      <c r="AU625">
        <v>2022</v>
      </c>
      <c r="AV625">
        <v>217</v>
      </c>
      <c r="AW625" t="s">
        <v>74</v>
      </c>
      <c r="AX625" t="s">
        <v>74</v>
      </c>
      <c r="AY625" t="s">
        <v>74</v>
      </c>
      <c r="AZ625" t="s">
        <v>74</v>
      </c>
      <c r="BA625" t="s">
        <v>74</v>
      </c>
      <c r="BB625" t="s">
        <v>74</v>
      </c>
      <c r="BC625" t="s">
        <v>74</v>
      </c>
      <c r="BD625">
        <v>107944</v>
      </c>
      <c r="BE625" t="s">
        <v>10298</v>
      </c>
      <c r="BF625" t="str">
        <f>HYPERLINK("http://dx.doi.org/10.1016/j.ress.2021.107944","http://dx.doi.org/10.1016/j.ress.2021.107944")</f>
        <v>http://dx.doi.org/10.1016/j.ress.2021.107944</v>
      </c>
      <c r="BG625" t="s">
        <v>74</v>
      </c>
      <c r="BH625" t="s">
        <v>2089</v>
      </c>
      <c r="BI625">
        <v>13</v>
      </c>
      <c r="BJ625" t="s">
        <v>148</v>
      </c>
      <c r="BK625" t="s">
        <v>149</v>
      </c>
      <c r="BL625" t="s">
        <v>150</v>
      </c>
      <c r="BM625" t="s">
        <v>4346</v>
      </c>
      <c r="BN625" t="s">
        <v>74</v>
      </c>
      <c r="BO625" t="s">
        <v>123</v>
      </c>
      <c r="BP625" t="s">
        <v>74</v>
      </c>
      <c r="BQ625" t="s">
        <v>74</v>
      </c>
      <c r="BR625" t="s">
        <v>104</v>
      </c>
      <c r="BS625" t="s">
        <v>10299</v>
      </c>
      <c r="BT625" t="str">
        <f>HYPERLINK("https%3A%2F%2Fwww.webofscience.com%2Fwos%2Fwoscc%2Ffull-record%2FWOS:000702360100001","View Full Record in Web of Science")</f>
        <v>View Full Record in Web of Science</v>
      </c>
    </row>
    <row r="626" spans="1:72" x14ac:dyDescent="0.25">
      <c r="A626" t="s">
        <v>72</v>
      </c>
      <c r="B626" t="s">
        <v>10300</v>
      </c>
      <c r="C626" t="s">
        <v>74</v>
      </c>
      <c r="D626" t="s">
        <v>74</v>
      </c>
      <c r="E626" t="s">
        <v>74</v>
      </c>
      <c r="F626" t="s">
        <v>10301</v>
      </c>
      <c r="G626" t="s">
        <v>74</v>
      </c>
      <c r="H626" t="s">
        <v>74</v>
      </c>
      <c r="I626" t="s">
        <v>10302</v>
      </c>
      <c r="J626" t="s">
        <v>542</v>
      </c>
      <c r="K626" t="s">
        <v>74</v>
      </c>
      <c r="L626" t="s">
        <v>74</v>
      </c>
      <c r="M626" t="s">
        <v>78</v>
      </c>
      <c r="N626" t="s">
        <v>1083</v>
      </c>
      <c r="O626" t="s">
        <v>74</v>
      </c>
      <c r="P626" t="s">
        <v>74</v>
      </c>
      <c r="Q626" t="s">
        <v>74</v>
      </c>
      <c r="R626" t="s">
        <v>74</v>
      </c>
      <c r="S626" t="s">
        <v>74</v>
      </c>
      <c r="T626" t="s">
        <v>10303</v>
      </c>
      <c r="U626" t="s">
        <v>10304</v>
      </c>
      <c r="V626" t="s">
        <v>10305</v>
      </c>
      <c r="W626" t="s">
        <v>10306</v>
      </c>
      <c r="X626" t="s">
        <v>4297</v>
      </c>
      <c r="Y626" t="s">
        <v>10307</v>
      </c>
      <c r="Z626" t="s">
        <v>10308</v>
      </c>
      <c r="AA626" t="s">
        <v>10309</v>
      </c>
      <c r="AB626" t="s">
        <v>74</v>
      </c>
      <c r="AC626" t="s">
        <v>10310</v>
      </c>
      <c r="AD626" t="s">
        <v>7153</v>
      </c>
      <c r="AE626" t="s">
        <v>10311</v>
      </c>
      <c r="AF626" t="s">
        <v>74</v>
      </c>
      <c r="AG626">
        <v>39</v>
      </c>
      <c r="AH626">
        <v>1</v>
      </c>
      <c r="AI626">
        <v>1</v>
      </c>
      <c r="AJ626">
        <v>19</v>
      </c>
      <c r="AK626">
        <v>22</v>
      </c>
      <c r="AL626" t="s">
        <v>552</v>
      </c>
      <c r="AM626" t="s">
        <v>553</v>
      </c>
      <c r="AN626" t="s">
        <v>554</v>
      </c>
      <c r="AO626" t="s">
        <v>555</v>
      </c>
      <c r="AP626" t="s">
        <v>556</v>
      </c>
      <c r="AQ626" t="s">
        <v>74</v>
      </c>
      <c r="AR626" t="s">
        <v>557</v>
      </c>
      <c r="AS626" t="s">
        <v>558</v>
      </c>
      <c r="AT626" t="s">
        <v>10312</v>
      </c>
      <c r="AU626">
        <v>2024</v>
      </c>
      <c r="AV626" t="s">
        <v>74</v>
      </c>
      <c r="AW626" t="s">
        <v>74</v>
      </c>
      <c r="AX626" t="s">
        <v>74</v>
      </c>
      <c r="AY626" t="s">
        <v>74</v>
      </c>
      <c r="AZ626" t="s">
        <v>74</v>
      </c>
      <c r="BA626" t="s">
        <v>74</v>
      </c>
      <c r="BB626" t="s">
        <v>74</v>
      </c>
      <c r="BC626" t="s">
        <v>74</v>
      </c>
      <c r="BD626" t="s">
        <v>74</v>
      </c>
      <c r="BE626" t="s">
        <v>10313</v>
      </c>
      <c r="BF626" t="str">
        <f>HYPERLINK("http://dx.doi.org/10.1177/1748006X241263922","http://dx.doi.org/10.1177/1748006X241263922")</f>
        <v>http://dx.doi.org/10.1177/1748006X241263922</v>
      </c>
      <c r="BG626" t="s">
        <v>74</v>
      </c>
      <c r="BH626" t="s">
        <v>989</v>
      </c>
      <c r="BI626">
        <v>15</v>
      </c>
      <c r="BJ626" t="s">
        <v>494</v>
      </c>
      <c r="BK626" t="s">
        <v>149</v>
      </c>
      <c r="BL626" t="s">
        <v>150</v>
      </c>
      <c r="BM626" t="s">
        <v>10314</v>
      </c>
      <c r="BN626" t="s">
        <v>74</v>
      </c>
      <c r="BO626" t="s">
        <v>74</v>
      </c>
      <c r="BP626" t="s">
        <v>74</v>
      </c>
      <c r="BQ626" t="s">
        <v>74</v>
      </c>
      <c r="BR626" t="s">
        <v>104</v>
      </c>
      <c r="BS626" t="s">
        <v>10315</v>
      </c>
      <c r="BT626" t="str">
        <f>HYPERLINK("https%3A%2F%2Fwww.webofscience.com%2Fwos%2Fwoscc%2Ffull-record%2FWOS:001283141800001","View Full Record in Web of Science")</f>
        <v>View Full Record in Web of Science</v>
      </c>
    </row>
    <row r="627" spans="1:72" x14ac:dyDescent="0.25">
      <c r="A627" t="s">
        <v>72</v>
      </c>
      <c r="B627" t="s">
        <v>10316</v>
      </c>
      <c r="C627" t="s">
        <v>74</v>
      </c>
      <c r="D627" t="s">
        <v>74</v>
      </c>
      <c r="E627" t="s">
        <v>74</v>
      </c>
      <c r="F627" t="s">
        <v>10317</v>
      </c>
      <c r="G627" t="s">
        <v>74</v>
      </c>
      <c r="H627" t="s">
        <v>74</v>
      </c>
      <c r="I627" t="s">
        <v>10318</v>
      </c>
      <c r="J627" t="s">
        <v>128</v>
      </c>
      <c r="K627" t="s">
        <v>74</v>
      </c>
      <c r="L627" t="s">
        <v>74</v>
      </c>
      <c r="M627" t="s">
        <v>78</v>
      </c>
      <c r="N627" t="s">
        <v>79</v>
      </c>
      <c r="O627" t="s">
        <v>74</v>
      </c>
      <c r="P627" t="s">
        <v>74</v>
      </c>
      <c r="Q627" t="s">
        <v>74</v>
      </c>
      <c r="R627" t="s">
        <v>74</v>
      </c>
      <c r="S627" t="s">
        <v>74</v>
      </c>
      <c r="T627" t="s">
        <v>10319</v>
      </c>
      <c r="U627" t="s">
        <v>10320</v>
      </c>
      <c r="V627" t="s">
        <v>10321</v>
      </c>
      <c r="W627" t="s">
        <v>10322</v>
      </c>
      <c r="X627" t="s">
        <v>10323</v>
      </c>
      <c r="Y627" t="s">
        <v>10324</v>
      </c>
      <c r="Z627" t="s">
        <v>10325</v>
      </c>
      <c r="AA627" t="s">
        <v>74</v>
      </c>
      <c r="AB627" t="s">
        <v>74</v>
      </c>
      <c r="AC627" t="s">
        <v>10326</v>
      </c>
      <c r="AD627" t="s">
        <v>1789</v>
      </c>
      <c r="AE627" t="s">
        <v>10327</v>
      </c>
      <c r="AF627" t="s">
        <v>74</v>
      </c>
      <c r="AG627">
        <v>48</v>
      </c>
      <c r="AH627">
        <v>21</v>
      </c>
      <c r="AI627">
        <v>22</v>
      </c>
      <c r="AJ627">
        <v>3</v>
      </c>
      <c r="AK627">
        <v>39</v>
      </c>
      <c r="AL627" t="s">
        <v>138</v>
      </c>
      <c r="AM627" t="s">
        <v>246</v>
      </c>
      <c r="AN627" t="s">
        <v>247</v>
      </c>
      <c r="AO627" t="s">
        <v>141</v>
      </c>
      <c r="AP627" t="s">
        <v>142</v>
      </c>
      <c r="AQ627" t="s">
        <v>74</v>
      </c>
      <c r="AR627" t="s">
        <v>143</v>
      </c>
      <c r="AS627" t="s">
        <v>144</v>
      </c>
      <c r="AT627" t="s">
        <v>145</v>
      </c>
      <c r="AU627">
        <v>2020</v>
      </c>
      <c r="AV627">
        <v>204</v>
      </c>
      <c r="AW627" t="s">
        <v>74</v>
      </c>
      <c r="AX627" t="s">
        <v>74</v>
      </c>
      <c r="AY627" t="s">
        <v>74</v>
      </c>
      <c r="AZ627" t="s">
        <v>74</v>
      </c>
      <c r="BA627" t="s">
        <v>74</v>
      </c>
      <c r="BB627" t="s">
        <v>74</v>
      </c>
      <c r="BC627" t="s">
        <v>74</v>
      </c>
      <c r="BD627">
        <v>107144</v>
      </c>
      <c r="BE627" t="s">
        <v>10328</v>
      </c>
      <c r="BF627" t="str">
        <f>HYPERLINK("http://dx.doi.org/10.1016/j.ress.2020.107144","http://dx.doi.org/10.1016/j.ress.2020.107144")</f>
        <v>http://dx.doi.org/10.1016/j.ress.2020.107144</v>
      </c>
      <c r="BG627" t="s">
        <v>74</v>
      </c>
      <c r="BH627" t="s">
        <v>74</v>
      </c>
      <c r="BI627">
        <v>13</v>
      </c>
      <c r="BJ627" t="s">
        <v>148</v>
      </c>
      <c r="BK627" t="s">
        <v>149</v>
      </c>
      <c r="BL627" t="s">
        <v>150</v>
      </c>
      <c r="BM627" t="s">
        <v>4651</v>
      </c>
      <c r="BN627" t="s">
        <v>74</v>
      </c>
      <c r="BO627" t="s">
        <v>74</v>
      </c>
      <c r="BP627" t="s">
        <v>74</v>
      </c>
      <c r="BQ627" t="s">
        <v>74</v>
      </c>
      <c r="BR627" t="s">
        <v>104</v>
      </c>
      <c r="BS627" t="s">
        <v>10329</v>
      </c>
      <c r="BT627" t="str">
        <f>HYPERLINK("https%3A%2F%2Fwww.webofscience.com%2Fwos%2Fwoscc%2Ffull-record%2FWOS:000583913400032","View Full Record in Web of Science")</f>
        <v>View Full Record in Web of Science</v>
      </c>
    </row>
    <row r="628" spans="1:72" x14ac:dyDescent="0.25">
      <c r="A628" t="s">
        <v>72</v>
      </c>
      <c r="B628" t="s">
        <v>10330</v>
      </c>
      <c r="C628" t="s">
        <v>74</v>
      </c>
      <c r="D628" t="s">
        <v>74</v>
      </c>
      <c r="E628" t="s">
        <v>74</v>
      </c>
      <c r="F628" t="s">
        <v>10331</v>
      </c>
      <c r="G628" t="s">
        <v>74</v>
      </c>
      <c r="H628" t="s">
        <v>74</v>
      </c>
      <c r="I628" t="s">
        <v>10332</v>
      </c>
      <c r="J628" t="s">
        <v>128</v>
      </c>
      <c r="K628" t="s">
        <v>74</v>
      </c>
      <c r="L628" t="s">
        <v>74</v>
      </c>
      <c r="M628" t="s">
        <v>78</v>
      </c>
      <c r="N628" t="s">
        <v>79</v>
      </c>
      <c r="O628" t="s">
        <v>74</v>
      </c>
      <c r="P628" t="s">
        <v>74</v>
      </c>
      <c r="Q628" t="s">
        <v>74</v>
      </c>
      <c r="R628" t="s">
        <v>74</v>
      </c>
      <c r="S628" t="s">
        <v>74</v>
      </c>
      <c r="T628" t="s">
        <v>10333</v>
      </c>
      <c r="U628" t="s">
        <v>10334</v>
      </c>
      <c r="V628" t="s">
        <v>10335</v>
      </c>
      <c r="W628" t="s">
        <v>10336</v>
      </c>
      <c r="X628" t="s">
        <v>10337</v>
      </c>
      <c r="Y628" t="s">
        <v>10338</v>
      </c>
      <c r="Z628" t="s">
        <v>74</v>
      </c>
      <c r="AA628" t="s">
        <v>74</v>
      </c>
      <c r="AB628" t="s">
        <v>10339</v>
      </c>
      <c r="AC628" t="s">
        <v>10340</v>
      </c>
      <c r="AD628" t="s">
        <v>6227</v>
      </c>
      <c r="AE628" t="s">
        <v>10341</v>
      </c>
      <c r="AF628" t="s">
        <v>74</v>
      </c>
      <c r="AG628">
        <v>37</v>
      </c>
      <c r="AH628">
        <v>8</v>
      </c>
      <c r="AI628">
        <v>9</v>
      </c>
      <c r="AJ628">
        <v>14</v>
      </c>
      <c r="AK628">
        <v>62</v>
      </c>
      <c r="AL628" t="s">
        <v>138</v>
      </c>
      <c r="AM628" t="s">
        <v>246</v>
      </c>
      <c r="AN628" t="s">
        <v>247</v>
      </c>
      <c r="AO628" t="s">
        <v>141</v>
      </c>
      <c r="AP628" t="s">
        <v>142</v>
      </c>
      <c r="AQ628" t="s">
        <v>74</v>
      </c>
      <c r="AR628" t="s">
        <v>143</v>
      </c>
      <c r="AS628" t="s">
        <v>144</v>
      </c>
      <c r="AT628" t="s">
        <v>559</v>
      </c>
      <c r="AU628">
        <v>2021</v>
      </c>
      <c r="AV628">
        <v>210</v>
      </c>
      <c r="AW628" t="s">
        <v>74</v>
      </c>
      <c r="AX628" t="s">
        <v>74</v>
      </c>
      <c r="AY628" t="s">
        <v>74</v>
      </c>
      <c r="AZ628" t="s">
        <v>74</v>
      </c>
      <c r="BA628" t="s">
        <v>74</v>
      </c>
      <c r="BB628" t="s">
        <v>74</v>
      </c>
      <c r="BC628" t="s">
        <v>74</v>
      </c>
      <c r="BD628">
        <v>107535</v>
      </c>
      <c r="BE628" t="s">
        <v>10342</v>
      </c>
      <c r="BF628" t="str">
        <f>HYPERLINK("http://dx.doi.org/10.1016/j.ress.2021.107535","http://dx.doi.org/10.1016/j.ress.2021.107535")</f>
        <v>http://dx.doi.org/10.1016/j.ress.2021.107535</v>
      </c>
      <c r="BG628" t="s">
        <v>74</v>
      </c>
      <c r="BH628" t="s">
        <v>639</v>
      </c>
      <c r="BI628">
        <v>13</v>
      </c>
      <c r="BJ628" t="s">
        <v>148</v>
      </c>
      <c r="BK628" t="s">
        <v>149</v>
      </c>
      <c r="BL628" t="s">
        <v>150</v>
      </c>
      <c r="BM628" t="s">
        <v>640</v>
      </c>
      <c r="BN628" t="s">
        <v>74</v>
      </c>
      <c r="BO628" t="s">
        <v>74</v>
      </c>
      <c r="BP628" t="s">
        <v>74</v>
      </c>
      <c r="BQ628" t="s">
        <v>74</v>
      </c>
      <c r="BR628" t="s">
        <v>104</v>
      </c>
      <c r="BS628" t="s">
        <v>10343</v>
      </c>
      <c r="BT628" t="str">
        <f>HYPERLINK("https%3A%2F%2Fwww.webofscience.com%2Fwos%2Fwoscc%2Ffull-record%2FWOS:000663909400035","View Full Record in Web of Science")</f>
        <v>View Full Record in Web of Science</v>
      </c>
    </row>
    <row r="629" spans="1:72" x14ac:dyDescent="0.25">
      <c r="A629" t="s">
        <v>72</v>
      </c>
      <c r="B629" t="s">
        <v>10344</v>
      </c>
      <c r="C629" t="s">
        <v>74</v>
      </c>
      <c r="D629" t="s">
        <v>74</v>
      </c>
      <c r="E629" t="s">
        <v>74</v>
      </c>
      <c r="F629" t="s">
        <v>10345</v>
      </c>
      <c r="G629" t="s">
        <v>74</v>
      </c>
      <c r="H629" t="s">
        <v>74</v>
      </c>
      <c r="I629" t="s">
        <v>10346</v>
      </c>
      <c r="J629" t="s">
        <v>1814</v>
      </c>
      <c r="K629" t="s">
        <v>74</v>
      </c>
      <c r="L629" t="s">
        <v>74</v>
      </c>
      <c r="M629" t="s">
        <v>78</v>
      </c>
      <c r="N629" t="s">
        <v>79</v>
      </c>
      <c r="O629" t="s">
        <v>74</v>
      </c>
      <c r="P629" t="s">
        <v>74</v>
      </c>
      <c r="Q629" t="s">
        <v>74</v>
      </c>
      <c r="R629" t="s">
        <v>74</v>
      </c>
      <c r="S629" t="s">
        <v>74</v>
      </c>
      <c r="T629" t="s">
        <v>10347</v>
      </c>
      <c r="U629" t="s">
        <v>10348</v>
      </c>
      <c r="V629" t="s">
        <v>10349</v>
      </c>
      <c r="W629" t="s">
        <v>10350</v>
      </c>
      <c r="X629" t="s">
        <v>10351</v>
      </c>
      <c r="Y629" t="s">
        <v>10352</v>
      </c>
      <c r="Z629" t="s">
        <v>10353</v>
      </c>
      <c r="AA629" t="s">
        <v>74</v>
      </c>
      <c r="AB629" t="s">
        <v>74</v>
      </c>
      <c r="AC629" t="s">
        <v>10354</v>
      </c>
      <c r="AD629" t="s">
        <v>10355</v>
      </c>
      <c r="AE629" t="s">
        <v>10356</v>
      </c>
      <c r="AF629" t="s">
        <v>74</v>
      </c>
      <c r="AG629">
        <v>44</v>
      </c>
      <c r="AH629">
        <v>10</v>
      </c>
      <c r="AI629">
        <v>10</v>
      </c>
      <c r="AJ629">
        <v>6</v>
      </c>
      <c r="AK629">
        <v>32</v>
      </c>
      <c r="AL629" t="s">
        <v>509</v>
      </c>
      <c r="AM629" t="s">
        <v>510</v>
      </c>
      <c r="AN629" t="s">
        <v>511</v>
      </c>
      <c r="AO629" t="s">
        <v>1824</v>
      </c>
      <c r="AP629" t="s">
        <v>1825</v>
      </c>
      <c r="AQ629" t="s">
        <v>74</v>
      </c>
      <c r="AR629" t="s">
        <v>1826</v>
      </c>
      <c r="AS629" t="s">
        <v>1827</v>
      </c>
      <c r="AT629" t="s">
        <v>1008</v>
      </c>
      <c r="AU629">
        <v>2023</v>
      </c>
      <c r="AV629">
        <v>255</v>
      </c>
      <c r="AW629" t="s">
        <v>74</v>
      </c>
      <c r="AX629" t="s">
        <v>74</v>
      </c>
      <c r="AY629" t="s">
        <v>74</v>
      </c>
      <c r="AZ629" t="s">
        <v>74</v>
      </c>
      <c r="BA629" t="s">
        <v>74</v>
      </c>
      <c r="BB629" t="s">
        <v>74</v>
      </c>
      <c r="BC629" t="s">
        <v>74</v>
      </c>
      <c r="BD629">
        <v>108700</v>
      </c>
      <c r="BE629" t="s">
        <v>10357</v>
      </c>
      <c r="BF629" t="str">
        <f>HYPERLINK("http://dx.doi.org/10.1016/j.ijpe.2022.108700","http://dx.doi.org/10.1016/j.ijpe.2022.108700")</f>
        <v>http://dx.doi.org/10.1016/j.ijpe.2022.108700</v>
      </c>
      <c r="BG629" t="s">
        <v>74</v>
      </c>
      <c r="BH629" t="s">
        <v>3031</v>
      </c>
      <c r="BI629">
        <v>13</v>
      </c>
      <c r="BJ629" t="s">
        <v>321</v>
      </c>
      <c r="BK629" t="s">
        <v>149</v>
      </c>
      <c r="BL629" t="s">
        <v>150</v>
      </c>
      <c r="BM629" t="s">
        <v>10358</v>
      </c>
      <c r="BN629" t="s">
        <v>74</v>
      </c>
      <c r="BO629" t="s">
        <v>74</v>
      </c>
      <c r="BP629" t="s">
        <v>74</v>
      </c>
      <c r="BQ629" t="s">
        <v>74</v>
      </c>
      <c r="BR629" t="s">
        <v>104</v>
      </c>
      <c r="BS629" t="s">
        <v>10359</v>
      </c>
      <c r="BT629" t="str">
        <f>HYPERLINK("https%3A%2F%2Fwww.webofscience.com%2Fwos%2Fwoscc%2Ffull-record%2FWOS:000906985900010","View Full Record in Web of Science")</f>
        <v>View Full Record in Web of Science</v>
      </c>
    </row>
    <row r="630" spans="1:72" x14ac:dyDescent="0.25">
      <c r="A630" t="s">
        <v>72</v>
      </c>
      <c r="B630" t="s">
        <v>10360</v>
      </c>
      <c r="C630" t="s">
        <v>74</v>
      </c>
      <c r="D630" t="s">
        <v>74</v>
      </c>
      <c r="E630" t="s">
        <v>74</v>
      </c>
      <c r="F630" t="s">
        <v>10361</v>
      </c>
      <c r="G630" t="s">
        <v>74</v>
      </c>
      <c r="H630" t="s">
        <v>74</v>
      </c>
      <c r="I630" t="s">
        <v>10362</v>
      </c>
      <c r="J630" t="s">
        <v>128</v>
      </c>
      <c r="K630" t="s">
        <v>74</v>
      </c>
      <c r="L630" t="s">
        <v>74</v>
      </c>
      <c r="M630" t="s">
        <v>78</v>
      </c>
      <c r="N630" t="s">
        <v>79</v>
      </c>
      <c r="O630" t="s">
        <v>74</v>
      </c>
      <c r="P630" t="s">
        <v>74</v>
      </c>
      <c r="Q630" t="s">
        <v>74</v>
      </c>
      <c r="R630" t="s">
        <v>74</v>
      </c>
      <c r="S630" t="s">
        <v>74</v>
      </c>
      <c r="T630" t="s">
        <v>10363</v>
      </c>
      <c r="U630" t="s">
        <v>10364</v>
      </c>
      <c r="V630" t="s">
        <v>10365</v>
      </c>
      <c r="W630" t="s">
        <v>10366</v>
      </c>
      <c r="X630" t="s">
        <v>10367</v>
      </c>
      <c r="Y630" t="s">
        <v>10368</v>
      </c>
      <c r="Z630" t="s">
        <v>10369</v>
      </c>
      <c r="AA630" t="s">
        <v>1965</v>
      </c>
      <c r="AB630" t="s">
        <v>74</v>
      </c>
      <c r="AC630" t="s">
        <v>10370</v>
      </c>
      <c r="AD630" t="s">
        <v>482</v>
      </c>
      <c r="AE630" t="s">
        <v>10371</v>
      </c>
      <c r="AF630" t="s">
        <v>74</v>
      </c>
      <c r="AG630">
        <v>57</v>
      </c>
      <c r="AH630">
        <v>12</v>
      </c>
      <c r="AI630">
        <v>12</v>
      </c>
      <c r="AJ630">
        <v>2</v>
      </c>
      <c r="AK630">
        <v>16</v>
      </c>
      <c r="AL630" t="s">
        <v>138</v>
      </c>
      <c r="AM630" t="s">
        <v>246</v>
      </c>
      <c r="AN630" t="s">
        <v>247</v>
      </c>
      <c r="AO630" t="s">
        <v>141</v>
      </c>
      <c r="AP630" t="s">
        <v>142</v>
      </c>
      <c r="AQ630" t="s">
        <v>74</v>
      </c>
      <c r="AR630" t="s">
        <v>143</v>
      </c>
      <c r="AS630" t="s">
        <v>144</v>
      </c>
      <c r="AT630" t="s">
        <v>205</v>
      </c>
      <c r="AU630">
        <v>2021</v>
      </c>
      <c r="AV630">
        <v>213</v>
      </c>
      <c r="AW630" t="s">
        <v>74</v>
      </c>
      <c r="AX630" t="s">
        <v>74</v>
      </c>
      <c r="AY630" t="s">
        <v>74</v>
      </c>
      <c r="AZ630" t="s">
        <v>74</v>
      </c>
      <c r="BA630" t="s">
        <v>74</v>
      </c>
      <c r="BB630" t="s">
        <v>74</v>
      </c>
      <c r="BC630" t="s">
        <v>74</v>
      </c>
      <c r="BD630">
        <v>107786</v>
      </c>
      <c r="BE630" t="s">
        <v>10372</v>
      </c>
      <c r="BF630" t="str">
        <f>HYPERLINK("http://dx.doi.org/10.1016/j.ress.2021.107786","http://dx.doi.org/10.1016/j.ress.2021.107786")</f>
        <v>http://dx.doi.org/10.1016/j.ress.2021.107786</v>
      </c>
      <c r="BG630" t="s">
        <v>74</v>
      </c>
      <c r="BH630" t="s">
        <v>1614</v>
      </c>
      <c r="BI630">
        <v>16</v>
      </c>
      <c r="BJ630" t="s">
        <v>148</v>
      </c>
      <c r="BK630" t="s">
        <v>149</v>
      </c>
      <c r="BL630" t="s">
        <v>150</v>
      </c>
      <c r="BM630" t="s">
        <v>5320</v>
      </c>
      <c r="BN630" t="s">
        <v>74</v>
      </c>
      <c r="BO630" t="s">
        <v>74</v>
      </c>
      <c r="BP630" t="s">
        <v>74</v>
      </c>
      <c r="BQ630" t="s">
        <v>74</v>
      </c>
      <c r="BR630" t="s">
        <v>104</v>
      </c>
      <c r="BS630" t="s">
        <v>10373</v>
      </c>
      <c r="BT630" t="str">
        <f>HYPERLINK("https%3A%2F%2Fwww.webofscience.com%2Fwos%2Fwoscc%2Ffull-record%2FWOS:000663910500058","View Full Record in Web of Science")</f>
        <v>View Full Record in Web of Science</v>
      </c>
    </row>
    <row r="631" spans="1:72" x14ac:dyDescent="0.25">
      <c r="A631" t="s">
        <v>72</v>
      </c>
      <c r="B631" t="s">
        <v>10374</v>
      </c>
      <c r="C631" t="s">
        <v>74</v>
      </c>
      <c r="D631" t="s">
        <v>74</v>
      </c>
      <c r="E631" t="s">
        <v>74</v>
      </c>
      <c r="F631" t="s">
        <v>10375</v>
      </c>
      <c r="G631" t="s">
        <v>74</v>
      </c>
      <c r="H631" t="s">
        <v>74</v>
      </c>
      <c r="I631" t="s">
        <v>10376</v>
      </c>
      <c r="J631" t="s">
        <v>4758</v>
      </c>
      <c r="K631" t="s">
        <v>74</v>
      </c>
      <c r="L631" t="s">
        <v>74</v>
      </c>
      <c r="M631" t="s">
        <v>78</v>
      </c>
      <c r="N631" t="s">
        <v>79</v>
      </c>
      <c r="O631" t="s">
        <v>74</v>
      </c>
      <c r="P631" t="s">
        <v>74</v>
      </c>
      <c r="Q631" t="s">
        <v>74</v>
      </c>
      <c r="R631" t="s">
        <v>74</v>
      </c>
      <c r="S631" t="s">
        <v>74</v>
      </c>
      <c r="T631" t="s">
        <v>10377</v>
      </c>
      <c r="U631" t="s">
        <v>10378</v>
      </c>
      <c r="V631" t="s">
        <v>10379</v>
      </c>
      <c r="W631" t="s">
        <v>10380</v>
      </c>
      <c r="X631" t="s">
        <v>10381</v>
      </c>
      <c r="Y631" t="s">
        <v>1625</v>
      </c>
      <c r="Z631" t="s">
        <v>10382</v>
      </c>
      <c r="AA631" t="s">
        <v>74</v>
      </c>
      <c r="AB631" t="s">
        <v>74</v>
      </c>
      <c r="AC631" t="s">
        <v>5048</v>
      </c>
      <c r="AD631" t="s">
        <v>482</v>
      </c>
      <c r="AE631" t="s">
        <v>10383</v>
      </c>
      <c r="AF631" t="s">
        <v>74</v>
      </c>
      <c r="AG631">
        <v>47</v>
      </c>
      <c r="AH631">
        <v>3</v>
      </c>
      <c r="AI631">
        <v>3</v>
      </c>
      <c r="AJ631">
        <v>4</v>
      </c>
      <c r="AK631">
        <v>7</v>
      </c>
      <c r="AL631" t="s">
        <v>4771</v>
      </c>
      <c r="AM631" t="s">
        <v>4772</v>
      </c>
      <c r="AN631" t="s">
        <v>4773</v>
      </c>
      <c r="AO631" t="s">
        <v>74</v>
      </c>
      <c r="AP631" t="s">
        <v>4774</v>
      </c>
      <c r="AQ631" t="s">
        <v>74</v>
      </c>
      <c r="AR631" t="s">
        <v>4758</v>
      </c>
      <c r="AS631" t="s">
        <v>4775</v>
      </c>
      <c r="AT631" t="s">
        <v>1202</v>
      </c>
      <c r="AU631">
        <v>2024</v>
      </c>
      <c r="AV631">
        <v>16</v>
      </c>
      <c r="AW631">
        <v>5</v>
      </c>
      <c r="AX631" t="s">
        <v>74</v>
      </c>
      <c r="AY631" t="s">
        <v>74</v>
      </c>
      <c r="AZ631" t="s">
        <v>74</v>
      </c>
      <c r="BA631" t="s">
        <v>74</v>
      </c>
      <c r="BB631" t="s">
        <v>74</v>
      </c>
      <c r="BC631" t="s">
        <v>74</v>
      </c>
      <c r="BD631">
        <v>603</v>
      </c>
      <c r="BE631" t="s">
        <v>10384</v>
      </c>
      <c r="BF631" t="str">
        <f>HYPERLINK("http://dx.doi.org/10.3390/sym16050603","http://dx.doi.org/10.3390/sym16050603")</f>
        <v>http://dx.doi.org/10.3390/sym16050603</v>
      </c>
      <c r="BG631" t="s">
        <v>74</v>
      </c>
      <c r="BH631" t="s">
        <v>74</v>
      </c>
      <c r="BI631">
        <v>28</v>
      </c>
      <c r="BJ631" t="s">
        <v>517</v>
      </c>
      <c r="BK631" t="s">
        <v>149</v>
      </c>
      <c r="BL631" t="s">
        <v>518</v>
      </c>
      <c r="BM631" t="s">
        <v>10385</v>
      </c>
      <c r="BN631" t="s">
        <v>74</v>
      </c>
      <c r="BO631" t="s">
        <v>208</v>
      </c>
      <c r="BP631" t="s">
        <v>74</v>
      </c>
      <c r="BQ631" t="s">
        <v>74</v>
      </c>
      <c r="BR631" t="s">
        <v>104</v>
      </c>
      <c r="BS631" t="s">
        <v>10386</v>
      </c>
      <c r="BT631" t="str">
        <f>HYPERLINK("https%3A%2F%2Fwww.webofscience.com%2Fwos%2Fwoscc%2Ffull-record%2FWOS:001231270200001","View Full Record in Web of Science")</f>
        <v>View Full Record in Web of Science</v>
      </c>
    </row>
    <row r="632" spans="1:72" x14ac:dyDescent="0.25">
      <c r="A632" t="s">
        <v>72</v>
      </c>
      <c r="B632" t="s">
        <v>10387</v>
      </c>
      <c r="C632" t="s">
        <v>74</v>
      </c>
      <c r="D632" t="s">
        <v>74</v>
      </c>
      <c r="E632" t="s">
        <v>74</v>
      </c>
      <c r="F632" t="s">
        <v>10388</v>
      </c>
      <c r="G632" t="s">
        <v>74</v>
      </c>
      <c r="H632" t="s">
        <v>74</v>
      </c>
      <c r="I632" t="s">
        <v>10389</v>
      </c>
      <c r="J632" t="s">
        <v>10390</v>
      </c>
      <c r="K632" t="s">
        <v>74</v>
      </c>
      <c r="L632" t="s">
        <v>74</v>
      </c>
      <c r="M632" t="s">
        <v>78</v>
      </c>
      <c r="N632" t="s">
        <v>79</v>
      </c>
      <c r="O632" t="s">
        <v>74</v>
      </c>
      <c r="P632" t="s">
        <v>74</v>
      </c>
      <c r="Q632" t="s">
        <v>74</v>
      </c>
      <c r="R632" t="s">
        <v>74</v>
      </c>
      <c r="S632" t="s">
        <v>74</v>
      </c>
      <c r="T632" t="s">
        <v>74</v>
      </c>
      <c r="U632" t="s">
        <v>10391</v>
      </c>
      <c r="V632" t="s">
        <v>10392</v>
      </c>
      <c r="W632" t="s">
        <v>10393</v>
      </c>
      <c r="X632" t="s">
        <v>10394</v>
      </c>
      <c r="Y632" t="s">
        <v>10395</v>
      </c>
      <c r="Z632" t="s">
        <v>10396</v>
      </c>
      <c r="AA632" t="s">
        <v>10397</v>
      </c>
      <c r="AB632" t="s">
        <v>10398</v>
      </c>
      <c r="AC632" t="s">
        <v>74</v>
      </c>
      <c r="AD632" t="s">
        <v>74</v>
      </c>
      <c r="AE632" t="s">
        <v>74</v>
      </c>
      <c r="AF632" t="s">
        <v>74</v>
      </c>
      <c r="AG632">
        <v>49</v>
      </c>
      <c r="AH632">
        <v>2</v>
      </c>
      <c r="AI632">
        <v>2</v>
      </c>
      <c r="AJ632">
        <v>3</v>
      </c>
      <c r="AK632">
        <v>9</v>
      </c>
      <c r="AL632" t="s">
        <v>1415</v>
      </c>
      <c r="AM632" t="s">
        <v>1416</v>
      </c>
      <c r="AN632" t="s">
        <v>1417</v>
      </c>
      <c r="AO632" t="s">
        <v>10399</v>
      </c>
      <c r="AP632" t="s">
        <v>10400</v>
      </c>
      <c r="AQ632" t="s">
        <v>74</v>
      </c>
      <c r="AR632" t="s">
        <v>10401</v>
      </c>
      <c r="AS632" t="s">
        <v>10402</v>
      </c>
      <c r="AT632" t="s">
        <v>1649</v>
      </c>
      <c r="AU632">
        <v>2022</v>
      </c>
      <c r="AV632">
        <v>67</v>
      </c>
      <c r="AW632">
        <v>1</v>
      </c>
      <c r="AX632" t="s">
        <v>74</v>
      </c>
      <c r="AY632" t="s">
        <v>74</v>
      </c>
      <c r="AZ632" t="s">
        <v>74</v>
      </c>
      <c r="BA632" t="s">
        <v>74</v>
      </c>
      <c r="BB632">
        <v>75</v>
      </c>
      <c r="BC632">
        <v>93</v>
      </c>
      <c r="BD632" t="s">
        <v>74</v>
      </c>
      <c r="BE632" t="s">
        <v>10403</v>
      </c>
      <c r="BF632" t="str">
        <f>HYPERLINK("http://dx.doi.org/10.1080/0013791X.2022.2028048","http://dx.doi.org/10.1080/0013791X.2022.2028048")</f>
        <v>http://dx.doi.org/10.1080/0013791X.2022.2028048</v>
      </c>
      <c r="BG632" t="s">
        <v>74</v>
      </c>
      <c r="BH632" t="s">
        <v>2468</v>
      </c>
      <c r="BI632">
        <v>19</v>
      </c>
      <c r="BJ632" t="s">
        <v>10404</v>
      </c>
      <c r="BK632" t="s">
        <v>322</v>
      </c>
      <c r="BL632" t="s">
        <v>10405</v>
      </c>
      <c r="BM632" t="s">
        <v>10406</v>
      </c>
      <c r="BN632" t="s">
        <v>74</v>
      </c>
      <c r="BO632" t="s">
        <v>74</v>
      </c>
      <c r="BP632" t="s">
        <v>74</v>
      </c>
      <c r="BQ632" t="s">
        <v>74</v>
      </c>
      <c r="BR632" t="s">
        <v>104</v>
      </c>
      <c r="BS632" t="s">
        <v>10407</v>
      </c>
      <c r="BT632" t="str">
        <f>HYPERLINK("https%3A%2F%2Fwww.webofscience.com%2Fwos%2Fwoscc%2Ffull-record%2FWOS:000744720500001","View Full Record in Web of Science")</f>
        <v>View Full Record in Web of Science</v>
      </c>
    </row>
    <row r="633" spans="1:72" x14ac:dyDescent="0.25">
      <c r="A633" t="s">
        <v>72</v>
      </c>
      <c r="B633" t="s">
        <v>10408</v>
      </c>
      <c r="C633" t="s">
        <v>74</v>
      </c>
      <c r="D633" t="s">
        <v>74</v>
      </c>
      <c r="E633" t="s">
        <v>74</v>
      </c>
      <c r="F633" t="s">
        <v>10409</v>
      </c>
      <c r="G633" t="s">
        <v>74</v>
      </c>
      <c r="H633" t="s">
        <v>74</v>
      </c>
      <c r="I633" t="s">
        <v>10410</v>
      </c>
      <c r="J633" t="s">
        <v>542</v>
      </c>
      <c r="K633" t="s">
        <v>74</v>
      </c>
      <c r="L633" t="s">
        <v>74</v>
      </c>
      <c r="M633" t="s">
        <v>78</v>
      </c>
      <c r="N633" t="s">
        <v>79</v>
      </c>
      <c r="O633" t="s">
        <v>74</v>
      </c>
      <c r="P633" t="s">
        <v>74</v>
      </c>
      <c r="Q633" t="s">
        <v>74</v>
      </c>
      <c r="R633" t="s">
        <v>74</v>
      </c>
      <c r="S633" t="s">
        <v>74</v>
      </c>
      <c r="T633" t="s">
        <v>10411</v>
      </c>
      <c r="U633" t="s">
        <v>10412</v>
      </c>
      <c r="V633" t="s">
        <v>10413</v>
      </c>
      <c r="W633" t="s">
        <v>10414</v>
      </c>
      <c r="X633" t="s">
        <v>10415</v>
      </c>
      <c r="Y633" t="s">
        <v>10416</v>
      </c>
      <c r="Z633" t="s">
        <v>10417</v>
      </c>
      <c r="AA633" t="s">
        <v>10418</v>
      </c>
      <c r="AB633" t="s">
        <v>1483</v>
      </c>
      <c r="AC633" t="s">
        <v>10419</v>
      </c>
      <c r="AD633" t="s">
        <v>10420</v>
      </c>
      <c r="AE633" t="s">
        <v>10421</v>
      </c>
      <c r="AF633" t="s">
        <v>74</v>
      </c>
      <c r="AG633">
        <v>38</v>
      </c>
      <c r="AH633">
        <v>10</v>
      </c>
      <c r="AI633">
        <v>11</v>
      </c>
      <c r="AJ633">
        <v>7</v>
      </c>
      <c r="AK633">
        <v>66</v>
      </c>
      <c r="AL633" t="s">
        <v>552</v>
      </c>
      <c r="AM633" t="s">
        <v>553</v>
      </c>
      <c r="AN633" t="s">
        <v>554</v>
      </c>
      <c r="AO633" t="s">
        <v>555</v>
      </c>
      <c r="AP633" t="s">
        <v>556</v>
      </c>
      <c r="AQ633" t="s">
        <v>74</v>
      </c>
      <c r="AR633" t="s">
        <v>557</v>
      </c>
      <c r="AS633" t="s">
        <v>558</v>
      </c>
      <c r="AT633" t="s">
        <v>559</v>
      </c>
      <c r="AU633">
        <v>2022</v>
      </c>
      <c r="AV633">
        <v>236</v>
      </c>
      <c r="AW633">
        <v>3</v>
      </c>
      <c r="AX633" t="s">
        <v>74</v>
      </c>
      <c r="AY633" t="s">
        <v>74</v>
      </c>
      <c r="AZ633" t="s">
        <v>560</v>
      </c>
      <c r="BA633" t="s">
        <v>74</v>
      </c>
      <c r="BB633">
        <v>395</v>
      </c>
      <c r="BC633">
        <v>405</v>
      </c>
      <c r="BD633" t="s">
        <v>10422</v>
      </c>
      <c r="BE633" t="s">
        <v>10423</v>
      </c>
      <c r="BF633" t="str">
        <f>HYPERLINK("http://dx.doi.org/10.1177/1748006X211001709","http://dx.doi.org/10.1177/1748006X211001709")</f>
        <v>http://dx.doi.org/10.1177/1748006X211001709</v>
      </c>
      <c r="BG633" t="s">
        <v>74</v>
      </c>
      <c r="BH633" t="s">
        <v>756</v>
      </c>
      <c r="BI633">
        <v>11</v>
      </c>
      <c r="BJ633" t="s">
        <v>494</v>
      </c>
      <c r="BK633" t="s">
        <v>149</v>
      </c>
      <c r="BL633" t="s">
        <v>150</v>
      </c>
      <c r="BM633" t="s">
        <v>10424</v>
      </c>
      <c r="BN633" t="s">
        <v>74</v>
      </c>
      <c r="BO633" t="s">
        <v>74</v>
      </c>
      <c r="BP633" t="s">
        <v>74</v>
      </c>
      <c r="BQ633" t="s">
        <v>74</v>
      </c>
      <c r="BR633" t="s">
        <v>104</v>
      </c>
      <c r="BS633" t="s">
        <v>10425</v>
      </c>
      <c r="BT633" t="str">
        <f>HYPERLINK("https%3A%2F%2Fwww.webofscience.com%2Fwos%2Fwoscc%2Ffull-record%2FWOS:000637146900001","View Full Record in Web of Science")</f>
        <v>View Full Record in Web of Science</v>
      </c>
    </row>
    <row r="634" spans="1:72" x14ac:dyDescent="0.25">
      <c r="A634" t="s">
        <v>72</v>
      </c>
      <c r="B634" t="s">
        <v>10426</v>
      </c>
      <c r="C634" t="s">
        <v>74</v>
      </c>
      <c r="D634" t="s">
        <v>74</v>
      </c>
      <c r="E634" t="s">
        <v>74</v>
      </c>
      <c r="F634" t="s">
        <v>10427</v>
      </c>
      <c r="G634" t="s">
        <v>74</v>
      </c>
      <c r="H634" t="s">
        <v>74</v>
      </c>
      <c r="I634" t="s">
        <v>10428</v>
      </c>
      <c r="J634" t="s">
        <v>542</v>
      </c>
      <c r="K634" t="s">
        <v>74</v>
      </c>
      <c r="L634" t="s">
        <v>74</v>
      </c>
      <c r="M634" t="s">
        <v>78</v>
      </c>
      <c r="N634" t="s">
        <v>79</v>
      </c>
      <c r="O634" t="s">
        <v>74</v>
      </c>
      <c r="P634" t="s">
        <v>74</v>
      </c>
      <c r="Q634" t="s">
        <v>74</v>
      </c>
      <c r="R634" t="s">
        <v>74</v>
      </c>
      <c r="S634" t="s">
        <v>74</v>
      </c>
      <c r="T634" t="s">
        <v>10429</v>
      </c>
      <c r="U634" t="s">
        <v>10430</v>
      </c>
      <c r="V634" t="s">
        <v>10431</v>
      </c>
      <c r="W634" t="s">
        <v>10432</v>
      </c>
      <c r="X634" t="s">
        <v>10433</v>
      </c>
      <c r="Y634" t="s">
        <v>10434</v>
      </c>
      <c r="Z634" t="s">
        <v>10435</v>
      </c>
      <c r="AA634" t="s">
        <v>10436</v>
      </c>
      <c r="AB634" t="s">
        <v>10437</v>
      </c>
      <c r="AC634" t="s">
        <v>10438</v>
      </c>
      <c r="AD634" t="s">
        <v>10439</v>
      </c>
      <c r="AE634" t="s">
        <v>10440</v>
      </c>
      <c r="AF634" t="s">
        <v>74</v>
      </c>
      <c r="AG634">
        <v>33</v>
      </c>
      <c r="AH634">
        <v>8</v>
      </c>
      <c r="AI634">
        <v>8</v>
      </c>
      <c r="AJ634">
        <v>4</v>
      </c>
      <c r="AK634">
        <v>29</v>
      </c>
      <c r="AL634" t="s">
        <v>552</v>
      </c>
      <c r="AM634" t="s">
        <v>553</v>
      </c>
      <c r="AN634" t="s">
        <v>554</v>
      </c>
      <c r="AO634" t="s">
        <v>555</v>
      </c>
      <c r="AP634" t="s">
        <v>556</v>
      </c>
      <c r="AQ634" t="s">
        <v>74</v>
      </c>
      <c r="AR634" t="s">
        <v>557</v>
      </c>
      <c r="AS634" t="s">
        <v>558</v>
      </c>
      <c r="AT634" t="s">
        <v>1867</v>
      </c>
      <c r="AU634">
        <v>2019</v>
      </c>
      <c r="AV634">
        <v>233</v>
      </c>
      <c r="AW634">
        <v>2</v>
      </c>
      <c r="AX634" t="s">
        <v>74</v>
      </c>
      <c r="AY634" t="s">
        <v>74</v>
      </c>
      <c r="AZ634" t="s">
        <v>74</v>
      </c>
      <c r="BA634" t="s">
        <v>74</v>
      </c>
      <c r="BB634">
        <v>175</v>
      </c>
      <c r="BC634">
        <v>185</v>
      </c>
      <c r="BD634" t="s">
        <v>74</v>
      </c>
      <c r="BE634" t="s">
        <v>10441</v>
      </c>
      <c r="BF634" t="str">
        <f>HYPERLINK("http://dx.doi.org/10.1177/1748006X18766125","http://dx.doi.org/10.1177/1748006X18766125")</f>
        <v>http://dx.doi.org/10.1177/1748006X18766125</v>
      </c>
      <c r="BG634" t="s">
        <v>74</v>
      </c>
      <c r="BH634" t="s">
        <v>74</v>
      </c>
      <c r="BI634">
        <v>11</v>
      </c>
      <c r="BJ634" t="s">
        <v>494</v>
      </c>
      <c r="BK634" t="s">
        <v>149</v>
      </c>
      <c r="BL634" t="s">
        <v>150</v>
      </c>
      <c r="BM634" t="s">
        <v>4726</v>
      </c>
      <c r="BN634" t="s">
        <v>74</v>
      </c>
      <c r="BO634" t="s">
        <v>74</v>
      </c>
      <c r="BP634" t="s">
        <v>74</v>
      </c>
      <c r="BQ634" t="s">
        <v>74</v>
      </c>
      <c r="BR634" t="s">
        <v>104</v>
      </c>
      <c r="BS634" t="s">
        <v>10442</v>
      </c>
      <c r="BT634" t="str">
        <f>HYPERLINK("https%3A%2F%2Fwww.webofscience.com%2Fwos%2Fwoscc%2Ffull-record%2FWOS:000463036500006","View Full Record in Web of Science")</f>
        <v>View Full Record in Web of Science</v>
      </c>
    </row>
    <row r="635" spans="1:72" x14ac:dyDescent="0.25">
      <c r="A635" t="s">
        <v>72</v>
      </c>
      <c r="B635" t="s">
        <v>10443</v>
      </c>
      <c r="C635" t="s">
        <v>74</v>
      </c>
      <c r="D635" t="s">
        <v>74</v>
      </c>
      <c r="E635" t="s">
        <v>74</v>
      </c>
      <c r="F635" t="s">
        <v>10444</v>
      </c>
      <c r="G635" t="s">
        <v>74</v>
      </c>
      <c r="H635" t="s">
        <v>74</v>
      </c>
      <c r="I635" t="s">
        <v>10445</v>
      </c>
      <c r="J635" t="s">
        <v>1932</v>
      </c>
      <c r="K635" t="s">
        <v>74</v>
      </c>
      <c r="L635" t="s">
        <v>74</v>
      </c>
      <c r="M635" t="s">
        <v>78</v>
      </c>
      <c r="N635" t="s">
        <v>1083</v>
      </c>
      <c r="O635" t="s">
        <v>74</v>
      </c>
      <c r="P635" t="s">
        <v>74</v>
      </c>
      <c r="Q635" t="s">
        <v>74</v>
      </c>
      <c r="R635" t="s">
        <v>74</v>
      </c>
      <c r="S635" t="s">
        <v>74</v>
      </c>
      <c r="T635" t="s">
        <v>10446</v>
      </c>
      <c r="U635" t="s">
        <v>10447</v>
      </c>
      <c r="V635" t="s">
        <v>10448</v>
      </c>
      <c r="W635" t="s">
        <v>10449</v>
      </c>
      <c r="X635" t="s">
        <v>10450</v>
      </c>
      <c r="Y635" t="s">
        <v>10451</v>
      </c>
      <c r="Z635" t="s">
        <v>4174</v>
      </c>
      <c r="AA635" t="s">
        <v>10452</v>
      </c>
      <c r="AB635" t="s">
        <v>74</v>
      </c>
      <c r="AC635" t="s">
        <v>10453</v>
      </c>
      <c r="AD635" t="s">
        <v>482</v>
      </c>
      <c r="AE635" t="s">
        <v>10454</v>
      </c>
      <c r="AF635" t="s">
        <v>74</v>
      </c>
      <c r="AG635">
        <v>22</v>
      </c>
      <c r="AH635">
        <v>0</v>
      </c>
      <c r="AI635">
        <v>0</v>
      </c>
      <c r="AJ635">
        <v>10</v>
      </c>
      <c r="AK635">
        <v>10</v>
      </c>
      <c r="AL635" t="s">
        <v>311</v>
      </c>
      <c r="AM635" t="s">
        <v>312</v>
      </c>
      <c r="AN635" t="s">
        <v>313</v>
      </c>
      <c r="AO635" t="s">
        <v>1945</v>
      </c>
      <c r="AP635" t="s">
        <v>1946</v>
      </c>
      <c r="AQ635" t="s">
        <v>74</v>
      </c>
      <c r="AR635" t="s">
        <v>1947</v>
      </c>
      <c r="AS635" t="s">
        <v>1948</v>
      </c>
      <c r="AT635" t="s">
        <v>10455</v>
      </c>
      <c r="AU635">
        <v>2024</v>
      </c>
      <c r="AV635" t="s">
        <v>74</v>
      </c>
      <c r="AW635" t="s">
        <v>74</v>
      </c>
      <c r="AX635" t="s">
        <v>74</v>
      </c>
      <c r="AY635" t="s">
        <v>74</v>
      </c>
      <c r="AZ635" t="s">
        <v>74</v>
      </c>
      <c r="BA635" t="s">
        <v>74</v>
      </c>
      <c r="BB635" t="s">
        <v>74</v>
      </c>
      <c r="BC635" t="s">
        <v>74</v>
      </c>
      <c r="BD635" t="s">
        <v>74</v>
      </c>
      <c r="BE635" t="s">
        <v>10456</v>
      </c>
      <c r="BF635" t="str">
        <f>HYPERLINK("http://dx.doi.org/10.1080/16843703.2024.2422204","http://dx.doi.org/10.1080/16843703.2024.2422204")</f>
        <v>http://dx.doi.org/10.1080/16843703.2024.2422204</v>
      </c>
      <c r="BG635" t="s">
        <v>74</v>
      </c>
      <c r="BH635" t="s">
        <v>1174</v>
      </c>
      <c r="BI635">
        <v>21</v>
      </c>
      <c r="BJ635" t="s">
        <v>1951</v>
      </c>
      <c r="BK635" t="s">
        <v>149</v>
      </c>
      <c r="BL635" t="s">
        <v>1952</v>
      </c>
      <c r="BM635" t="s">
        <v>10457</v>
      </c>
      <c r="BN635" t="s">
        <v>74</v>
      </c>
      <c r="BO635" t="s">
        <v>74</v>
      </c>
      <c r="BP635" t="s">
        <v>74</v>
      </c>
      <c r="BQ635" t="s">
        <v>74</v>
      </c>
      <c r="BR635" t="s">
        <v>104</v>
      </c>
      <c r="BS635" t="s">
        <v>10458</v>
      </c>
      <c r="BT635" t="str">
        <f>HYPERLINK("https%3A%2F%2Fwww.webofscience.com%2Fwos%2Fwoscc%2Ffull-record%2FWOS:001357489700001","View Full Record in Web of Science")</f>
        <v>View Full Record in Web of Science</v>
      </c>
    </row>
    <row r="636" spans="1:72" x14ac:dyDescent="0.25">
      <c r="A636" t="s">
        <v>72</v>
      </c>
      <c r="B636" t="s">
        <v>10459</v>
      </c>
      <c r="C636" t="s">
        <v>74</v>
      </c>
      <c r="D636" t="s">
        <v>74</v>
      </c>
      <c r="E636" t="s">
        <v>74</v>
      </c>
      <c r="F636" t="s">
        <v>10460</v>
      </c>
      <c r="G636" t="s">
        <v>74</v>
      </c>
      <c r="H636" t="s">
        <v>74</v>
      </c>
      <c r="I636" t="s">
        <v>10461</v>
      </c>
      <c r="J636" t="s">
        <v>128</v>
      </c>
      <c r="K636" t="s">
        <v>74</v>
      </c>
      <c r="L636" t="s">
        <v>74</v>
      </c>
      <c r="M636" t="s">
        <v>78</v>
      </c>
      <c r="N636" t="s">
        <v>79</v>
      </c>
      <c r="O636" t="s">
        <v>74</v>
      </c>
      <c r="P636" t="s">
        <v>74</v>
      </c>
      <c r="Q636" t="s">
        <v>74</v>
      </c>
      <c r="R636" t="s">
        <v>74</v>
      </c>
      <c r="S636" t="s">
        <v>74</v>
      </c>
      <c r="T636" t="s">
        <v>10462</v>
      </c>
      <c r="U636" t="s">
        <v>10463</v>
      </c>
      <c r="V636" t="s">
        <v>10464</v>
      </c>
      <c r="W636" t="s">
        <v>10465</v>
      </c>
      <c r="X636" t="s">
        <v>10466</v>
      </c>
      <c r="Y636" t="s">
        <v>10467</v>
      </c>
      <c r="Z636" t="s">
        <v>10468</v>
      </c>
      <c r="AA636" t="s">
        <v>74</v>
      </c>
      <c r="AB636" t="s">
        <v>74</v>
      </c>
      <c r="AC636" t="s">
        <v>10469</v>
      </c>
      <c r="AD636" t="s">
        <v>10470</v>
      </c>
      <c r="AE636" t="s">
        <v>10471</v>
      </c>
      <c r="AF636" t="s">
        <v>74</v>
      </c>
      <c r="AG636">
        <v>55</v>
      </c>
      <c r="AH636">
        <v>18</v>
      </c>
      <c r="AI636">
        <v>18</v>
      </c>
      <c r="AJ636">
        <v>3</v>
      </c>
      <c r="AK636">
        <v>53</v>
      </c>
      <c r="AL636" t="s">
        <v>138</v>
      </c>
      <c r="AM636" t="s">
        <v>246</v>
      </c>
      <c r="AN636" t="s">
        <v>247</v>
      </c>
      <c r="AO636" t="s">
        <v>141</v>
      </c>
      <c r="AP636" t="s">
        <v>142</v>
      </c>
      <c r="AQ636" t="s">
        <v>74</v>
      </c>
      <c r="AR636" t="s">
        <v>143</v>
      </c>
      <c r="AS636" t="s">
        <v>144</v>
      </c>
      <c r="AT636" t="s">
        <v>1867</v>
      </c>
      <c r="AU636">
        <v>2022</v>
      </c>
      <c r="AV636">
        <v>220</v>
      </c>
      <c r="AW636" t="s">
        <v>74</v>
      </c>
      <c r="AX636" t="s">
        <v>74</v>
      </c>
      <c r="AY636" t="s">
        <v>74</v>
      </c>
      <c r="AZ636" t="s">
        <v>74</v>
      </c>
      <c r="BA636" t="s">
        <v>74</v>
      </c>
      <c r="BB636" t="s">
        <v>74</v>
      </c>
      <c r="BC636" t="s">
        <v>74</v>
      </c>
      <c r="BD636">
        <v>108276</v>
      </c>
      <c r="BE636" t="s">
        <v>10472</v>
      </c>
      <c r="BF636" t="str">
        <f>HYPERLINK("http://dx.doi.org/10.1016/j.ress.2021.108276","http://dx.doi.org/10.1016/j.ress.2021.108276")</f>
        <v>http://dx.doi.org/10.1016/j.ress.2021.108276</v>
      </c>
      <c r="BG636" t="s">
        <v>74</v>
      </c>
      <c r="BH636" t="s">
        <v>74</v>
      </c>
      <c r="BI636">
        <v>15</v>
      </c>
      <c r="BJ636" t="s">
        <v>148</v>
      </c>
      <c r="BK636" t="s">
        <v>149</v>
      </c>
      <c r="BL636" t="s">
        <v>150</v>
      </c>
      <c r="BM636" t="s">
        <v>2652</v>
      </c>
      <c r="BN636" t="s">
        <v>74</v>
      </c>
      <c r="BO636" t="s">
        <v>74</v>
      </c>
      <c r="BP636" t="s">
        <v>74</v>
      </c>
      <c r="BQ636" t="s">
        <v>74</v>
      </c>
      <c r="BR636" t="s">
        <v>104</v>
      </c>
      <c r="BS636" t="s">
        <v>10473</v>
      </c>
      <c r="BT636" t="str">
        <f>HYPERLINK("https%3A%2F%2Fwww.webofscience.com%2Fwos%2Fwoscc%2Ffull-record%2FWOS:000760343700013","View Full Record in Web of Science")</f>
        <v>View Full Record in Web of Science</v>
      </c>
    </row>
    <row r="637" spans="1:72" x14ac:dyDescent="0.25">
      <c r="A637" t="s">
        <v>72</v>
      </c>
      <c r="B637" t="s">
        <v>10474</v>
      </c>
      <c r="C637" t="s">
        <v>74</v>
      </c>
      <c r="D637" t="s">
        <v>74</v>
      </c>
      <c r="E637" t="s">
        <v>74</v>
      </c>
      <c r="F637" t="s">
        <v>10475</v>
      </c>
      <c r="G637" t="s">
        <v>74</v>
      </c>
      <c r="H637" t="s">
        <v>74</v>
      </c>
      <c r="I637" t="s">
        <v>10476</v>
      </c>
      <c r="J637" t="s">
        <v>6961</v>
      </c>
      <c r="K637" t="s">
        <v>74</v>
      </c>
      <c r="L637" t="s">
        <v>74</v>
      </c>
      <c r="M637" t="s">
        <v>78</v>
      </c>
      <c r="N637" t="s">
        <v>79</v>
      </c>
      <c r="O637" t="s">
        <v>74</v>
      </c>
      <c r="P637" t="s">
        <v>74</v>
      </c>
      <c r="Q637" t="s">
        <v>74</v>
      </c>
      <c r="R637" t="s">
        <v>74</v>
      </c>
      <c r="S637" t="s">
        <v>74</v>
      </c>
      <c r="T637" t="s">
        <v>10477</v>
      </c>
      <c r="U637" t="s">
        <v>74</v>
      </c>
      <c r="V637" t="s">
        <v>10478</v>
      </c>
      <c r="W637" t="s">
        <v>10479</v>
      </c>
      <c r="X637" t="s">
        <v>10480</v>
      </c>
      <c r="Y637" t="s">
        <v>10481</v>
      </c>
      <c r="Z637" t="s">
        <v>10482</v>
      </c>
      <c r="AA637" t="s">
        <v>74</v>
      </c>
      <c r="AB637" t="s">
        <v>74</v>
      </c>
      <c r="AC637" t="s">
        <v>10483</v>
      </c>
      <c r="AD637" t="s">
        <v>10483</v>
      </c>
      <c r="AE637" t="s">
        <v>5049</v>
      </c>
      <c r="AF637" t="s">
        <v>74</v>
      </c>
      <c r="AG637">
        <v>28</v>
      </c>
      <c r="AH637">
        <v>3</v>
      </c>
      <c r="AI637">
        <v>3</v>
      </c>
      <c r="AJ637">
        <v>30</v>
      </c>
      <c r="AK637">
        <v>40</v>
      </c>
      <c r="AL637" t="s">
        <v>6968</v>
      </c>
      <c r="AM637" t="s">
        <v>6799</v>
      </c>
      <c r="AN637" t="s">
        <v>6969</v>
      </c>
      <c r="AO637" t="s">
        <v>6970</v>
      </c>
      <c r="AP637" t="s">
        <v>74</v>
      </c>
      <c r="AQ637" t="s">
        <v>74</v>
      </c>
      <c r="AR637" t="s">
        <v>6971</v>
      </c>
      <c r="AS637" t="s">
        <v>6972</v>
      </c>
      <c r="AT637" t="s">
        <v>8604</v>
      </c>
      <c r="AU637">
        <v>2024</v>
      </c>
      <c r="AV637">
        <v>14</v>
      </c>
      <c r="AW637">
        <v>1</v>
      </c>
      <c r="AX637" t="s">
        <v>74</v>
      </c>
      <c r="AY637" t="s">
        <v>74</v>
      </c>
      <c r="AZ637" t="s">
        <v>74</v>
      </c>
      <c r="BA637" t="s">
        <v>74</v>
      </c>
      <c r="BB637" t="s">
        <v>74</v>
      </c>
      <c r="BC637" t="s">
        <v>74</v>
      </c>
      <c r="BD637">
        <v>12079</v>
      </c>
      <c r="BE637" t="s">
        <v>10484</v>
      </c>
      <c r="BF637" t="str">
        <f>HYPERLINK("http://dx.doi.org/10.1038/s41598-024-61579-1","http://dx.doi.org/10.1038/s41598-024-61579-1")</f>
        <v>http://dx.doi.org/10.1038/s41598-024-61579-1</v>
      </c>
      <c r="BG637" t="s">
        <v>74</v>
      </c>
      <c r="BH637" t="s">
        <v>74</v>
      </c>
      <c r="BI637">
        <v>21</v>
      </c>
      <c r="BJ637" t="s">
        <v>517</v>
      </c>
      <c r="BK637" t="s">
        <v>149</v>
      </c>
      <c r="BL637" t="s">
        <v>518</v>
      </c>
      <c r="BM637" t="s">
        <v>8606</v>
      </c>
      <c r="BN637">
        <v>38802538</v>
      </c>
      <c r="BO637" t="s">
        <v>278</v>
      </c>
      <c r="BP637" t="s">
        <v>74</v>
      </c>
      <c r="BQ637" t="s">
        <v>74</v>
      </c>
      <c r="BR637" t="s">
        <v>104</v>
      </c>
      <c r="BS637" t="s">
        <v>10485</v>
      </c>
      <c r="BT637" t="str">
        <f>HYPERLINK("https%3A%2F%2Fwww.webofscience.com%2Fwos%2Fwoscc%2Ffull-record%2FWOS:001233645300102","View Full Record in Web of Science")</f>
        <v>View Full Record in Web of Science</v>
      </c>
    </row>
    <row r="638" spans="1:72" x14ac:dyDescent="0.25">
      <c r="A638" t="s">
        <v>72</v>
      </c>
      <c r="B638" t="s">
        <v>10486</v>
      </c>
      <c r="C638" t="s">
        <v>74</v>
      </c>
      <c r="D638" t="s">
        <v>74</v>
      </c>
      <c r="E638" t="s">
        <v>74</v>
      </c>
      <c r="F638" t="s">
        <v>10487</v>
      </c>
      <c r="G638" t="s">
        <v>74</v>
      </c>
      <c r="H638" t="s">
        <v>74</v>
      </c>
      <c r="I638" t="s">
        <v>10488</v>
      </c>
      <c r="J638" t="s">
        <v>10489</v>
      </c>
      <c r="K638" t="s">
        <v>74</v>
      </c>
      <c r="L638" t="s">
        <v>74</v>
      </c>
      <c r="M638" t="s">
        <v>78</v>
      </c>
      <c r="N638" t="s">
        <v>79</v>
      </c>
      <c r="O638" t="s">
        <v>74</v>
      </c>
      <c r="P638" t="s">
        <v>74</v>
      </c>
      <c r="Q638" t="s">
        <v>74</v>
      </c>
      <c r="R638" t="s">
        <v>74</v>
      </c>
      <c r="S638" t="s">
        <v>74</v>
      </c>
      <c r="T638" t="s">
        <v>10490</v>
      </c>
      <c r="U638" t="s">
        <v>10491</v>
      </c>
      <c r="V638" t="s">
        <v>10492</v>
      </c>
      <c r="W638" t="s">
        <v>10493</v>
      </c>
      <c r="X638" t="s">
        <v>10494</v>
      </c>
      <c r="Y638" t="s">
        <v>10495</v>
      </c>
      <c r="Z638" t="s">
        <v>10496</v>
      </c>
      <c r="AA638" t="s">
        <v>10497</v>
      </c>
      <c r="AB638" t="s">
        <v>74</v>
      </c>
      <c r="AC638" t="s">
        <v>10498</v>
      </c>
      <c r="AD638" t="s">
        <v>10499</v>
      </c>
      <c r="AE638" t="s">
        <v>10500</v>
      </c>
      <c r="AF638" t="s">
        <v>74</v>
      </c>
      <c r="AG638">
        <v>48</v>
      </c>
      <c r="AH638">
        <v>8</v>
      </c>
      <c r="AI638">
        <v>9</v>
      </c>
      <c r="AJ638">
        <v>6</v>
      </c>
      <c r="AK638">
        <v>28</v>
      </c>
      <c r="AL638" t="s">
        <v>10501</v>
      </c>
      <c r="AM638" t="s">
        <v>2881</v>
      </c>
      <c r="AN638" t="s">
        <v>10502</v>
      </c>
      <c r="AO638" t="s">
        <v>10503</v>
      </c>
      <c r="AP638" t="s">
        <v>10504</v>
      </c>
      <c r="AQ638" t="s">
        <v>74</v>
      </c>
      <c r="AR638" t="s">
        <v>10505</v>
      </c>
      <c r="AS638" t="s">
        <v>10506</v>
      </c>
      <c r="AT638" t="s">
        <v>205</v>
      </c>
      <c r="AU638">
        <v>2023</v>
      </c>
      <c r="AV638">
        <v>3</v>
      </c>
      <c r="AW638">
        <v>5</v>
      </c>
      <c r="AX638" t="s">
        <v>74</v>
      </c>
      <c r="AY638" t="s">
        <v>74</v>
      </c>
      <c r="AZ638" t="s">
        <v>74</v>
      </c>
      <c r="BA638" t="s">
        <v>74</v>
      </c>
      <c r="BB638">
        <v>796</v>
      </c>
      <c r="BC638">
        <v>803</v>
      </c>
      <c r="BD638" t="s">
        <v>74</v>
      </c>
      <c r="BE638" t="s">
        <v>10507</v>
      </c>
      <c r="BF638" t="str">
        <f>HYPERLINK("http://dx.doi.org/10.1016/j.fmre.2022.02.013","http://dx.doi.org/10.1016/j.fmre.2022.02.013")</f>
        <v>http://dx.doi.org/10.1016/j.fmre.2022.02.013</v>
      </c>
      <c r="BG638" t="s">
        <v>74</v>
      </c>
      <c r="BH638" t="s">
        <v>74</v>
      </c>
      <c r="BI638">
        <v>8</v>
      </c>
      <c r="BJ638" t="s">
        <v>517</v>
      </c>
      <c r="BK638" t="s">
        <v>101</v>
      </c>
      <c r="BL638" t="s">
        <v>518</v>
      </c>
      <c r="BM638" t="s">
        <v>10508</v>
      </c>
      <c r="BN638">
        <v>38933293</v>
      </c>
      <c r="BO638" t="s">
        <v>520</v>
      </c>
      <c r="BP638" t="s">
        <v>74</v>
      </c>
      <c r="BQ638" t="s">
        <v>74</v>
      </c>
      <c r="BR638" t="s">
        <v>104</v>
      </c>
      <c r="BS638" t="s">
        <v>10509</v>
      </c>
      <c r="BT638" t="str">
        <f>HYPERLINK("https%3A%2F%2Fwww.webofscience.com%2Fwos%2Fwoscc%2Ffull-record%2FWOS:001089638700001","View Full Record in Web of Science")</f>
        <v>View Full Record in Web of Science</v>
      </c>
    </row>
    <row r="639" spans="1:72" x14ac:dyDescent="0.25">
      <c r="A639" t="s">
        <v>72</v>
      </c>
      <c r="B639" t="s">
        <v>10510</v>
      </c>
      <c r="C639" t="s">
        <v>74</v>
      </c>
      <c r="D639" t="s">
        <v>74</v>
      </c>
      <c r="E639" t="s">
        <v>74</v>
      </c>
      <c r="F639" t="s">
        <v>10511</v>
      </c>
      <c r="G639" t="s">
        <v>74</v>
      </c>
      <c r="H639" t="s">
        <v>74</v>
      </c>
      <c r="I639" t="s">
        <v>10512</v>
      </c>
      <c r="J639" t="s">
        <v>3900</v>
      </c>
      <c r="K639" t="s">
        <v>74</v>
      </c>
      <c r="L639" t="s">
        <v>74</v>
      </c>
      <c r="M639" t="s">
        <v>78</v>
      </c>
      <c r="N639" t="s">
        <v>79</v>
      </c>
      <c r="O639" t="s">
        <v>74</v>
      </c>
      <c r="P639" t="s">
        <v>74</v>
      </c>
      <c r="Q639" t="s">
        <v>74</v>
      </c>
      <c r="R639" t="s">
        <v>74</v>
      </c>
      <c r="S639" t="s">
        <v>74</v>
      </c>
      <c r="T639" t="s">
        <v>10513</v>
      </c>
      <c r="U639" t="s">
        <v>10514</v>
      </c>
      <c r="V639" t="s">
        <v>10515</v>
      </c>
      <c r="W639" t="s">
        <v>10516</v>
      </c>
      <c r="X639" t="s">
        <v>10517</v>
      </c>
      <c r="Y639" t="s">
        <v>10518</v>
      </c>
      <c r="Z639" t="s">
        <v>10519</v>
      </c>
      <c r="AA639" t="s">
        <v>10520</v>
      </c>
      <c r="AB639" t="s">
        <v>10521</v>
      </c>
      <c r="AC639" t="s">
        <v>10522</v>
      </c>
      <c r="AD639" t="s">
        <v>10523</v>
      </c>
      <c r="AE639" t="s">
        <v>10524</v>
      </c>
      <c r="AF639" t="s">
        <v>74</v>
      </c>
      <c r="AG639">
        <v>61</v>
      </c>
      <c r="AH639">
        <v>21</v>
      </c>
      <c r="AI639">
        <v>22</v>
      </c>
      <c r="AJ639">
        <v>0</v>
      </c>
      <c r="AK639">
        <v>14</v>
      </c>
      <c r="AL639" t="s">
        <v>138</v>
      </c>
      <c r="AM639" t="s">
        <v>246</v>
      </c>
      <c r="AN639" t="s">
        <v>247</v>
      </c>
      <c r="AO639" t="s">
        <v>3912</v>
      </c>
      <c r="AP639" t="s">
        <v>3913</v>
      </c>
      <c r="AQ639" t="s">
        <v>74</v>
      </c>
      <c r="AR639" t="s">
        <v>3914</v>
      </c>
      <c r="AS639" t="s">
        <v>3915</v>
      </c>
      <c r="AT639" t="s">
        <v>1008</v>
      </c>
      <c r="AU639">
        <v>2019</v>
      </c>
      <c r="AV639">
        <v>39</v>
      </c>
      <c r="AW639" t="s">
        <v>74</v>
      </c>
      <c r="AX639" t="s">
        <v>74</v>
      </c>
      <c r="AY639" t="s">
        <v>74</v>
      </c>
      <c r="AZ639" t="s">
        <v>74</v>
      </c>
      <c r="BA639" t="s">
        <v>74</v>
      </c>
      <c r="BB639">
        <v>186</v>
      </c>
      <c r="BC639">
        <v>202</v>
      </c>
      <c r="BD639" t="s">
        <v>74</v>
      </c>
      <c r="BE639" t="s">
        <v>10525</v>
      </c>
      <c r="BF639" t="str">
        <f>HYPERLINK("http://dx.doi.org/10.1016/j.aei.2019.01.004","http://dx.doi.org/10.1016/j.aei.2019.01.004")</f>
        <v>http://dx.doi.org/10.1016/j.aei.2019.01.004</v>
      </c>
      <c r="BG639" t="s">
        <v>74</v>
      </c>
      <c r="BH639" t="s">
        <v>74</v>
      </c>
      <c r="BI639">
        <v>17</v>
      </c>
      <c r="BJ639" t="s">
        <v>3918</v>
      </c>
      <c r="BK639" t="s">
        <v>149</v>
      </c>
      <c r="BL639" t="s">
        <v>716</v>
      </c>
      <c r="BM639" t="s">
        <v>10526</v>
      </c>
      <c r="BN639" t="s">
        <v>74</v>
      </c>
      <c r="BO639" t="s">
        <v>758</v>
      </c>
      <c r="BP639" t="s">
        <v>74</v>
      </c>
      <c r="BQ639" t="s">
        <v>74</v>
      </c>
      <c r="BR639" t="s">
        <v>104</v>
      </c>
      <c r="BS639" t="s">
        <v>10527</v>
      </c>
      <c r="BT639" t="str">
        <f>HYPERLINK("https%3A%2F%2Fwww.webofscience.com%2Fwos%2Fwoscc%2Ffull-record%2FWOS:000461408100015","View Full Record in Web of Science")</f>
        <v>View Full Record in Web of Science</v>
      </c>
    </row>
    <row r="640" spans="1:72" x14ac:dyDescent="0.25">
      <c r="A640" t="s">
        <v>72</v>
      </c>
      <c r="B640" t="s">
        <v>10528</v>
      </c>
      <c r="C640" t="s">
        <v>74</v>
      </c>
      <c r="D640" t="s">
        <v>74</v>
      </c>
      <c r="E640" t="s">
        <v>74</v>
      </c>
      <c r="F640" t="s">
        <v>10529</v>
      </c>
      <c r="G640" t="s">
        <v>74</v>
      </c>
      <c r="H640" t="s">
        <v>74</v>
      </c>
      <c r="I640" t="s">
        <v>10530</v>
      </c>
      <c r="J640" t="s">
        <v>299</v>
      </c>
      <c r="K640" t="s">
        <v>74</v>
      </c>
      <c r="L640" t="s">
        <v>74</v>
      </c>
      <c r="M640" t="s">
        <v>78</v>
      </c>
      <c r="N640" t="s">
        <v>79</v>
      </c>
      <c r="O640" t="s">
        <v>74</v>
      </c>
      <c r="P640" t="s">
        <v>74</v>
      </c>
      <c r="Q640" t="s">
        <v>74</v>
      </c>
      <c r="R640" t="s">
        <v>74</v>
      </c>
      <c r="S640" t="s">
        <v>74</v>
      </c>
      <c r="T640" t="s">
        <v>10531</v>
      </c>
      <c r="U640" t="s">
        <v>10532</v>
      </c>
      <c r="V640" t="s">
        <v>10533</v>
      </c>
      <c r="W640" t="s">
        <v>10534</v>
      </c>
      <c r="X640" t="s">
        <v>10535</v>
      </c>
      <c r="Y640" t="s">
        <v>10536</v>
      </c>
      <c r="Z640" t="s">
        <v>10537</v>
      </c>
      <c r="AA640" t="s">
        <v>74</v>
      </c>
      <c r="AB640" t="s">
        <v>74</v>
      </c>
      <c r="AC640" t="s">
        <v>74</v>
      </c>
      <c r="AD640" t="s">
        <v>74</v>
      </c>
      <c r="AE640" t="s">
        <v>74</v>
      </c>
      <c r="AF640" t="s">
        <v>74</v>
      </c>
      <c r="AG640">
        <v>31</v>
      </c>
      <c r="AH640">
        <v>27</v>
      </c>
      <c r="AI640">
        <v>27</v>
      </c>
      <c r="AJ640">
        <v>4</v>
      </c>
      <c r="AK640">
        <v>57</v>
      </c>
      <c r="AL640" t="s">
        <v>311</v>
      </c>
      <c r="AM640" t="s">
        <v>312</v>
      </c>
      <c r="AN640" t="s">
        <v>313</v>
      </c>
      <c r="AO640" t="s">
        <v>314</v>
      </c>
      <c r="AP640" t="s">
        <v>315</v>
      </c>
      <c r="AQ640" t="s">
        <v>74</v>
      </c>
      <c r="AR640" t="s">
        <v>316</v>
      </c>
      <c r="AS640" t="s">
        <v>317</v>
      </c>
      <c r="AT640" t="s">
        <v>10538</v>
      </c>
      <c r="AU640">
        <v>2020</v>
      </c>
      <c r="AV640">
        <v>58</v>
      </c>
      <c r="AW640">
        <v>20</v>
      </c>
      <c r="AX640" t="s">
        <v>74</v>
      </c>
      <c r="AY640" t="s">
        <v>74</v>
      </c>
      <c r="AZ640" t="s">
        <v>74</v>
      </c>
      <c r="BA640" t="s">
        <v>74</v>
      </c>
      <c r="BB640">
        <v>6283</v>
      </c>
      <c r="BC640">
        <v>6299</v>
      </c>
      <c r="BD640" t="s">
        <v>74</v>
      </c>
      <c r="BE640" t="s">
        <v>10539</v>
      </c>
      <c r="BF640" t="str">
        <f>HYPERLINK("http://dx.doi.org/10.1080/00207543.2019.1677959","http://dx.doi.org/10.1080/00207543.2019.1677959")</f>
        <v>http://dx.doi.org/10.1080/00207543.2019.1677959</v>
      </c>
      <c r="BG640" t="s">
        <v>74</v>
      </c>
      <c r="BH640" t="s">
        <v>5223</v>
      </c>
      <c r="BI640">
        <v>17</v>
      </c>
      <c r="BJ640" t="s">
        <v>321</v>
      </c>
      <c r="BK640" t="s">
        <v>149</v>
      </c>
      <c r="BL640" t="s">
        <v>150</v>
      </c>
      <c r="BM640" t="s">
        <v>10540</v>
      </c>
      <c r="BN640" t="s">
        <v>74</v>
      </c>
      <c r="BO640" t="s">
        <v>74</v>
      </c>
      <c r="BP640" t="s">
        <v>74</v>
      </c>
      <c r="BQ640" t="s">
        <v>74</v>
      </c>
      <c r="BR640" t="s">
        <v>104</v>
      </c>
      <c r="BS640" t="s">
        <v>10541</v>
      </c>
      <c r="BT640" t="str">
        <f>HYPERLINK("https%3A%2F%2Fwww.webofscience.com%2Fwos%2Fwoscc%2Ffull-record%2FWOS:000491041500001","View Full Record in Web of Science")</f>
        <v>View Full Record in Web of Science</v>
      </c>
    </row>
    <row r="641" spans="1:72" x14ac:dyDescent="0.25">
      <c r="A641" t="s">
        <v>72</v>
      </c>
      <c r="B641" t="s">
        <v>10542</v>
      </c>
      <c r="C641" t="s">
        <v>74</v>
      </c>
      <c r="D641" t="s">
        <v>74</v>
      </c>
      <c r="E641" t="s">
        <v>74</v>
      </c>
      <c r="F641" t="s">
        <v>10543</v>
      </c>
      <c r="G641" t="s">
        <v>74</v>
      </c>
      <c r="H641" t="s">
        <v>74</v>
      </c>
      <c r="I641" t="s">
        <v>10544</v>
      </c>
      <c r="J641" t="s">
        <v>128</v>
      </c>
      <c r="K641" t="s">
        <v>74</v>
      </c>
      <c r="L641" t="s">
        <v>74</v>
      </c>
      <c r="M641" t="s">
        <v>78</v>
      </c>
      <c r="N641" t="s">
        <v>79</v>
      </c>
      <c r="O641" t="s">
        <v>74</v>
      </c>
      <c r="P641" t="s">
        <v>74</v>
      </c>
      <c r="Q641" t="s">
        <v>74</v>
      </c>
      <c r="R641" t="s">
        <v>74</v>
      </c>
      <c r="S641" t="s">
        <v>74</v>
      </c>
      <c r="T641" t="s">
        <v>10545</v>
      </c>
      <c r="U641" t="s">
        <v>10546</v>
      </c>
      <c r="V641" t="s">
        <v>10547</v>
      </c>
      <c r="W641" t="s">
        <v>10548</v>
      </c>
      <c r="X641" t="s">
        <v>10549</v>
      </c>
      <c r="Y641" t="s">
        <v>10550</v>
      </c>
      <c r="Z641" t="s">
        <v>10551</v>
      </c>
      <c r="AA641" t="s">
        <v>10552</v>
      </c>
      <c r="AB641" t="s">
        <v>10553</v>
      </c>
      <c r="AC641" t="s">
        <v>10554</v>
      </c>
      <c r="AD641" t="s">
        <v>10555</v>
      </c>
      <c r="AE641" t="s">
        <v>10556</v>
      </c>
      <c r="AF641" t="s">
        <v>74</v>
      </c>
      <c r="AG641">
        <v>38</v>
      </c>
      <c r="AH641">
        <v>0</v>
      </c>
      <c r="AI641">
        <v>0</v>
      </c>
      <c r="AJ641">
        <v>7</v>
      </c>
      <c r="AK641">
        <v>7</v>
      </c>
      <c r="AL641" t="s">
        <v>138</v>
      </c>
      <c r="AM641" t="s">
        <v>139</v>
      </c>
      <c r="AN641" t="s">
        <v>140</v>
      </c>
      <c r="AO641" t="s">
        <v>141</v>
      </c>
      <c r="AP641" t="s">
        <v>142</v>
      </c>
      <c r="AQ641" t="s">
        <v>74</v>
      </c>
      <c r="AR641" t="s">
        <v>143</v>
      </c>
      <c r="AS641" t="s">
        <v>144</v>
      </c>
      <c r="AT641" t="s">
        <v>205</v>
      </c>
      <c r="AU641">
        <v>2024</v>
      </c>
      <c r="AV641">
        <v>249</v>
      </c>
      <c r="AW641" t="s">
        <v>74</v>
      </c>
      <c r="AX641" t="s">
        <v>74</v>
      </c>
      <c r="AY641" t="s">
        <v>74</v>
      </c>
      <c r="AZ641" t="s">
        <v>74</v>
      </c>
      <c r="BA641" t="s">
        <v>74</v>
      </c>
      <c r="BB641" t="s">
        <v>74</v>
      </c>
      <c r="BC641" t="s">
        <v>74</v>
      </c>
      <c r="BD641">
        <v>110229</v>
      </c>
      <c r="BE641" t="s">
        <v>10557</v>
      </c>
      <c r="BF641" t="str">
        <f>HYPERLINK("http://dx.doi.org/10.1016/j.ress.2024.110229","http://dx.doi.org/10.1016/j.ress.2024.110229")</f>
        <v>http://dx.doi.org/10.1016/j.ress.2024.110229</v>
      </c>
      <c r="BG641" t="s">
        <v>74</v>
      </c>
      <c r="BH641" t="s">
        <v>361</v>
      </c>
      <c r="BI641">
        <v>15</v>
      </c>
      <c r="BJ641" t="s">
        <v>148</v>
      </c>
      <c r="BK641" t="s">
        <v>149</v>
      </c>
      <c r="BL641" t="s">
        <v>150</v>
      </c>
      <c r="BM641" t="s">
        <v>10558</v>
      </c>
      <c r="BN641" t="s">
        <v>74</v>
      </c>
      <c r="BO641" t="s">
        <v>123</v>
      </c>
      <c r="BP641" t="s">
        <v>74</v>
      </c>
      <c r="BQ641" t="s">
        <v>74</v>
      </c>
      <c r="BR641" t="s">
        <v>104</v>
      </c>
      <c r="BS641" t="s">
        <v>10559</v>
      </c>
      <c r="BT641" t="str">
        <f>HYPERLINK("https%3A%2F%2Fwww.webofscience.com%2Fwos%2Fwoscc%2Ffull-record%2FWOS:001249887800001","View Full Record in Web of Science")</f>
        <v>View Full Record in Web of Science</v>
      </c>
    </row>
    <row r="642" spans="1:72" x14ac:dyDescent="0.25">
      <c r="A642" t="s">
        <v>72</v>
      </c>
      <c r="B642" t="s">
        <v>10560</v>
      </c>
      <c r="C642" t="s">
        <v>74</v>
      </c>
      <c r="D642" t="s">
        <v>74</v>
      </c>
      <c r="E642" t="s">
        <v>74</v>
      </c>
      <c r="F642" t="s">
        <v>10561</v>
      </c>
      <c r="G642" t="s">
        <v>74</v>
      </c>
      <c r="H642" t="s">
        <v>74</v>
      </c>
      <c r="I642" t="s">
        <v>10562</v>
      </c>
      <c r="J642" t="s">
        <v>8434</v>
      </c>
      <c r="K642" t="s">
        <v>74</v>
      </c>
      <c r="L642" t="s">
        <v>74</v>
      </c>
      <c r="M642" t="s">
        <v>78</v>
      </c>
      <c r="N642" t="s">
        <v>79</v>
      </c>
      <c r="O642" t="s">
        <v>74</v>
      </c>
      <c r="P642" t="s">
        <v>74</v>
      </c>
      <c r="Q642" t="s">
        <v>74</v>
      </c>
      <c r="R642" t="s">
        <v>74</v>
      </c>
      <c r="S642" t="s">
        <v>74</v>
      </c>
      <c r="T642" t="s">
        <v>10563</v>
      </c>
      <c r="U642" t="s">
        <v>10564</v>
      </c>
      <c r="V642" t="s">
        <v>10565</v>
      </c>
      <c r="W642" t="s">
        <v>10566</v>
      </c>
      <c r="X642" t="s">
        <v>10567</v>
      </c>
      <c r="Y642" t="s">
        <v>10568</v>
      </c>
      <c r="Z642" t="s">
        <v>10569</v>
      </c>
      <c r="AA642" t="s">
        <v>10570</v>
      </c>
      <c r="AB642" t="s">
        <v>10571</v>
      </c>
      <c r="AC642" t="s">
        <v>10572</v>
      </c>
      <c r="AD642" t="s">
        <v>10573</v>
      </c>
      <c r="AE642" t="s">
        <v>10574</v>
      </c>
      <c r="AF642" t="s">
        <v>74</v>
      </c>
      <c r="AG642">
        <v>57</v>
      </c>
      <c r="AH642">
        <v>9</v>
      </c>
      <c r="AI642">
        <v>9</v>
      </c>
      <c r="AJ642">
        <v>0</v>
      </c>
      <c r="AK642">
        <v>1</v>
      </c>
      <c r="AL642" t="s">
        <v>8444</v>
      </c>
      <c r="AM642" t="s">
        <v>6513</v>
      </c>
      <c r="AN642" t="s">
        <v>8445</v>
      </c>
      <c r="AO642" t="s">
        <v>74</v>
      </c>
      <c r="AP642" t="s">
        <v>8446</v>
      </c>
      <c r="AQ642" t="s">
        <v>74</v>
      </c>
      <c r="AR642" t="s">
        <v>8447</v>
      </c>
      <c r="AS642" t="s">
        <v>8448</v>
      </c>
      <c r="AT642" t="s">
        <v>74</v>
      </c>
      <c r="AU642">
        <v>2021</v>
      </c>
      <c r="AV642">
        <v>2</v>
      </c>
      <c r="AW642" t="s">
        <v>74</v>
      </c>
      <c r="AX642" t="s">
        <v>74</v>
      </c>
      <c r="AY642" t="s">
        <v>74</v>
      </c>
      <c r="AZ642" t="s">
        <v>74</v>
      </c>
      <c r="BA642" t="s">
        <v>74</v>
      </c>
      <c r="BB642" t="s">
        <v>74</v>
      </c>
      <c r="BC642" t="s">
        <v>74</v>
      </c>
      <c r="BD642" t="s">
        <v>10575</v>
      </c>
      <c r="BE642" t="s">
        <v>10576</v>
      </c>
      <c r="BF642" t="str">
        <f>HYPERLINK("http://dx.doi.org/10.1017/dce.2021.14","http://dx.doi.org/10.1017/dce.2021.14")</f>
        <v>http://dx.doi.org/10.1017/dce.2021.14</v>
      </c>
      <c r="BG642" t="s">
        <v>74</v>
      </c>
      <c r="BH642" t="s">
        <v>74</v>
      </c>
      <c r="BI642">
        <v>14</v>
      </c>
      <c r="BJ642" t="s">
        <v>8451</v>
      </c>
      <c r="BK642" t="s">
        <v>101</v>
      </c>
      <c r="BL642" t="s">
        <v>716</v>
      </c>
      <c r="BM642" t="s">
        <v>10577</v>
      </c>
      <c r="BN642" t="s">
        <v>74</v>
      </c>
      <c r="BO642" t="s">
        <v>520</v>
      </c>
      <c r="BP642" t="s">
        <v>74</v>
      </c>
      <c r="BQ642" t="s">
        <v>74</v>
      </c>
      <c r="BR642" t="s">
        <v>104</v>
      </c>
      <c r="BS642" t="s">
        <v>10578</v>
      </c>
      <c r="BT642" t="str">
        <f>HYPERLINK("https%3A%2F%2Fwww.webofscience.com%2Fwos%2Fwoscc%2Ffull-record%2FWOS:000851325000012","View Full Record in Web of Science")</f>
        <v>View Full Record in Web of Science</v>
      </c>
    </row>
    <row r="643" spans="1:72" x14ac:dyDescent="0.25">
      <c r="A643" t="s">
        <v>72</v>
      </c>
      <c r="B643" t="s">
        <v>10579</v>
      </c>
      <c r="C643" t="s">
        <v>74</v>
      </c>
      <c r="D643" t="s">
        <v>74</v>
      </c>
      <c r="E643" t="s">
        <v>74</v>
      </c>
      <c r="F643" t="s">
        <v>10580</v>
      </c>
      <c r="G643" t="s">
        <v>74</v>
      </c>
      <c r="H643" t="s">
        <v>74</v>
      </c>
      <c r="I643" t="s">
        <v>10581</v>
      </c>
      <c r="J643" t="s">
        <v>128</v>
      </c>
      <c r="K643" t="s">
        <v>74</v>
      </c>
      <c r="L643" t="s">
        <v>74</v>
      </c>
      <c r="M643" t="s">
        <v>78</v>
      </c>
      <c r="N643" t="s">
        <v>79</v>
      </c>
      <c r="O643" t="s">
        <v>74</v>
      </c>
      <c r="P643" t="s">
        <v>74</v>
      </c>
      <c r="Q643" t="s">
        <v>74</v>
      </c>
      <c r="R643" t="s">
        <v>74</v>
      </c>
      <c r="S643" t="s">
        <v>74</v>
      </c>
      <c r="T643" t="s">
        <v>10582</v>
      </c>
      <c r="U643" t="s">
        <v>10583</v>
      </c>
      <c r="V643" t="s">
        <v>10584</v>
      </c>
      <c r="W643" t="s">
        <v>10585</v>
      </c>
      <c r="X643" t="s">
        <v>10586</v>
      </c>
      <c r="Y643" t="s">
        <v>10587</v>
      </c>
      <c r="Z643" t="s">
        <v>10588</v>
      </c>
      <c r="AA643" t="s">
        <v>10589</v>
      </c>
      <c r="AB643" t="s">
        <v>10590</v>
      </c>
      <c r="AC643" t="s">
        <v>10591</v>
      </c>
      <c r="AD643" t="s">
        <v>10592</v>
      </c>
      <c r="AE643" t="s">
        <v>10593</v>
      </c>
      <c r="AF643" t="s">
        <v>74</v>
      </c>
      <c r="AG643">
        <v>54</v>
      </c>
      <c r="AH643">
        <v>61</v>
      </c>
      <c r="AI643">
        <v>64</v>
      </c>
      <c r="AJ643">
        <v>12</v>
      </c>
      <c r="AK643">
        <v>71</v>
      </c>
      <c r="AL643" t="s">
        <v>138</v>
      </c>
      <c r="AM643" t="s">
        <v>246</v>
      </c>
      <c r="AN643" t="s">
        <v>247</v>
      </c>
      <c r="AO643" t="s">
        <v>141</v>
      </c>
      <c r="AP643" t="s">
        <v>142</v>
      </c>
      <c r="AQ643" t="s">
        <v>74</v>
      </c>
      <c r="AR643" t="s">
        <v>143</v>
      </c>
      <c r="AS643" t="s">
        <v>144</v>
      </c>
      <c r="AT643" t="s">
        <v>205</v>
      </c>
      <c r="AU643">
        <v>2022</v>
      </c>
      <c r="AV643">
        <v>225</v>
      </c>
      <c r="AW643" t="s">
        <v>74</v>
      </c>
      <c r="AX643" t="s">
        <v>74</v>
      </c>
      <c r="AY643" t="s">
        <v>74</v>
      </c>
      <c r="AZ643" t="s">
        <v>74</v>
      </c>
      <c r="BA643" t="s">
        <v>74</v>
      </c>
      <c r="BB643" t="s">
        <v>74</v>
      </c>
      <c r="BC643" t="s">
        <v>74</v>
      </c>
      <c r="BD643">
        <v>108523</v>
      </c>
      <c r="BE643" t="s">
        <v>10594</v>
      </c>
      <c r="BF643" t="str">
        <f>HYPERLINK("http://dx.doi.org/10.1016/j.ress.2022.108523","http://dx.doi.org/10.1016/j.ress.2022.108523")</f>
        <v>http://dx.doi.org/10.1016/j.ress.2022.108523</v>
      </c>
      <c r="BG643" t="s">
        <v>74</v>
      </c>
      <c r="BH643" t="s">
        <v>581</v>
      </c>
      <c r="BI643">
        <v>13</v>
      </c>
      <c r="BJ643" t="s">
        <v>148</v>
      </c>
      <c r="BK643" t="s">
        <v>149</v>
      </c>
      <c r="BL643" t="s">
        <v>150</v>
      </c>
      <c r="BM643" t="s">
        <v>10595</v>
      </c>
      <c r="BN643" t="s">
        <v>74</v>
      </c>
      <c r="BO643" t="s">
        <v>123</v>
      </c>
      <c r="BP643" t="s">
        <v>74</v>
      </c>
      <c r="BQ643" t="s">
        <v>74</v>
      </c>
      <c r="BR643" t="s">
        <v>104</v>
      </c>
      <c r="BS643" t="s">
        <v>10596</v>
      </c>
      <c r="BT643" t="str">
        <f>HYPERLINK("https%3A%2F%2Fwww.webofscience.com%2Fwos%2Fwoscc%2Ffull-record%2FWOS:000829344700001","View Full Record in Web of Science")</f>
        <v>View Full Record in Web of Science</v>
      </c>
    </row>
    <row r="644" spans="1:72" x14ac:dyDescent="0.25">
      <c r="A644" t="s">
        <v>72</v>
      </c>
      <c r="B644" t="s">
        <v>10597</v>
      </c>
      <c r="C644" t="s">
        <v>74</v>
      </c>
      <c r="D644" t="s">
        <v>74</v>
      </c>
      <c r="E644" t="s">
        <v>74</v>
      </c>
      <c r="F644" t="s">
        <v>10598</v>
      </c>
      <c r="G644" t="s">
        <v>74</v>
      </c>
      <c r="H644" t="s">
        <v>74</v>
      </c>
      <c r="I644" t="s">
        <v>10599</v>
      </c>
      <c r="J644" t="s">
        <v>1894</v>
      </c>
      <c r="K644" t="s">
        <v>74</v>
      </c>
      <c r="L644" t="s">
        <v>74</v>
      </c>
      <c r="M644" t="s">
        <v>78</v>
      </c>
      <c r="N644" t="s">
        <v>79</v>
      </c>
      <c r="O644" t="s">
        <v>74</v>
      </c>
      <c r="P644" t="s">
        <v>74</v>
      </c>
      <c r="Q644" t="s">
        <v>74</v>
      </c>
      <c r="R644" t="s">
        <v>74</v>
      </c>
      <c r="S644" t="s">
        <v>74</v>
      </c>
      <c r="T644" t="s">
        <v>10600</v>
      </c>
      <c r="U644" t="s">
        <v>10601</v>
      </c>
      <c r="V644" t="s">
        <v>10602</v>
      </c>
      <c r="W644" t="s">
        <v>10603</v>
      </c>
      <c r="X644" t="s">
        <v>10604</v>
      </c>
      <c r="Y644" t="s">
        <v>981</v>
      </c>
      <c r="Z644" t="s">
        <v>982</v>
      </c>
      <c r="AA644" t="s">
        <v>10605</v>
      </c>
      <c r="AB644" t="s">
        <v>10606</v>
      </c>
      <c r="AC644" t="s">
        <v>10607</v>
      </c>
      <c r="AD644" t="s">
        <v>482</v>
      </c>
      <c r="AE644" t="s">
        <v>10608</v>
      </c>
      <c r="AF644" t="s">
        <v>74</v>
      </c>
      <c r="AG644">
        <v>49</v>
      </c>
      <c r="AH644">
        <v>9</v>
      </c>
      <c r="AI644">
        <v>9</v>
      </c>
      <c r="AJ644">
        <v>15</v>
      </c>
      <c r="AK644">
        <v>71</v>
      </c>
      <c r="AL644" t="s">
        <v>138</v>
      </c>
      <c r="AM644" t="s">
        <v>139</v>
      </c>
      <c r="AN644" t="s">
        <v>140</v>
      </c>
      <c r="AO644" t="s">
        <v>1903</v>
      </c>
      <c r="AP644" t="s">
        <v>1904</v>
      </c>
      <c r="AQ644" t="s">
        <v>74</v>
      </c>
      <c r="AR644" t="s">
        <v>1905</v>
      </c>
      <c r="AS644" t="s">
        <v>1906</v>
      </c>
      <c r="AT644" t="s">
        <v>1076</v>
      </c>
      <c r="AU644">
        <v>2022</v>
      </c>
      <c r="AV644">
        <v>65</v>
      </c>
      <c r="AW644" t="s">
        <v>74</v>
      </c>
      <c r="AX644" t="s">
        <v>74</v>
      </c>
      <c r="AY644" t="s">
        <v>74</v>
      </c>
      <c r="AZ644" t="s">
        <v>74</v>
      </c>
      <c r="BA644" t="s">
        <v>74</v>
      </c>
      <c r="BB644">
        <v>233</v>
      </c>
      <c r="BC644">
        <v>243</v>
      </c>
      <c r="BD644" t="s">
        <v>74</v>
      </c>
      <c r="BE644" t="s">
        <v>10609</v>
      </c>
      <c r="BF644" t="str">
        <f>HYPERLINK("http://dx.doi.org/10.1016/j.jmsy.2022.09.008","http://dx.doi.org/10.1016/j.jmsy.2022.09.008")</f>
        <v>http://dx.doi.org/10.1016/j.jmsy.2022.09.008</v>
      </c>
      <c r="BG644" t="s">
        <v>74</v>
      </c>
      <c r="BH644" t="s">
        <v>865</v>
      </c>
      <c r="BI644">
        <v>11</v>
      </c>
      <c r="BJ644" t="s">
        <v>321</v>
      </c>
      <c r="BK644" t="s">
        <v>149</v>
      </c>
      <c r="BL644" t="s">
        <v>150</v>
      </c>
      <c r="BM644" t="s">
        <v>10610</v>
      </c>
      <c r="BN644" t="s">
        <v>74</v>
      </c>
      <c r="BO644" t="s">
        <v>74</v>
      </c>
      <c r="BP644" t="s">
        <v>74</v>
      </c>
      <c r="BQ644" t="s">
        <v>74</v>
      </c>
      <c r="BR644" t="s">
        <v>104</v>
      </c>
      <c r="BS644" t="s">
        <v>10611</v>
      </c>
      <c r="BT644" t="str">
        <f>HYPERLINK("https%3A%2F%2Fwww.webofscience.com%2Fwos%2Fwoscc%2Ffull-record%2FWOS:000911575300011","View Full Record in Web of Science")</f>
        <v>View Full Record in Web of Science</v>
      </c>
    </row>
    <row r="645" spans="1:72" x14ac:dyDescent="0.25">
      <c r="A645" t="s">
        <v>72</v>
      </c>
      <c r="B645" t="s">
        <v>10612</v>
      </c>
      <c r="C645" t="s">
        <v>74</v>
      </c>
      <c r="D645" t="s">
        <v>74</v>
      </c>
      <c r="E645" t="s">
        <v>74</v>
      </c>
      <c r="F645" t="s">
        <v>10613</v>
      </c>
      <c r="G645" t="s">
        <v>74</v>
      </c>
      <c r="H645" t="s">
        <v>74</v>
      </c>
      <c r="I645" t="s">
        <v>10614</v>
      </c>
      <c r="J645" t="s">
        <v>697</v>
      </c>
      <c r="K645" t="s">
        <v>74</v>
      </c>
      <c r="L645" t="s">
        <v>74</v>
      </c>
      <c r="M645" t="s">
        <v>78</v>
      </c>
      <c r="N645" t="s">
        <v>79</v>
      </c>
      <c r="O645" t="s">
        <v>74</v>
      </c>
      <c r="P645" t="s">
        <v>74</v>
      </c>
      <c r="Q645" t="s">
        <v>74</v>
      </c>
      <c r="R645" t="s">
        <v>74</v>
      </c>
      <c r="S645" t="s">
        <v>74</v>
      </c>
      <c r="T645" t="s">
        <v>10615</v>
      </c>
      <c r="U645" t="s">
        <v>10616</v>
      </c>
      <c r="V645" t="s">
        <v>10617</v>
      </c>
      <c r="W645" t="s">
        <v>10618</v>
      </c>
      <c r="X645" t="s">
        <v>10619</v>
      </c>
      <c r="Y645" t="s">
        <v>10620</v>
      </c>
      <c r="Z645" t="s">
        <v>10621</v>
      </c>
      <c r="AA645" t="s">
        <v>74</v>
      </c>
      <c r="AB645" t="s">
        <v>74</v>
      </c>
      <c r="AC645" t="s">
        <v>10622</v>
      </c>
      <c r="AD645" t="s">
        <v>10623</v>
      </c>
      <c r="AE645" t="s">
        <v>10624</v>
      </c>
      <c r="AF645" t="s">
        <v>74</v>
      </c>
      <c r="AG645">
        <v>45</v>
      </c>
      <c r="AH645">
        <v>41</v>
      </c>
      <c r="AI645">
        <v>43</v>
      </c>
      <c r="AJ645">
        <v>26</v>
      </c>
      <c r="AK645">
        <v>182</v>
      </c>
      <c r="AL645" t="s">
        <v>707</v>
      </c>
      <c r="AM645" t="s">
        <v>246</v>
      </c>
      <c r="AN645" t="s">
        <v>708</v>
      </c>
      <c r="AO645" t="s">
        <v>709</v>
      </c>
      <c r="AP645" t="s">
        <v>710</v>
      </c>
      <c r="AQ645" t="s">
        <v>74</v>
      </c>
      <c r="AR645" t="s">
        <v>711</v>
      </c>
      <c r="AS645" t="s">
        <v>712</v>
      </c>
      <c r="AT645" t="s">
        <v>1076</v>
      </c>
      <c r="AU645">
        <v>2021</v>
      </c>
      <c r="AV645">
        <v>160</v>
      </c>
      <c r="AW645" t="s">
        <v>74</v>
      </c>
      <c r="AX645" t="s">
        <v>74</v>
      </c>
      <c r="AY645" t="s">
        <v>74</v>
      </c>
      <c r="AZ645" t="s">
        <v>74</v>
      </c>
      <c r="BA645" t="s">
        <v>74</v>
      </c>
      <c r="BB645" t="s">
        <v>74</v>
      </c>
      <c r="BC645" t="s">
        <v>74</v>
      </c>
      <c r="BD645">
        <v>107533</v>
      </c>
      <c r="BE645" t="s">
        <v>10625</v>
      </c>
      <c r="BF645" t="str">
        <f>HYPERLINK("http://dx.doi.org/10.1016/j.cie.2021.107533","http://dx.doi.org/10.1016/j.cie.2021.107533")</f>
        <v>http://dx.doi.org/10.1016/j.cie.2021.107533</v>
      </c>
      <c r="BG645" t="s">
        <v>74</v>
      </c>
      <c r="BH645" t="s">
        <v>1059</v>
      </c>
      <c r="BI645">
        <v>12</v>
      </c>
      <c r="BJ645" t="s">
        <v>715</v>
      </c>
      <c r="BK645" t="s">
        <v>149</v>
      </c>
      <c r="BL645" t="s">
        <v>716</v>
      </c>
      <c r="BM645" t="s">
        <v>10626</v>
      </c>
      <c r="BN645" t="s">
        <v>74</v>
      </c>
      <c r="BO645" t="s">
        <v>74</v>
      </c>
      <c r="BP645" t="s">
        <v>74</v>
      </c>
      <c r="BQ645" t="s">
        <v>74</v>
      </c>
      <c r="BR645" t="s">
        <v>104</v>
      </c>
      <c r="BS645" t="s">
        <v>10627</v>
      </c>
      <c r="BT645" t="str">
        <f>HYPERLINK("https%3A%2F%2Fwww.webofscience.com%2Fwos%2Fwoscc%2Ffull-record%2FWOS:000745779600007","View Full Record in Web of Science")</f>
        <v>View Full Record in Web of Science</v>
      </c>
    </row>
    <row r="646" spans="1:72" x14ac:dyDescent="0.25">
      <c r="A646" t="s">
        <v>72</v>
      </c>
      <c r="B646" t="s">
        <v>10628</v>
      </c>
      <c r="C646" t="s">
        <v>74</v>
      </c>
      <c r="D646" t="s">
        <v>74</v>
      </c>
      <c r="E646" t="s">
        <v>74</v>
      </c>
      <c r="F646" t="s">
        <v>10629</v>
      </c>
      <c r="G646" t="s">
        <v>74</v>
      </c>
      <c r="H646" t="s">
        <v>74</v>
      </c>
      <c r="I646" t="s">
        <v>10630</v>
      </c>
      <c r="J646" t="s">
        <v>128</v>
      </c>
      <c r="K646" t="s">
        <v>74</v>
      </c>
      <c r="L646" t="s">
        <v>74</v>
      </c>
      <c r="M646" t="s">
        <v>78</v>
      </c>
      <c r="N646" t="s">
        <v>79</v>
      </c>
      <c r="O646" t="s">
        <v>74</v>
      </c>
      <c r="P646" t="s">
        <v>74</v>
      </c>
      <c r="Q646" t="s">
        <v>74</v>
      </c>
      <c r="R646" t="s">
        <v>74</v>
      </c>
      <c r="S646" t="s">
        <v>74</v>
      </c>
      <c r="T646" t="s">
        <v>10631</v>
      </c>
      <c r="U646" t="s">
        <v>10632</v>
      </c>
      <c r="V646" t="s">
        <v>10633</v>
      </c>
      <c r="W646" t="s">
        <v>10634</v>
      </c>
      <c r="X646" t="s">
        <v>10635</v>
      </c>
      <c r="Y646" t="s">
        <v>10636</v>
      </c>
      <c r="Z646" t="s">
        <v>10637</v>
      </c>
      <c r="AA646" t="s">
        <v>10638</v>
      </c>
      <c r="AB646" t="s">
        <v>74</v>
      </c>
      <c r="AC646" t="s">
        <v>10639</v>
      </c>
      <c r="AD646" t="s">
        <v>10640</v>
      </c>
      <c r="AE646" t="s">
        <v>10641</v>
      </c>
      <c r="AF646" t="s">
        <v>74</v>
      </c>
      <c r="AG646">
        <v>53</v>
      </c>
      <c r="AH646">
        <v>2</v>
      </c>
      <c r="AI646">
        <v>2</v>
      </c>
      <c r="AJ646">
        <v>6</v>
      </c>
      <c r="AK646">
        <v>6</v>
      </c>
      <c r="AL646" t="s">
        <v>138</v>
      </c>
      <c r="AM646" t="s">
        <v>139</v>
      </c>
      <c r="AN646" t="s">
        <v>140</v>
      </c>
      <c r="AO646" t="s">
        <v>141</v>
      </c>
      <c r="AP646" t="s">
        <v>142</v>
      </c>
      <c r="AQ646" t="s">
        <v>74</v>
      </c>
      <c r="AR646" t="s">
        <v>143</v>
      </c>
      <c r="AS646" t="s">
        <v>144</v>
      </c>
      <c r="AT646" t="s">
        <v>1867</v>
      </c>
      <c r="AU646">
        <v>2025</v>
      </c>
      <c r="AV646">
        <v>256</v>
      </c>
      <c r="AW646" t="s">
        <v>74</v>
      </c>
      <c r="AX646" t="s">
        <v>74</v>
      </c>
      <c r="AY646" t="s">
        <v>74</v>
      </c>
      <c r="AZ646" t="s">
        <v>74</v>
      </c>
      <c r="BA646" t="s">
        <v>74</v>
      </c>
      <c r="BB646" t="s">
        <v>74</v>
      </c>
      <c r="BC646" t="s">
        <v>74</v>
      </c>
      <c r="BD646">
        <v>110776</v>
      </c>
      <c r="BE646" t="s">
        <v>10642</v>
      </c>
      <c r="BF646" t="str">
        <f>HYPERLINK("http://dx.doi.org/10.1016/j.ress.2024.110776","http://dx.doi.org/10.1016/j.ress.2024.110776")</f>
        <v>http://dx.doi.org/10.1016/j.ress.2024.110776</v>
      </c>
      <c r="BG646" t="s">
        <v>74</v>
      </c>
      <c r="BH646" t="s">
        <v>1869</v>
      </c>
      <c r="BI646">
        <v>19</v>
      </c>
      <c r="BJ646" t="s">
        <v>148</v>
      </c>
      <c r="BK646" t="s">
        <v>149</v>
      </c>
      <c r="BL646" t="s">
        <v>150</v>
      </c>
      <c r="BM646" t="s">
        <v>10643</v>
      </c>
      <c r="BN646" t="s">
        <v>74</v>
      </c>
      <c r="BO646" t="s">
        <v>74</v>
      </c>
      <c r="BP646" t="s">
        <v>74</v>
      </c>
      <c r="BQ646" t="s">
        <v>74</v>
      </c>
      <c r="BR646" t="s">
        <v>104</v>
      </c>
      <c r="BS646" t="s">
        <v>10644</v>
      </c>
      <c r="BT646" t="str">
        <f>HYPERLINK("https%3A%2F%2Fwww.webofscience.com%2Fwos%2Fwoscc%2Ffull-record%2FWOS:001402965000001","View Full Record in Web of Science")</f>
        <v>View Full Record in Web of Science</v>
      </c>
    </row>
    <row r="647" spans="1:72" x14ac:dyDescent="0.25">
      <c r="A647" t="s">
        <v>72</v>
      </c>
      <c r="B647" t="s">
        <v>10645</v>
      </c>
      <c r="C647" t="s">
        <v>74</v>
      </c>
      <c r="D647" t="s">
        <v>74</v>
      </c>
      <c r="E647" t="s">
        <v>74</v>
      </c>
      <c r="F647" t="s">
        <v>10646</v>
      </c>
      <c r="G647" t="s">
        <v>74</v>
      </c>
      <c r="H647" t="s">
        <v>74</v>
      </c>
      <c r="I647" t="s">
        <v>10647</v>
      </c>
      <c r="J647" t="s">
        <v>1932</v>
      </c>
      <c r="K647" t="s">
        <v>74</v>
      </c>
      <c r="L647" t="s">
        <v>74</v>
      </c>
      <c r="M647" t="s">
        <v>78</v>
      </c>
      <c r="N647" t="s">
        <v>79</v>
      </c>
      <c r="O647" t="s">
        <v>74</v>
      </c>
      <c r="P647" t="s">
        <v>74</v>
      </c>
      <c r="Q647" t="s">
        <v>74</v>
      </c>
      <c r="R647" t="s">
        <v>74</v>
      </c>
      <c r="S647" t="s">
        <v>74</v>
      </c>
      <c r="T647" t="s">
        <v>10648</v>
      </c>
      <c r="U647" t="s">
        <v>10649</v>
      </c>
      <c r="V647" t="s">
        <v>10650</v>
      </c>
      <c r="W647" t="s">
        <v>10651</v>
      </c>
      <c r="X647" t="s">
        <v>10604</v>
      </c>
      <c r="Y647" t="s">
        <v>4550</v>
      </c>
      <c r="Z647" t="s">
        <v>4551</v>
      </c>
      <c r="AA647" t="s">
        <v>10652</v>
      </c>
      <c r="AB647" t="s">
        <v>10653</v>
      </c>
      <c r="AC647" t="s">
        <v>10654</v>
      </c>
      <c r="AD647" t="s">
        <v>10655</v>
      </c>
      <c r="AE647" t="s">
        <v>10656</v>
      </c>
      <c r="AF647" t="s">
        <v>74</v>
      </c>
      <c r="AG647">
        <v>34</v>
      </c>
      <c r="AH647">
        <v>2</v>
      </c>
      <c r="AI647">
        <v>2</v>
      </c>
      <c r="AJ647">
        <v>16</v>
      </c>
      <c r="AK647">
        <v>26</v>
      </c>
      <c r="AL647" t="s">
        <v>311</v>
      </c>
      <c r="AM647" t="s">
        <v>312</v>
      </c>
      <c r="AN647" t="s">
        <v>313</v>
      </c>
      <c r="AO647" t="s">
        <v>1945</v>
      </c>
      <c r="AP647" t="s">
        <v>1946</v>
      </c>
      <c r="AQ647" t="s">
        <v>74</v>
      </c>
      <c r="AR647" t="s">
        <v>1947</v>
      </c>
      <c r="AS647" t="s">
        <v>1948</v>
      </c>
      <c r="AT647" t="s">
        <v>3013</v>
      </c>
      <c r="AU647">
        <v>2025</v>
      </c>
      <c r="AV647">
        <v>22</v>
      </c>
      <c r="AW647">
        <v>2</v>
      </c>
      <c r="AX647" t="s">
        <v>74</v>
      </c>
      <c r="AY647" t="s">
        <v>74</v>
      </c>
      <c r="AZ647" t="s">
        <v>74</v>
      </c>
      <c r="BA647" t="s">
        <v>74</v>
      </c>
      <c r="BB647">
        <v>360</v>
      </c>
      <c r="BC647">
        <v>383</v>
      </c>
      <c r="BD647" t="s">
        <v>74</v>
      </c>
      <c r="BE647" t="s">
        <v>10657</v>
      </c>
      <c r="BF647" t="str">
        <f>HYPERLINK("http://dx.doi.org/10.1080/16843703.2024.2327949","http://dx.doi.org/10.1080/16843703.2024.2327949")</f>
        <v>http://dx.doi.org/10.1080/16843703.2024.2327949</v>
      </c>
      <c r="BG647" t="s">
        <v>74</v>
      </c>
      <c r="BH647" t="s">
        <v>2003</v>
      </c>
      <c r="BI647">
        <v>24</v>
      </c>
      <c r="BJ647" t="s">
        <v>1951</v>
      </c>
      <c r="BK647" t="s">
        <v>149</v>
      </c>
      <c r="BL647" t="s">
        <v>1952</v>
      </c>
      <c r="BM647" t="s">
        <v>10658</v>
      </c>
      <c r="BN647" t="s">
        <v>74</v>
      </c>
      <c r="BO647" t="s">
        <v>74</v>
      </c>
      <c r="BP647" t="s">
        <v>74</v>
      </c>
      <c r="BQ647" t="s">
        <v>74</v>
      </c>
      <c r="BR647" t="s">
        <v>104</v>
      </c>
      <c r="BS647" t="s">
        <v>10659</v>
      </c>
      <c r="BT647" t="str">
        <f>HYPERLINK("https%3A%2F%2Fwww.webofscience.com%2Fwos%2Fwoscc%2Ffull-record%2FWOS:001184028100001","View Full Record in Web of Science")</f>
        <v>View Full Record in Web of Science</v>
      </c>
    </row>
    <row r="648" spans="1:72" x14ac:dyDescent="0.25">
      <c r="A648" t="s">
        <v>72</v>
      </c>
      <c r="B648" t="s">
        <v>10660</v>
      </c>
      <c r="C648" t="s">
        <v>74</v>
      </c>
      <c r="D648" t="s">
        <v>74</v>
      </c>
      <c r="E648" t="s">
        <v>74</v>
      </c>
      <c r="F648" t="s">
        <v>10661</v>
      </c>
      <c r="G648" t="s">
        <v>74</v>
      </c>
      <c r="H648" t="s">
        <v>74</v>
      </c>
      <c r="I648" t="s">
        <v>10662</v>
      </c>
      <c r="J648" t="s">
        <v>128</v>
      </c>
      <c r="K648" t="s">
        <v>74</v>
      </c>
      <c r="L648" t="s">
        <v>74</v>
      </c>
      <c r="M648" t="s">
        <v>78</v>
      </c>
      <c r="N648" t="s">
        <v>79</v>
      </c>
      <c r="O648" t="s">
        <v>74</v>
      </c>
      <c r="P648" t="s">
        <v>74</v>
      </c>
      <c r="Q648" t="s">
        <v>74</v>
      </c>
      <c r="R648" t="s">
        <v>74</v>
      </c>
      <c r="S648" t="s">
        <v>74</v>
      </c>
      <c r="T648" t="s">
        <v>10663</v>
      </c>
      <c r="U648" t="s">
        <v>10664</v>
      </c>
      <c r="V648" t="s">
        <v>10665</v>
      </c>
      <c r="W648" t="s">
        <v>10666</v>
      </c>
      <c r="X648" t="s">
        <v>10667</v>
      </c>
      <c r="Y648" t="s">
        <v>10668</v>
      </c>
      <c r="Z648" t="s">
        <v>10669</v>
      </c>
      <c r="AA648" t="s">
        <v>10670</v>
      </c>
      <c r="AB648" t="s">
        <v>74</v>
      </c>
      <c r="AC648" t="s">
        <v>10671</v>
      </c>
      <c r="AD648" t="s">
        <v>10672</v>
      </c>
      <c r="AE648" t="s">
        <v>10673</v>
      </c>
      <c r="AF648" t="s">
        <v>74</v>
      </c>
      <c r="AG648">
        <v>37</v>
      </c>
      <c r="AH648">
        <v>10</v>
      </c>
      <c r="AI648">
        <v>10</v>
      </c>
      <c r="AJ648">
        <v>25</v>
      </c>
      <c r="AK648">
        <v>93</v>
      </c>
      <c r="AL648" t="s">
        <v>138</v>
      </c>
      <c r="AM648" t="s">
        <v>139</v>
      </c>
      <c r="AN648" t="s">
        <v>140</v>
      </c>
      <c r="AO648" t="s">
        <v>141</v>
      </c>
      <c r="AP648" t="s">
        <v>142</v>
      </c>
      <c r="AQ648" t="s">
        <v>74</v>
      </c>
      <c r="AR648" t="s">
        <v>143</v>
      </c>
      <c r="AS648" t="s">
        <v>144</v>
      </c>
      <c r="AT648" t="s">
        <v>248</v>
      </c>
      <c r="AU648">
        <v>2023</v>
      </c>
      <c r="AV648">
        <v>235</v>
      </c>
      <c r="AW648" t="s">
        <v>74</v>
      </c>
      <c r="AX648" t="s">
        <v>74</v>
      </c>
      <c r="AY648" t="s">
        <v>74</v>
      </c>
      <c r="AZ648" t="s">
        <v>74</v>
      </c>
      <c r="BA648" t="s">
        <v>74</v>
      </c>
      <c r="BB648" t="s">
        <v>74</v>
      </c>
      <c r="BC648" t="s">
        <v>74</v>
      </c>
      <c r="BD648">
        <v>109249</v>
      </c>
      <c r="BE648" t="s">
        <v>10674</v>
      </c>
      <c r="BF648" t="str">
        <f>HYPERLINK("http://dx.doi.org/10.1016/j.ress.2023.109249","http://dx.doi.org/10.1016/j.ress.2023.109249")</f>
        <v>http://dx.doi.org/10.1016/j.ress.2023.109249</v>
      </c>
      <c r="BG648" t="s">
        <v>74</v>
      </c>
      <c r="BH648" t="s">
        <v>1685</v>
      </c>
      <c r="BI648">
        <v>13</v>
      </c>
      <c r="BJ648" t="s">
        <v>148</v>
      </c>
      <c r="BK648" t="s">
        <v>149</v>
      </c>
      <c r="BL648" t="s">
        <v>150</v>
      </c>
      <c r="BM648" t="s">
        <v>10675</v>
      </c>
      <c r="BN648" t="s">
        <v>74</v>
      </c>
      <c r="BO648" t="s">
        <v>74</v>
      </c>
      <c r="BP648" t="s">
        <v>74</v>
      </c>
      <c r="BQ648" t="s">
        <v>74</v>
      </c>
      <c r="BR648" t="s">
        <v>104</v>
      </c>
      <c r="BS648" t="s">
        <v>10676</v>
      </c>
      <c r="BT648" t="str">
        <f>HYPERLINK("https%3A%2F%2Fwww.webofscience.com%2Fwos%2Fwoscc%2Ffull-record%2FWOS:000958618100001","View Full Record in Web of Science")</f>
        <v>View Full Record in Web of Science</v>
      </c>
    </row>
    <row r="649" spans="1:72" x14ac:dyDescent="0.25">
      <c r="A649" t="s">
        <v>72</v>
      </c>
      <c r="B649" t="s">
        <v>10677</v>
      </c>
      <c r="C649" t="s">
        <v>74</v>
      </c>
      <c r="D649" t="s">
        <v>74</v>
      </c>
      <c r="E649" t="s">
        <v>74</v>
      </c>
      <c r="F649" t="s">
        <v>10678</v>
      </c>
      <c r="G649" t="s">
        <v>74</v>
      </c>
      <c r="H649" t="s">
        <v>74</v>
      </c>
      <c r="I649" t="s">
        <v>10679</v>
      </c>
      <c r="J649" t="s">
        <v>697</v>
      </c>
      <c r="K649" t="s">
        <v>74</v>
      </c>
      <c r="L649" t="s">
        <v>74</v>
      </c>
      <c r="M649" t="s">
        <v>78</v>
      </c>
      <c r="N649" t="s">
        <v>79</v>
      </c>
      <c r="O649" t="s">
        <v>74</v>
      </c>
      <c r="P649" t="s">
        <v>74</v>
      </c>
      <c r="Q649" t="s">
        <v>74</v>
      </c>
      <c r="R649" t="s">
        <v>74</v>
      </c>
      <c r="S649" t="s">
        <v>74</v>
      </c>
      <c r="T649" t="s">
        <v>10680</v>
      </c>
      <c r="U649" t="s">
        <v>10681</v>
      </c>
      <c r="V649" t="s">
        <v>10682</v>
      </c>
      <c r="W649" t="s">
        <v>10683</v>
      </c>
      <c r="X649" t="s">
        <v>9193</v>
      </c>
      <c r="Y649" t="s">
        <v>10684</v>
      </c>
      <c r="Z649" t="s">
        <v>9195</v>
      </c>
      <c r="AA649" t="s">
        <v>9196</v>
      </c>
      <c r="AB649" t="s">
        <v>9197</v>
      </c>
      <c r="AC649" t="s">
        <v>10685</v>
      </c>
      <c r="AD649" t="s">
        <v>482</v>
      </c>
      <c r="AE649" t="s">
        <v>10686</v>
      </c>
      <c r="AF649" t="s">
        <v>74</v>
      </c>
      <c r="AG649">
        <v>30</v>
      </c>
      <c r="AH649">
        <v>8</v>
      </c>
      <c r="AI649">
        <v>9</v>
      </c>
      <c r="AJ649">
        <v>2</v>
      </c>
      <c r="AK649">
        <v>52</v>
      </c>
      <c r="AL649" t="s">
        <v>707</v>
      </c>
      <c r="AM649" t="s">
        <v>246</v>
      </c>
      <c r="AN649" t="s">
        <v>708</v>
      </c>
      <c r="AO649" t="s">
        <v>709</v>
      </c>
      <c r="AP649" t="s">
        <v>710</v>
      </c>
      <c r="AQ649" t="s">
        <v>74</v>
      </c>
      <c r="AR649" t="s">
        <v>711</v>
      </c>
      <c r="AS649" t="s">
        <v>712</v>
      </c>
      <c r="AT649" t="s">
        <v>275</v>
      </c>
      <c r="AU649">
        <v>2023</v>
      </c>
      <c r="AV649">
        <v>177</v>
      </c>
      <c r="AW649" t="s">
        <v>74</v>
      </c>
      <c r="AX649" t="s">
        <v>74</v>
      </c>
      <c r="AY649" t="s">
        <v>74</v>
      </c>
      <c r="AZ649" t="s">
        <v>74</v>
      </c>
      <c r="BA649" t="s">
        <v>74</v>
      </c>
      <c r="BB649" t="s">
        <v>74</v>
      </c>
      <c r="BC649" t="s">
        <v>74</v>
      </c>
      <c r="BD649">
        <v>109027</v>
      </c>
      <c r="BE649" t="s">
        <v>10687</v>
      </c>
      <c r="BF649" t="str">
        <f>HYPERLINK("http://dx.doi.org/10.1016/j.cie.2023.109027","http://dx.doi.org/10.1016/j.cie.2023.109027")</f>
        <v>http://dx.doi.org/10.1016/j.cie.2023.109027</v>
      </c>
      <c r="BG649" t="s">
        <v>74</v>
      </c>
      <c r="BH649" t="s">
        <v>2984</v>
      </c>
      <c r="BI649">
        <v>11</v>
      </c>
      <c r="BJ649" t="s">
        <v>715</v>
      </c>
      <c r="BK649" t="s">
        <v>149</v>
      </c>
      <c r="BL649" t="s">
        <v>716</v>
      </c>
      <c r="BM649" t="s">
        <v>10688</v>
      </c>
      <c r="BN649" t="s">
        <v>74</v>
      </c>
      <c r="BO649" t="s">
        <v>74</v>
      </c>
      <c r="BP649" t="s">
        <v>74</v>
      </c>
      <c r="BQ649" t="s">
        <v>74</v>
      </c>
      <c r="BR649" t="s">
        <v>104</v>
      </c>
      <c r="BS649" t="s">
        <v>10689</v>
      </c>
      <c r="BT649" t="str">
        <f>HYPERLINK("https%3A%2F%2Fwww.webofscience.com%2Fwos%2Fwoscc%2Ffull-record%2FWOS:000926760200001","View Full Record in Web of Science")</f>
        <v>View Full Record in Web of Science</v>
      </c>
    </row>
    <row r="650" spans="1:72" x14ac:dyDescent="0.25">
      <c r="A650" t="s">
        <v>72</v>
      </c>
      <c r="B650" t="s">
        <v>10690</v>
      </c>
      <c r="C650" t="s">
        <v>74</v>
      </c>
      <c r="D650" t="s">
        <v>74</v>
      </c>
      <c r="E650" t="s">
        <v>74</v>
      </c>
      <c r="F650" t="s">
        <v>10691</v>
      </c>
      <c r="G650" t="s">
        <v>74</v>
      </c>
      <c r="H650" t="s">
        <v>74</v>
      </c>
      <c r="I650" t="s">
        <v>10692</v>
      </c>
      <c r="J650" t="s">
        <v>1557</v>
      </c>
      <c r="K650" t="s">
        <v>74</v>
      </c>
      <c r="L650" t="s">
        <v>74</v>
      </c>
      <c r="M650" t="s">
        <v>78</v>
      </c>
      <c r="N650" t="s">
        <v>79</v>
      </c>
      <c r="O650" t="s">
        <v>74</v>
      </c>
      <c r="P650" t="s">
        <v>74</v>
      </c>
      <c r="Q650" t="s">
        <v>74</v>
      </c>
      <c r="R650" t="s">
        <v>74</v>
      </c>
      <c r="S650" t="s">
        <v>74</v>
      </c>
      <c r="T650" t="s">
        <v>10693</v>
      </c>
      <c r="U650" t="s">
        <v>10694</v>
      </c>
      <c r="V650" t="s">
        <v>10695</v>
      </c>
      <c r="W650" t="s">
        <v>10696</v>
      </c>
      <c r="X650" t="s">
        <v>10697</v>
      </c>
      <c r="Y650" t="s">
        <v>10698</v>
      </c>
      <c r="Z650" t="s">
        <v>10699</v>
      </c>
      <c r="AA650" t="s">
        <v>10700</v>
      </c>
      <c r="AB650" t="s">
        <v>10701</v>
      </c>
      <c r="AC650" t="s">
        <v>10702</v>
      </c>
      <c r="AD650" t="s">
        <v>2774</v>
      </c>
      <c r="AE650" t="s">
        <v>10703</v>
      </c>
      <c r="AF650" t="s">
        <v>74</v>
      </c>
      <c r="AG650">
        <v>83</v>
      </c>
      <c r="AH650">
        <v>8</v>
      </c>
      <c r="AI650">
        <v>8</v>
      </c>
      <c r="AJ650">
        <v>26</v>
      </c>
      <c r="AK650">
        <v>70</v>
      </c>
      <c r="AL650" t="s">
        <v>707</v>
      </c>
      <c r="AM650" t="s">
        <v>246</v>
      </c>
      <c r="AN650" t="s">
        <v>708</v>
      </c>
      <c r="AO650" t="s">
        <v>1569</v>
      </c>
      <c r="AP650" t="s">
        <v>1570</v>
      </c>
      <c r="AQ650" t="s">
        <v>74</v>
      </c>
      <c r="AR650" t="s">
        <v>1571</v>
      </c>
      <c r="AS650" t="s">
        <v>1572</v>
      </c>
      <c r="AT650" t="s">
        <v>10026</v>
      </c>
      <c r="AU650">
        <v>2024</v>
      </c>
      <c r="AV650">
        <v>242</v>
      </c>
      <c r="AW650" t="s">
        <v>74</v>
      </c>
      <c r="AX650" t="s">
        <v>74</v>
      </c>
      <c r="AY650" t="s">
        <v>74</v>
      </c>
      <c r="AZ650" t="s">
        <v>74</v>
      </c>
      <c r="BA650" t="s">
        <v>74</v>
      </c>
      <c r="BB650" t="s">
        <v>74</v>
      </c>
      <c r="BC650" t="s">
        <v>74</v>
      </c>
      <c r="BD650">
        <v>122798</v>
      </c>
      <c r="BE650" t="s">
        <v>10704</v>
      </c>
      <c r="BF650" t="str">
        <f>HYPERLINK("http://dx.doi.org/10.1016/j.eswa.2023.122798","http://dx.doi.org/10.1016/j.eswa.2023.122798")</f>
        <v>http://dx.doi.org/10.1016/j.eswa.2023.122798</v>
      </c>
      <c r="BG650" t="s">
        <v>74</v>
      </c>
      <c r="BH650" t="s">
        <v>449</v>
      </c>
      <c r="BI650">
        <v>20</v>
      </c>
      <c r="BJ650" t="s">
        <v>1575</v>
      </c>
      <c r="BK650" t="s">
        <v>149</v>
      </c>
      <c r="BL650" t="s">
        <v>1576</v>
      </c>
      <c r="BM650" t="s">
        <v>10705</v>
      </c>
      <c r="BN650" t="s">
        <v>74</v>
      </c>
      <c r="BO650" t="s">
        <v>74</v>
      </c>
      <c r="BP650" t="s">
        <v>74</v>
      </c>
      <c r="BQ650" t="s">
        <v>74</v>
      </c>
      <c r="BR650" t="s">
        <v>104</v>
      </c>
      <c r="BS650" t="s">
        <v>10706</v>
      </c>
      <c r="BT650" t="str">
        <f>HYPERLINK("https%3A%2F%2Fwww.webofscience.com%2Fwos%2Fwoscc%2Ffull-record%2FWOS:001138936900001","View Full Record in Web of Science")</f>
        <v>View Full Record in Web of Science</v>
      </c>
    </row>
    <row r="651" spans="1:72" x14ac:dyDescent="0.25">
      <c r="A651" t="s">
        <v>72</v>
      </c>
      <c r="B651" t="s">
        <v>10707</v>
      </c>
      <c r="C651" t="s">
        <v>74</v>
      </c>
      <c r="D651" t="s">
        <v>74</v>
      </c>
      <c r="E651" t="s">
        <v>74</v>
      </c>
      <c r="F651" t="s">
        <v>10708</v>
      </c>
      <c r="G651" t="s">
        <v>74</v>
      </c>
      <c r="H651" t="s">
        <v>74</v>
      </c>
      <c r="I651" t="s">
        <v>10709</v>
      </c>
      <c r="J651" t="s">
        <v>940</v>
      </c>
      <c r="K651" t="s">
        <v>74</v>
      </c>
      <c r="L651" t="s">
        <v>74</v>
      </c>
      <c r="M651" t="s">
        <v>78</v>
      </c>
      <c r="N651" t="s">
        <v>79</v>
      </c>
      <c r="O651" t="s">
        <v>74</v>
      </c>
      <c r="P651" t="s">
        <v>74</v>
      </c>
      <c r="Q651" t="s">
        <v>74</v>
      </c>
      <c r="R651" t="s">
        <v>74</v>
      </c>
      <c r="S651" t="s">
        <v>74</v>
      </c>
      <c r="T651" t="s">
        <v>10710</v>
      </c>
      <c r="U651" t="s">
        <v>10711</v>
      </c>
      <c r="V651" t="s">
        <v>10712</v>
      </c>
      <c r="W651" t="s">
        <v>10713</v>
      </c>
      <c r="X651" t="s">
        <v>10714</v>
      </c>
      <c r="Y651" t="s">
        <v>10715</v>
      </c>
      <c r="Z651" t="s">
        <v>10716</v>
      </c>
      <c r="AA651" t="s">
        <v>10717</v>
      </c>
      <c r="AB651" t="s">
        <v>10718</v>
      </c>
      <c r="AC651" t="s">
        <v>10719</v>
      </c>
      <c r="AD651" t="s">
        <v>10720</v>
      </c>
      <c r="AE651" t="s">
        <v>10721</v>
      </c>
      <c r="AF651" t="s">
        <v>74</v>
      </c>
      <c r="AG651">
        <v>45</v>
      </c>
      <c r="AH651">
        <v>2</v>
      </c>
      <c r="AI651">
        <v>2</v>
      </c>
      <c r="AJ651">
        <v>13</v>
      </c>
      <c r="AK651">
        <v>65</v>
      </c>
      <c r="AL651" t="s">
        <v>220</v>
      </c>
      <c r="AM651" t="s">
        <v>221</v>
      </c>
      <c r="AN651" t="s">
        <v>222</v>
      </c>
      <c r="AO651" t="s">
        <v>950</v>
      </c>
      <c r="AP651" t="s">
        <v>951</v>
      </c>
      <c r="AQ651" t="s">
        <v>74</v>
      </c>
      <c r="AR651" t="s">
        <v>952</v>
      </c>
      <c r="AS651" t="s">
        <v>953</v>
      </c>
      <c r="AT651" t="s">
        <v>145</v>
      </c>
      <c r="AU651">
        <v>2022</v>
      </c>
      <c r="AV651">
        <v>69</v>
      </c>
      <c r="AW651">
        <v>6</v>
      </c>
      <c r="AX651" t="s">
        <v>74</v>
      </c>
      <c r="AY651" t="s">
        <v>74</v>
      </c>
      <c r="AZ651" t="s">
        <v>74</v>
      </c>
      <c r="BA651" t="s">
        <v>74</v>
      </c>
      <c r="BB651">
        <v>2497</v>
      </c>
      <c r="BC651">
        <v>2516</v>
      </c>
      <c r="BD651" t="s">
        <v>74</v>
      </c>
      <c r="BE651" t="s">
        <v>10722</v>
      </c>
      <c r="BF651" t="str">
        <f>HYPERLINK("http://dx.doi.org/10.1109/TEM.2019.2943135","http://dx.doi.org/10.1109/TEM.2019.2943135")</f>
        <v>http://dx.doi.org/10.1109/TEM.2019.2943135</v>
      </c>
      <c r="BG651" t="s">
        <v>74</v>
      </c>
      <c r="BH651" t="s">
        <v>74</v>
      </c>
      <c r="BI651">
        <v>20</v>
      </c>
      <c r="BJ651" t="s">
        <v>955</v>
      </c>
      <c r="BK651" t="s">
        <v>322</v>
      </c>
      <c r="BL651" t="s">
        <v>956</v>
      </c>
      <c r="BM651" t="s">
        <v>4585</v>
      </c>
      <c r="BN651" t="s">
        <v>74</v>
      </c>
      <c r="BO651" t="s">
        <v>74</v>
      </c>
      <c r="BP651" t="s">
        <v>74</v>
      </c>
      <c r="BQ651" t="s">
        <v>74</v>
      </c>
      <c r="BR651" t="s">
        <v>104</v>
      </c>
      <c r="BS651" t="s">
        <v>10723</v>
      </c>
      <c r="BT651" t="str">
        <f>HYPERLINK("https%3A%2F%2Fwww.webofscience.com%2Fwos%2Fwoscc%2Ffull-record%2FWOS:000879054100007","View Full Record in Web of Science")</f>
        <v>View Full Record in Web of Science</v>
      </c>
    </row>
    <row r="652" spans="1:72" x14ac:dyDescent="0.25">
      <c r="A652" t="s">
        <v>72</v>
      </c>
      <c r="B652" t="s">
        <v>10724</v>
      </c>
      <c r="C652" t="s">
        <v>74</v>
      </c>
      <c r="D652" t="s">
        <v>74</v>
      </c>
      <c r="E652" t="s">
        <v>74</v>
      </c>
      <c r="F652" t="s">
        <v>10725</v>
      </c>
      <c r="G652" t="s">
        <v>74</v>
      </c>
      <c r="H652" t="s">
        <v>74</v>
      </c>
      <c r="I652" t="s">
        <v>10726</v>
      </c>
      <c r="J652" t="s">
        <v>995</v>
      </c>
      <c r="K652" t="s">
        <v>74</v>
      </c>
      <c r="L652" t="s">
        <v>74</v>
      </c>
      <c r="M652" t="s">
        <v>78</v>
      </c>
      <c r="N652" t="s">
        <v>79</v>
      </c>
      <c r="O652" t="s">
        <v>74</v>
      </c>
      <c r="P652" t="s">
        <v>74</v>
      </c>
      <c r="Q652" t="s">
        <v>74</v>
      </c>
      <c r="R652" t="s">
        <v>74</v>
      </c>
      <c r="S652" t="s">
        <v>74</v>
      </c>
      <c r="T652" t="s">
        <v>10727</v>
      </c>
      <c r="U652" t="s">
        <v>10728</v>
      </c>
      <c r="V652" t="s">
        <v>10729</v>
      </c>
      <c r="W652" t="s">
        <v>10730</v>
      </c>
      <c r="X652" t="s">
        <v>10731</v>
      </c>
      <c r="Y652" t="s">
        <v>10732</v>
      </c>
      <c r="Z652" t="s">
        <v>10733</v>
      </c>
      <c r="AA652" t="s">
        <v>10734</v>
      </c>
      <c r="AB652" t="s">
        <v>74</v>
      </c>
      <c r="AC652" t="s">
        <v>10735</v>
      </c>
      <c r="AD652" t="s">
        <v>10736</v>
      </c>
      <c r="AE652" t="s">
        <v>10737</v>
      </c>
      <c r="AF652" t="s">
        <v>74</v>
      </c>
      <c r="AG652">
        <v>62</v>
      </c>
      <c r="AH652">
        <v>0</v>
      </c>
      <c r="AI652">
        <v>0</v>
      </c>
      <c r="AJ652">
        <v>0</v>
      </c>
      <c r="AK652">
        <v>22</v>
      </c>
      <c r="AL652" t="s">
        <v>484</v>
      </c>
      <c r="AM652" t="s">
        <v>485</v>
      </c>
      <c r="AN652" t="s">
        <v>486</v>
      </c>
      <c r="AO652" t="s">
        <v>1004</v>
      </c>
      <c r="AP652" t="s">
        <v>1005</v>
      </c>
      <c r="AQ652" t="s">
        <v>74</v>
      </c>
      <c r="AR652" t="s">
        <v>1006</v>
      </c>
      <c r="AS652" t="s">
        <v>1007</v>
      </c>
      <c r="AT652" t="s">
        <v>1008</v>
      </c>
      <c r="AU652">
        <v>2022</v>
      </c>
      <c r="AV652">
        <v>25</v>
      </c>
      <c r="AW652">
        <v>1</v>
      </c>
      <c r="AX652" t="s">
        <v>74</v>
      </c>
      <c r="AY652" t="s">
        <v>74</v>
      </c>
      <c r="AZ652" t="s">
        <v>74</v>
      </c>
      <c r="BA652" t="s">
        <v>74</v>
      </c>
      <c r="BB652">
        <v>68</v>
      </c>
      <c r="BC652">
        <v>90</v>
      </c>
      <c r="BD652" t="s">
        <v>74</v>
      </c>
      <c r="BE652" t="s">
        <v>10738</v>
      </c>
      <c r="BF652" t="str">
        <f>HYPERLINK("http://dx.doi.org/10.1002/sys.21602","http://dx.doi.org/10.1002/sys.21602")</f>
        <v>http://dx.doi.org/10.1002/sys.21602</v>
      </c>
      <c r="BG652" t="s">
        <v>74</v>
      </c>
      <c r="BH652" t="s">
        <v>2089</v>
      </c>
      <c r="BI652">
        <v>23</v>
      </c>
      <c r="BJ652" t="s">
        <v>148</v>
      </c>
      <c r="BK652" t="s">
        <v>149</v>
      </c>
      <c r="BL652" t="s">
        <v>150</v>
      </c>
      <c r="BM652" t="s">
        <v>10739</v>
      </c>
      <c r="BN652" t="s">
        <v>74</v>
      </c>
      <c r="BO652" t="s">
        <v>74</v>
      </c>
      <c r="BP652" t="s">
        <v>74</v>
      </c>
      <c r="BQ652" t="s">
        <v>74</v>
      </c>
      <c r="BR652" t="s">
        <v>104</v>
      </c>
      <c r="BS652" t="s">
        <v>10740</v>
      </c>
      <c r="BT652" t="str">
        <f>HYPERLINK("https%3A%2F%2Fwww.webofscience.com%2Fwos%2Fwoscc%2Ffull-record%2FWOS:000696039100001","View Full Record in Web of Science")</f>
        <v>View Full Record in Web of Science</v>
      </c>
    </row>
    <row r="653" spans="1:72" x14ac:dyDescent="0.25">
      <c r="A653" t="s">
        <v>72</v>
      </c>
      <c r="B653" t="s">
        <v>10741</v>
      </c>
      <c r="C653" t="s">
        <v>74</v>
      </c>
      <c r="D653" t="s">
        <v>74</v>
      </c>
      <c r="E653" t="s">
        <v>74</v>
      </c>
      <c r="F653" t="s">
        <v>10742</v>
      </c>
      <c r="G653" t="s">
        <v>74</v>
      </c>
      <c r="H653" t="s">
        <v>74</v>
      </c>
      <c r="I653" t="s">
        <v>10743</v>
      </c>
      <c r="J653" t="s">
        <v>128</v>
      </c>
      <c r="K653" t="s">
        <v>74</v>
      </c>
      <c r="L653" t="s">
        <v>74</v>
      </c>
      <c r="M653" t="s">
        <v>78</v>
      </c>
      <c r="N653" t="s">
        <v>79</v>
      </c>
      <c r="O653" t="s">
        <v>74</v>
      </c>
      <c r="P653" t="s">
        <v>74</v>
      </c>
      <c r="Q653" t="s">
        <v>74</v>
      </c>
      <c r="R653" t="s">
        <v>74</v>
      </c>
      <c r="S653" t="s">
        <v>74</v>
      </c>
      <c r="T653" t="s">
        <v>10744</v>
      </c>
      <c r="U653" t="s">
        <v>10745</v>
      </c>
      <c r="V653" t="s">
        <v>10746</v>
      </c>
      <c r="W653" t="s">
        <v>10747</v>
      </c>
      <c r="X653" t="s">
        <v>10748</v>
      </c>
      <c r="Y653" t="s">
        <v>5016</v>
      </c>
      <c r="Z653" t="s">
        <v>4519</v>
      </c>
      <c r="AA653" t="s">
        <v>74</v>
      </c>
      <c r="AB653" t="s">
        <v>74</v>
      </c>
      <c r="AC653" t="s">
        <v>10749</v>
      </c>
      <c r="AD653" t="s">
        <v>10750</v>
      </c>
      <c r="AE653" t="s">
        <v>10751</v>
      </c>
      <c r="AF653" t="s">
        <v>74</v>
      </c>
      <c r="AG653">
        <v>39</v>
      </c>
      <c r="AH653">
        <v>18</v>
      </c>
      <c r="AI653">
        <v>18</v>
      </c>
      <c r="AJ653">
        <v>6</v>
      </c>
      <c r="AK653">
        <v>40</v>
      </c>
      <c r="AL653" t="s">
        <v>138</v>
      </c>
      <c r="AM653" t="s">
        <v>139</v>
      </c>
      <c r="AN653" t="s">
        <v>140</v>
      </c>
      <c r="AO653" t="s">
        <v>141</v>
      </c>
      <c r="AP653" t="s">
        <v>142</v>
      </c>
      <c r="AQ653" t="s">
        <v>74</v>
      </c>
      <c r="AR653" t="s">
        <v>143</v>
      </c>
      <c r="AS653" t="s">
        <v>144</v>
      </c>
      <c r="AT653" t="s">
        <v>1202</v>
      </c>
      <c r="AU653">
        <v>2022</v>
      </c>
      <c r="AV653">
        <v>221</v>
      </c>
      <c r="AW653" t="s">
        <v>74</v>
      </c>
      <c r="AX653" t="s">
        <v>74</v>
      </c>
      <c r="AY653" t="s">
        <v>74</v>
      </c>
      <c r="AZ653" t="s">
        <v>74</v>
      </c>
      <c r="BA653" t="s">
        <v>74</v>
      </c>
      <c r="BB653" t="s">
        <v>74</v>
      </c>
      <c r="BC653" t="s">
        <v>74</v>
      </c>
      <c r="BD653">
        <v>108379</v>
      </c>
      <c r="BE653" t="s">
        <v>10752</v>
      </c>
      <c r="BF653" t="str">
        <f>HYPERLINK("http://dx.doi.org/10.1016/j.ress.2022.108379","http://dx.doi.org/10.1016/j.ress.2022.108379")</f>
        <v>http://dx.doi.org/10.1016/j.ress.2022.108379</v>
      </c>
      <c r="BG653" t="s">
        <v>74</v>
      </c>
      <c r="BH653" t="s">
        <v>1971</v>
      </c>
      <c r="BI653">
        <v>9</v>
      </c>
      <c r="BJ653" t="s">
        <v>148</v>
      </c>
      <c r="BK653" t="s">
        <v>149</v>
      </c>
      <c r="BL653" t="s">
        <v>150</v>
      </c>
      <c r="BM653" t="s">
        <v>4232</v>
      </c>
      <c r="BN653" t="s">
        <v>74</v>
      </c>
      <c r="BO653" t="s">
        <v>74</v>
      </c>
      <c r="BP653" t="s">
        <v>74</v>
      </c>
      <c r="BQ653" t="s">
        <v>74</v>
      </c>
      <c r="BR653" t="s">
        <v>104</v>
      </c>
      <c r="BS653" t="s">
        <v>10753</v>
      </c>
      <c r="BT653" t="str">
        <f>HYPERLINK("https%3A%2F%2Fwww.webofscience.com%2Fwos%2Fwoscc%2Ffull-record%2FWOS:000771556500048","View Full Record in Web of Science")</f>
        <v>View Full Record in Web of Science</v>
      </c>
    </row>
    <row r="654" spans="1:72" x14ac:dyDescent="0.25">
      <c r="A654" t="s">
        <v>72</v>
      </c>
      <c r="B654" t="s">
        <v>10754</v>
      </c>
      <c r="C654" t="s">
        <v>74</v>
      </c>
      <c r="D654" t="s">
        <v>74</v>
      </c>
      <c r="E654" t="s">
        <v>74</v>
      </c>
      <c r="F654" t="s">
        <v>10755</v>
      </c>
      <c r="G654" t="s">
        <v>74</v>
      </c>
      <c r="H654" t="s">
        <v>74</v>
      </c>
      <c r="I654" t="s">
        <v>10756</v>
      </c>
      <c r="J654" t="s">
        <v>472</v>
      </c>
      <c r="K654" t="s">
        <v>74</v>
      </c>
      <c r="L654" t="s">
        <v>74</v>
      </c>
      <c r="M654" t="s">
        <v>78</v>
      </c>
      <c r="N654" t="s">
        <v>79</v>
      </c>
      <c r="O654" t="s">
        <v>74</v>
      </c>
      <c r="P654" t="s">
        <v>74</v>
      </c>
      <c r="Q654" t="s">
        <v>74</v>
      </c>
      <c r="R654" t="s">
        <v>74</v>
      </c>
      <c r="S654" t="s">
        <v>74</v>
      </c>
      <c r="T654" t="s">
        <v>10757</v>
      </c>
      <c r="U654" t="s">
        <v>10758</v>
      </c>
      <c r="V654" t="s">
        <v>10759</v>
      </c>
      <c r="W654" t="s">
        <v>10760</v>
      </c>
      <c r="X654" t="s">
        <v>10761</v>
      </c>
      <c r="Y654" t="s">
        <v>10762</v>
      </c>
      <c r="Z654" t="s">
        <v>10763</v>
      </c>
      <c r="AA654" t="s">
        <v>10764</v>
      </c>
      <c r="AB654" t="s">
        <v>10765</v>
      </c>
      <c r="AC654" t="s">
        <v>10766</v>
      </c>
      <c r="AD654" t="s">
        <v>10767</v>
      </c>
      <c r="AE654" t="s">
        <v>10768</v>
      </c>
      <c r="AF654" t="s">
        <v>74</v>
      </c>
      <c r="AG654">
        <v>33</v>
      </c>
      <c r="AH654">
        <v>23</v>
      </c>
      <c r="AI654">
        <v>23</v>
      </c>
      <c r="AJ654">
        <v>17</v>
      </c>
      <c r="AK654">
        <v>108</v>
      </c>
      <c r="AL654" t="s">
        <v>484</v>
      </c>
      <c r="AM654" t="s">
        <v>485</v>
      </c>
      <c r="AN654" t="s">
        <v>486</v>
      </c>
      <c r="AO654" t="s">
        <v>487</v>
      </c>
      <c r="AP654" t="s">
        <v>488</v>
      </c>
      <c r="AQ654" t="s">
        <v>74</v>
      </c>
      <c r="AR654" t="s">
        <v>489</v>
      </c>
      <c r="AS654" t="s">
        <v>490</v>
      </c>
      <c r="AT654" t="s">
        <v>491</v>
      </c>
      <c r="AU654">
        <v>2022</v>
      </c>
      <c r="AV654">
        <v>38</v>
      </c>
      <c r="AW654">
        <v>7</v>
      </c>
      <c r="AX654" t="s">
        <v>74</v>
      </c>
      <c r="AY654" t="s">
        <v>74</v>
      </c>
      <c r="AZ654" t="s">
        <v>74</v>
      </c>
      <c r="BA654" t="s">
        <v>74</v>
      </c>
      <c r="BB654">
        <v>3485</v>
      </c>
      <c r="BC654">
        <v>3512</v>
      </c>
      <c r="BD654" t="s">
        <v>74</v>
      </c>
      <c r="BE654" t="s">
        <v>10769</v>
      </c>
      <c r="BF654" t="str">
        <f>HYPERLINK("http://dx.doi.org/10.1002/qre.3147","http://dx.doi.org/10.1002/qre.3147")</f>
        <v>http://dx.doi.org/10.1002/qre.3147</v>
      </c>
      <c r="BG654" t="s">
        <v>74</v>
      </c>
      <c r="BH654" t="s">
        <v>168</v>
      </c>
      <c r="BI654">
        <v>28</v>
      </c>
      <c r="BJ654" t="s">
        <v>494</v>
      </c>
      <c r="BK654" t="s">
        <v>149</v>
      </c>
      <c r="BL654" t="s">
        <v>150</v>
      </c>
      <c r="BM654" t="s">
        <v>10770</v>
      </c>
      <c r="BN654" t="s">
        <v>74</v>
      </c>
      <c r="BO654" t="s">
        <v>74</v>
      </c>
      <c r="BP654" t="s">
        <v>74</v>
      </c>
      <c r="BQ654" t="s">
        <v>74</v>
      </c>
      <c r="BR654" t="s">
        <v>104</v>
      </c>
      <c r="BS654" t="s">
        <v>10771</v>
      </c>
      <c r="BT654" t="str">
        <f>HYPERLINK("https%3A%2F%2Fwww.webofscience.com%2Fwos%2Fwoscc%2Ffull-record%2FWOS:000810706900001","View Full Record in Web of Science")</f>
        <v>View Full Record in Web of Science</v>
      </c>
    </row>
    <row r="655" spans="1:72" x14ac:dyDescent="0.25">
      <c r="A655" t="s">
        <v>72</v>
      </c>
      <c r="B655" t="s">
        <v>10772</v>
      </c>
      <c r="C655" t="s">
        <v>74</v>
      </c>
      <c r="D655" t="s">
        <v>74</v>
      </c>
      <c r="E655" t="s">
        <v>74</v>
      </c>
      <c r="F655" t="s">
        <v>10773</v>
      </c>
      <c r="G655" t="s">
        <v>74</v>
      </c>
      <c r="H655" t="s">
        <v>74</v>
      </c>
      <c r="I655" t="s">
        <v>10774</v>
      </c>
      <c r="J655" t="s">
        <v>128</v>
      </c>
      <c r="K655" t="s">
        <v>74</v>
      </c>
      <c r="L655" t="s">
        <v>74</v>
      </c>
      <c r="M655" t="s">
        <v>78</v>
      </c>
      <c r="N655" t="s">
        <v>79</v>
      </c>
      <c r="O655" t="s">
        <v>74</v>
      </c>
      <c r="P655" t="s">
        <v>74</v>
      </c>
      <c r="Q655" t="s">
        <v>74</v>
      </c>
      <c r="R655" t="s">
        <v>74</v>
      </c>
      <c r="S655" t="s">
        <v>74</v>
      </c>
      <c r="T655" t="s">
        <v>10775</v>
      </c>
      <c r="U655" t="s">
        <v>10776</v>
      </c>
      <c r="V655" t="s">
        <v>10777</v>
      </c>
      <c r="W655" t="s">
        <v>10778</v>
      </c>
      <c r="X655" t="s">
        <v>3361</v>
      </c>
      <c r="Y655" t="s">
        <v>10779</v>
      </c>
      <c r="Z655" t="s">
        <v>9979</v>
      </c>
      <c r="AA655" t="s">
        <v>9355</v>
      </c>
      <c r="AB655" t="s">
        <v>10780</v>
      </c>
      <c r="AC655" t="s">
        <v>10781</v>
      </c>
      <c r="AD655" t="s">
        <v>10782</v>
      </c>
      <c r="AE655" t="s">
        <v>10783</v>
      </c>
      <c r="AF655" t="s">
        <v>74</v>
      </c>
      <c r="AG655">
        <v>37</v>
      </c>
      <c r="AH655">
        <v>36</v>
      </c>
      <c r="AI655">
        <v>38</v>
      </c>
      <c r="AJ655">
        <v>4</v>
      </c>
      <c r="AK655">
        <v>70</v>
      </c>
      <c r="AL655" t="s">
        <v>138</v>
      </c>
      <c r="AM655" t="s">
        <v>246</v>
      </c>
      <c r="AN655" t="s">
        <v>247</v>
      </c>
      <c r="AO655" t="s">
        <v>141</v>
      </c>
      <c r="AP655" t="s">
        <v>142</v>
      </c>
      <c r="AQ655" t="s">
        <v>74</v>
      </c>
      <c r="AR655" t="s">
        <v>143</v>
      </c>
      <c r="AS655" t="s">
        <v>144</v>
      </c>
      <c r="AT655" t="s">
        <v>1076</v>
      </c>
      <c r="AU655">
        <v>2019</v>
      </c>
      <c r="AV655">
        <v>190</v>
      </c>
      <c r="AW655" t="s">
        <v>74</v>
      </c>
      <c r="AX655" t="s">
        <v>74</v>
      </c>
      <c r="AY655" t="s">
        <v>74</v>
      </c>
      <c r="AZ655" t="s">
        <v>74</v>
      </c>
      <c r="BA655" t="s">
        <v>74</v>
      </c>
      <c r="BB655" t="s">
        <v>74</v>
      </c>
      <c r="BC655" t="s">
        <v>74</v>
      </c>
      <c r="BD655" t="s">
        <v>74</v>
      </c>
      <c r="BE655" t="s">
        <v>10784</v>
      </c>
      <c r="BF655" t="str">
        <f>HYPERLINK("http://dx.doi.org/10.1016/j.ress.2019.106516","http://dx.doi.org/10.1016/j.ress.2019.106516")</f>
        <v>http://dx.doi.org/10.1016/j.ress.2019.106516</v>
      </c>
      <c r="BG655" t="s">
        <v>74</v>
      </c>
      <c r="BH655" t="s">
        <v>74</v>
      </c>
      <c r="BI655">
        <v>10</v>
      </c>
      <c r="BJ655" t="s">
        <v>148</v>
      </c>
      <c r="BK655" t="s">
        <v>149</v>
      </c>
      <c r="BL655" t="s">
        <v>150</v>
      </c>
      <c r="BM655" t="s">
        <v>10785</v>
      </c>
      <c r="BN655" t="s">
        <v>74</v>
      </c>
      <c r="BO655" t="s">
        <v>74</v>
      </c>
      <c r="BP655" t="s">
        <v>74</v>
      </c>
      <c r="BQ655" t="s">
        <v>74</v>
      </c>
      <c r="BR655" t="s">
        <v>104</v>
      </c>
      <c r="BS655" t="s">
        <v>10786</v>
      </c>
      <c r="BT655" t="str">
        <f>HYPERLINK("https%3A%2F%2Fwww.webofscience.com%2Fwos%2Fwoscc%2Ffull-record%2FWOS:000474497100008","View Full Record in Web of Science")</f>
        <v>View Full Record in Web of Science</v>
      </c>
    </row>
    <row r="656" spans="1:72" x14ac:dyDescent="0.25">
      <c r="A656" t="s">
        <v>72</v>
      </c>
      <c r="B656" t="s">
        <v>10787</v>
      </c>
      <c r="C656" t="s">
        <v>74</v>
      </c>
      <c r="D656" t="s">
        <v>74</v>
      </c>
      <c r="E656" t="s">
        <v>74</v>
      </c>
      <c r="F656" t="s">
        <v>10788</v>
      </c>
      <c r="G656" t="s">
        <v>74</v>
      </c>
      <c r="H656" t="s">
        <v>74</v>
      </c>
      <c r="I656" t="s">
        <v>10789</v>
      </c>
      <c r="J656" t="s">
        <v>128</v>
      </c>
      <c r="K656" t="s">
        <v>74</v>
      </c>
      <c r="L656" t="s">
        <v>74</v>
      </c>
      <c r="M656" t="s">
        <v>78</v>
      </c>
      <c r="N656" t="s">
        <v>79</v>
      </c>
      <c r="O656" t="s">
        <v>74</v>
      </c>
      <c r="P656" t="s">
        <v>74</v>
      </c>
      <c r="Q656" t="s">
        <v>74</v>
      </c>
      <c r="R656" t="s">
        <v>74</v>
      </c>
      <c r="S656" t="s">
        <v>74</v>
      </c>
      <c r="T656" t="s">
        <v>10790</v>
      </c>
      <c r="U656" t="s">
        <v>10791</v>
      </c>
      <c r="V656" t="s">
        <v>10792</v>
      </c>
      <c r="W656" t="s">
        <v>10793</v>
      </c>
      <c r="X656" t="s">
        <v>10794</v>
      </c>
      <c r="Y656" t="s">
        <v>6530</v>
      </c>
      <c r="Z656" t="s">
        <v>4339</v>
      </c>
      <c r="AA656" t="s">
        <v>74</v>
      </c>
      <c r="AB656" t="s">
        <v>4341</v>
      </c>
      <c r="AC656" t="s">
        <v>10795</v>
      </c>
      <c r="AD656" t="s">
        <v>6003</v>
      </c>
      <c r="AE656" t="s">
        <v>10796</v>
      </c>
      <c r="AF656" t="s">
        <v>74</v>
      </c>
      <c r="AG656">
        <v>46</v>
      </c>
      <c r="AH656">
        <v>4</v>
      </c>
      <c r="AI656">
        <v>4</v>
      </c>
      <c r="AJ656">
        <v>15</v>
      </c>
      <c r="AK656">
        <v>35</v>
      </c>
      <c r="AL656" t="s">
        <v>138</v>
      </c>
      <c r="AM656" t="s">
        <v>139</v>
      </c>
      <c r="AN656" t="s">
        <v>140</v>
      </c>
      <c r="AO656" t="s">
        <v>141</v>
      </c>
      <c r="AP656" t="s">
        <v>142</v>
      </c>
      <c r="AQ656" t="s">
        <v>74</v>
      </c>
      <c r="AR656" t="s">
        <v>143</v>
      </c>
      <c r="AS656" t="s">
        <v>144</v>
      </c>
      <c r="AT656" t="s">
        <v>145</v>
      </c>
      <c r="AU656">
        <v>2023</v>
      </c>
      <c r="AV656">
        <v>240</v>
      </c>
      <c r="AW656" t="s">
        <v>74</v>
      </c>
      <c r="AX656" t="s">
        <v>74</v>
      </c>
      <c r="AY656" t="s">
        <v>74</v>
      </c>
      <c r="AZ656" t="s">
        <v>74</v>
      </c>
      <c r="BA656" t="s">
        <v>74</v>
      </c>
      <c r="BB656" t="s">
        <v>74</v>
      </c>
      <c r="BC656" t="s">
        <v>74</v>
      </c>
      <c r="BD656">
        <v>109537</v>
      </c>
      <c r="BE656" t="s">
        <v>10797</v>
      </c>
      <c r="BF656" t="str">
        <f>HYPERLINK("http://dx.doi.org/10.1016/j.ress.2023.109537","http://dx.doi.org/10.1016/j.ress.2023.109537")</f>
        <v>http://dx.doi.org/10.1016/j.ress.2023.109537</v>
      </c>
      <c r="BG656" t="s">
        <v>74</v>
      </c>
      <c r="BH656" t="s">
        <v>1488</v>
      </c>
      <c r="BI656">
        <v>11</v>
      </c>
      <c r="BJ656" t="s">
        <v>148</v>
      </c>
      <c r="BK656" t="s">
        <v>149</v>
      </c>
      <c r="BL656" t="s">
        <v>150</v>
      </c>
      <c r="BM656" t="s">
        <v>10798</v>
      </c>
      <c r="BN656" t="s">
        <v>74</v>
      </c>
      <c r="BO656" t="s">
        <v>74</v>
      </c>
      <c r="BP656" t="s">
        <v>74</v>
      </c>
      <c r="BQ656" t="s">
        <v>74</v>
      </c>
      <c r="BR656" t="s">
        <v>104</v>
      </c>
      <c r="BS656" t="s">
        <v>10799</v>
      </c>
      <c r="BT656" t="str">
        <f>HYPERLINK("https%3A%2F%2Fwww.webofscience.com%2Fwos%2Fwoscc%2Ffull-record%2FWOS:001059138500001","View Full Record in Web of Science")</f>
        <v>View Full Record in Web of Science</v>
      </c>
    </row>
    <row r="657" spans="1:72" x14ac:dyDescent="0.25">
      <c r="A657" t="s">
        <v>72</v>
      </c>
      <c r="B657" t="s">
        <v>10800</v>
      </c>
      <c r="C657" t="s">
        <v>74</v>
      </c>
      <c r="D657" t="s">
        <v>74</v>
      </c>
      <c r="E657" t="s">
        <v>74</v>
      </c>
      <c r="F657" t="s">
        <v>10801</v>
      </c>
      <c r="G657" t="s">
        <v>74</v>
      </c>
      <c r="H657" t="s">
        <v>74</v>
      </c>
      <c r="I657" t="s">
        <v>10802</v>
      </c>
      <c r="J657" t="s">
        <v>128</v>
      </c>
      <c r="K657" t="s">
        <v>74</v>
      </c>
      <c r="L657" t="s">
        <v>74</v>
      </c>
      <c r="M657" t="s">
        <v>78</v>
      </c>
      <c r="N657" t="s">
        <v>79</v>
      </c>
      <c r="O657" t="s">
        <v>74</v>
      </c>
      <c r="P657" t="s">
        <v>74</v>
      </c>
      <c r="Q657" t="s">
        <v>74</v>
      </c>
      <c r="R657" t="s">
        <v>74</v>
      </c>
      <c r="S657" t="s">
        <v>74</v>
      </c>
      <c r="T657" t="s">
        <v>10803</v>
      </c>
      <c r="U657" t="s">
        <v>10804</v>
      </c>
      <c r="V657" t="s">
        <v>10805</v>
      </c>
      <c r="W657" t="s">
        <v>10806</v>
      </c>
      <c r="X657" t="s">
        <v>10807</v>
      </c>
      <c r="Y657" t="s">
        <v>10808</v>
      </c>
      <c r="Z657" t="s">
        <v>10809</v>
      </c>
      <c r="AA657" t="s">
        <v>10810</v>
      </c>
      <c r="AB657" t="s">
        <v>10811</v>
      </c>
      <c r="AC657" t="s">
        <v>10812</v>
      </c>
      <c r="AD657" t="s">
        <v>10813</v>
      </c>
      <c r="AE657" t="s">
        <v>10814</v>
      </c>
      <c r="AF657" t="s">
        <v>74</v>
      </c>
      <c r="AG657">
        <v>48</v>
      </c>
      <c r="AH657">
        <v>0</v>
      </c>
      <c r="AI657">
        <v>0</v>
      </c>
      <c r="AJ657">
        <v>2</v>
      </c>
      <c r="AK657">
        <v>13</v>
      </c>
      <c r="AL657" t="s">
        <v>138</v>
      </c>
      <c r="AM657" t="s">
        <v>139</v>
      </c>
      <c r="AN657" t="s">
        <v>140</v>
      </c>
      <c r="AO657" t="s">
        <v>141</v>
      </c>
      <c r="AP657" t="s">
        <v>142</v>
      </c>
      <c r="AQ657" t="s">
        <v>74</v>
      </c>
      <c r="AR657" t="s">
        <v>143</v>
      </c>
      <c r="AS657" t="s">
        <v>144</v>
      </c>
      <c r="AT657" t="s">
        <v>533</v>
      </c>
      <c r="AU657">
        <v>2024</v>
      </c>
      <c r="AV657">
        <v>242</v>
      </c>
      <c r="AW657" t="s">
        <v>74</v>
      </c>
      <c r="AX657" t="s">
        <v>74</v>
      </c>
      <c r="AY657" t="s">
        <v>74</v>
      </c>
      <c r="AZ657" t="s">
        <v>74</v>
      </c>
      <c r="BA657" t="s">
        <v>74</v>
      </c>
      <c r="BB657" t="s">
        <v>74</v>
      </c>
      <c r="BC657" t="s">
        <v>74</v>
      </c>
      <c r="BD657">
        <v>109735</v>
      </c>
      <c r="BE657" t="s">
        <v>10815</v>
      </c>
      <c r="BF657" t="str">
        <f>HYPERLINK("http://dx.doi.org/10.1016/j.ress.2023.109735","http://dx.doi.org/10.1016/j.ress.2023.109735")</f>
        <v>http://dx.doi.org/10.1016/j.ress.2023.109735</v>
      </c>
      <c r="BG657" t="s">
        <v>74</v>
      </c>
      <c r="BH657" t="s">
        <v>846</v>
      </c>
      <c r="BI657">
        <v>13</v>
      </c>
      <c r="BJ657" t="s">
        <v>148</v>
      </c>
      <c r="BK657" t="s">
        <v>149</v>
      </c>
      <c r="BL657" t="s">
        <v>150</v>
      </c>
      <c r="BM657" t="s">
        <v>10816</v>
      </c>
      <c r="BN657" t="s">
        <v>74</v>
      </c>
      <c r="BO657" t="s">
        <v>123</v>
      </c>
      <c r="BP657" t="s">
        <v>74</v>
      </c>
      <c r="BQ657" t="s">
        <v>74</v>
      </c>
      <c r="BR657" t="s">
        <v>104</v>
      </c>
      <c r="BS657" t="s">
        <v>10817</v>
      </c>
      <c r="BT657" t="str">
        <f>HYPERLINK("https%3A%2F%2Fwww.webofscience.com%2Fwos%2Fwoscc%2Ffull-record%2FWOS:001102487100001","View Full Record in Web of Science")</f>
        <v>View Full Record in Web of Science</v>
      </c>
    </row>
    <row r="658" spans="1:72" x14ac:dyDescent="0.25">
      <c r="A658" t="s">
        <v>72</v>
      </c>
      <c r="B658" t="s">
        <v>10818</v>
      </c>
      <c r="C658" t="s">
        <v>74</v>
      </c>
      <c r="D658" t="s">
        <v>74</v>
      </c>
      <c r="E658" t="s">
        <v>74</v>
      </c>
      <c r="F658" t="s">
        <v>10819</v>
      </c>
      <c r="G658" t="s">
        <v>74</v>
      </c>
      <c r="H658" t="s">
        <v>74</v>
      </c>
      <c r="I658" t="s">
        <v>10820</v>
      </c>
      <c r="J658" t="s">
        <v>10821</v>
      </c>
      <c r="K658" t="s">
        <v>74</v>
      </c>
      <c r="L658" t="s">
        <v>74</v>
      </c>
      <c r="M658" t="s">
        <v>78</v>
      </c>
      <c r="N658" t="s">
        <v>79</v>
      </c>
      <c r="O658" t="s">
        <v>74</v>
      </c>
      <c r="P658" t="s">
        <v>74</v>
      </c>
      <c r="Q658" t="s">
        <v>74</v>
      </c>
      <c r="R658" t="s">
        <v>74</v>
      </c>
      <c r="S658" t="s">
        <v>74</v>
      </c>
      <c r="T658" t="s">
        <v>10822</v>
      </c>
      <c r="U658" t="s">
        <v>74</v>
      </c>
      <c r="V658" t="s">
        <v>10823</v>
      </c>
      <c r="W658" t="s">
        <v>10824</v>
      </c>
      <c r="X658" t="s">
        <v>10825</v>
      </c>
      <c r="Y658" t="s">
        <v>10826</v>
      </c>
      <c r="Z658" t="s">
        <v>10827</v>
      </c>
      <c r="AA658" t="s">
        <v>10828</v>
      </c>
      <c r="AB658" t="s">
        <v>74</v>
      </c>
      <c r="AC658" t="s">
        <v>74</v>
      </c>
      <c r="AD658" t="s">
        <v>74</v>
      </c>
      <c r="AE658" t="s">
        <v>74</v>
      </c>
      <c r="AF658" t="s">
        <v>74</v>
      </c>
      <c r="AG658">
        <v>42</v>
      </c>
      <c r="AH658">
        <v>0</v>
      </c>
      <c r="AI658">
        <v>0</v>
      </c>
      <c r="AJ658">
        <v>5</v>
      </c>
      <c r="AK658">
        <v>5</v>
      </c>
      <c r="AL658" t="s">
        <v>2421</v>
      </c>
      <c r="AM658" t="s">
        <v>3115</v>
      </c>
      <c r="AN658" t="s">
        <v>3116</v>
      </c>
      <c r="AO658" t="s">
        <v>74</v>
      </c>
      <c r="AP658" t="s">
        <v>10829</v>
      </c>
      <c r="AQ658" t="s">
        <v>74</v>
      </c>
      <c r="AR658" t="s">
        <v>10830</v>
      </c>
      <c r="AS658" t="s">
        <v>10831</v>
      </c>
      <c r="AT658" t="s">
        <v>10832</v>
      </c>
      <c r="AU658">
        <v>2024</v>
      </c>
      <c r="AV658">
        <v>6</v>
      </c>
      <c r="AW658">
        <v>10</v>
      </c>
      <c r="AX658" t="s">
        <v>74</v>
      </c>
      <c r="AY658" t="s">
        <v>74</v>
      </c>
      <c r="AZ658" t="s">
        <v>74</v>
      </c>
      <c r="BA658" t="s">
        <v>74</v>
      </c>
      <c r="BB658" t="s">
        <v>74</v>
      </c>
      <c r="BC658" t="s">
        <v>74</v>
      </c>
      <c r="BD658">
        <v>540</v>
      </c>
      <c r="BE658" t="s">
        <v>10833</v>
      </c>
      <c r="BF658" t="str">
        <f>HYPERLINK("http://dx.doi.org/10.1007/s42452-024-06250-0","http://dx.doi.org/10.1007/s42452-024-06250-0")</f>
        <v>http://dx.doi.org/10.1007/s42452-024-06250-0</v>
      </c>
      <c r="BG658" t="s">
        <v>74</v>
      </c>
      <c r="BH658" t="s">
        <v>74</v>
      </c>
      <c r="BI658">
        <v>19</v>
      </c>
      <c r="BJ658" t="s">
        <v>517</v>
      </c>
      <c r="BK658" t="s">
        <v>101</v>
      </c>
      <c r="BL658" t="s">
        <v>518</v>
      </c>
      <c r="BM658" t="s">
        <v>10834</v>
      </c>
      <c r="BN658" t="s">
        <v>74</v>
      </c>
      <c r="BO658" t="s">
        <v>208</v>
      </c>
      <c r="BP658" t="s">
        <v>74</v>
      </c>
      <c r="BQ658" t="s">
        <v>74</v>
      </c>
      <c r="BR658" t="s">
        <v>104</v>
      </c>
      <c r="BS658" t="s">
        <v>10835</v>
      </c>
      <c r="BT658" t="str">
        <f>HYPERLINK("https%3A%2F%2Fwww.webofscience.com%2Fwos%2Fwoscc%2Ffull-record%2FWOS:001337626600003","View Full Record in Web of Science")</f>
        <v>View Full Record in Web of Science</v>
      </c>
    </row>
    <row r="659" spans="1:72" x14ac:dyDescent="0.25">
      <c r="A659" t="s">
        <v>72</v>
      </c>
      <c r="B659" t="s">
        <v>10836</v>
      </c>
      <c r="C659" t="s">
        <v>74</v>
      </c>
      <c r="D659" t="s">
        <v>74</v>
      </c>
      <c r="E659" t="s">
        <v>74</v>
      </c>
      <c r="F659" t="s">
        <v>10837</v>
      </c>
      <c r="G659" t="s">
        <v>74</v>
      </c>
      <c r="H659" t="s">
        <v>74</v>
      </c>
      <c r="I659" t="s">
        <v>10838</v>
      </c>
      <c r="J659" t="s">
        <v>1932</v>
      </c>
      <c r="K659" t="s">
        <v>74</v>
      </c>
      <c r="L659" t="s">
        <v>74</v>
      </c>
      <c r="M659" t="s">
        <v>78</v>
      </c>
      <c r="N659" t="s">
        <v>79</v>
      </c>
      <c r="O659" t="s">
        <v>74</v>
      </c>
      <c r="P659" t="s">
        <v>74</v>
      </c>
      <c r="Q659" t="s">
        <v>74</v>
      </c>
      <c r="R659" t="s">
        <v>74</v>
      </c>
      <c r="S659" t="s">
        <v>74</v>
      </c>
      <c r="T659" t="s">
        <v>10839</v>
      </c>
      <c r="U659" t="s">
        <v>10840</v>
      </c>
      <c r="V659" t="s">
        <v>10841</v>
      </c>
      <c r="W659" t="s">
        <v>10842</v>
      </c>
      <c r="X659" t="s">
        <v>10843</v>
      </c>
      <c r="Y659" t="s">
        <v>10844</v>
      </c>
      <c r="Z659" t="s">
        <v>10845</v>
      </c>
      <c r="AA659" t="s">
        <v>10846</v>
      </c>
      <c r="AB659" t="s">
        <v>10847</v>
      </c>
      <c r="AC659" t="s">
        <v>10848</v>
      </c>
      <c r="AD659" t="s">
        <v>10849</v>
      </c>
      <c r="AE659" t="s">
        <v>10850</v>
      </c>
      <c r="AF659" t="s">
        <v>74</v>
      </c>
      <c r="AG659">
        <v>29</v>
      </c>
      <c r="AH659">
        <v>3</v>
      </c>
      <c r="AI659">
        <v>3</v>
      </c>
      <c r="AJ659">
        <v>18</v>
      </c>
      <c r="AK659">
        <v>26</v>
      </c>
      <c r="AL659" t="s">
        <v>311</v>
      </c>
      <c r="AM659" t="s">
        <v>312</v>
      </c>
      <c r="AN659" t="s">
        <v>313</v>
      </c>
      <c r="AO659" t="s">
        <v>1945</v>
      </c>
      <c r="AP659" t="s">
        <v>1946</v>
      </c>
      <c r="AQ659" t="s">
        <v>74</v>
      </c>
      <c r="AR659" t="s">
        <v>1947</v>
      </c>
      <c r="AS659" t="s">
        <v>1948</v>
      </c>
      <c r="AT659" t="s">
        <v>6182</v>
      </c>
      <c r="AU659">
        <v>2024</v>
      </c>
      <c r="AV659">
        <v>21</v>
      </c>
      <c r="AW659">
        <v>6</v>
      </c>
      <c r="AX659" t="s">
        <v>74</v>
      </c>
      <c r="AY659" t="s">
        <v>74</v>
      </c>
      <c r="AZ659" t="s">
        <v>74</v>
      </c>
      <c r="BA659" t="s">
        <v>74</v>
      </c>
      <c r="BB659">
        <v>1025</v>
      </c>
      <c r="BC659">
        <v>1041</v>
      </c>
      <c r="BD659" t="s">
        <v>74</v>
      </c>
      <c r="BE659" t="s">
        <v>10851</v>
      </c>
      <c r="BF659" t="str">
        <f>HYPERLINK("http://dx.doi.org/10.1080/16843703.2023.2283980","http://dx.doi.org/10.1080/16843703.2023.2283980")</f>
        <v>http://dx.doi.org/10.1080/16843703.2023.2283980</v>
      </c>
      <c r="BG659" t="s">
        <v>74</v>
      </c>
      <c r="BH659" t="s">
        <v>1111</v>
      </c>
      <c r="BI659">
        <v>17</v>
      </c>
      <c r="BJ659" t="s">
        <v>1951</v>
      </c>
      <c r="BK659" t="s">
        <v>149</v>
      </c>
      <c r="BL659" t="s">
        <v>1952</v>
      </c>
      <c r="BM659" t="s">
        <v>6184</v>
      </c>
      <c r="BN659" t="s">
        <v>74</v>
      </c>
      <c r="BO659" t="s">
        <v>74</v>
      </c>
      <c r="BP659" t="s">
        <v>74</v>
      </c>
      <c r="BQ659" t="s">
        <v>74</v>
      </c>
      <c r="BR659" t="s">
        <v>104</v>
      </c>
      <c r="BS659" t="s">
        <v>10852</v>
      </c>
      <c r="BT659" t="str">
        <f>HYPERLINK("https%3A%2F%2Fwww.webofscience.com%2Fwos%2Fwoscc%2Ffull-record%2FWOS:001105877300001","View Full Record in Web of Science")</f>
        <v>View Full Record in Web of Science</v>
      </c>
    </row>
    <row r="660" spans="1:72" x14ac:dyDescent="0.25">
      <c r="A660" t="s">
        <v>72</v>
      </c>
      <c r="B660" t="s">
        <v>10853</v>
      </c>
      <c r="C660" t="s">
        <v>74</v>
      </c>
      <c r="D660" t="s">
        <v>74</v>
      </c>
      <c r="E660" t="s">
        <v>74</v>
      </c>
      <c r="F660" t="s">
        <v>10854</v>
      </c>
      <c r="G660" t="s">
        <v>74</v>
      </c>
      <c r="H660" t="s">
        <v>74</v>
      </c>
      <c r="I660" t="s">
        <v>10855</v>
      </c>
      <c r="J660" t="s">
        <v>472</v>
      </c>
      <c r="K660" t="s">
        <v>74</v>
      </c>
      <c r="L660" t="s">
        <v>74</v>
      </c>
      <c r="M660" t="s">
        <v>78</v>
      </c>
      <c r="N660" t="s">
        <v>79</v>
      </c>
      <c r="O660" t="s">
        <v>74</v>
      </c>
      <c r="P660" t="s">
        <v>74</v>
      </c>
      <c r="Q660" t="s">
        <v>74</v>
      </c>
      <c r="R660" t="s">
        <v>74</v>
      </c>
      <c r="S660" t="s">
        <v>74</v>
      </c>
      <c r="T660" t="s">
        <v>10856</v>
      </c>
      <c r="U660" t="s">
        <v>10857</v>
      </c>
      <c r="V660" t="s">
        <v>10858</v>
      </c>
      <c r="W660" t="s">
        <v>10859</v>
      </c>
      <c r="X660" t="s">
        <v>10860</v>
      </c>
      <c r="Y660" t="s">
        <v>7372</v>
      </c>
      <c r="Z660" t="s">
        <v>7373</v>
      </c>
      <c r="AA660" t="s">
        <v>10861</v>
      </c>
      <c r="AB660" t="s">
        <v>10862</v>
      </c>
      <c r="AC660" t="s">
        <v>10863</v>
      </c>
      <c r="AD660" t="s">
        <v>10864</v>
      </c>
      <c r="AE660" t="s">
        <v>10865</v>
      </c>
      <c r="AF660" t="s">
        <v>74</v>
      </c>
      <c r="AG660">
        <v>39</v>
      </c>
      <c r="AH660">
        <v>2</v>
      </c>
      <c r="AI660">
        <v>2</v>
      </c>
      <c r="AJ660">
        <v>2</v>
      </c>
      <c r="AK660">
        <v>5</v>
      </c>
      <c r="AL660" t="s">
        <v>484</v>
      </c>
      <c r="AM660" t="s">
        <v>485</v>
      </c>
      <c r="AN660" t="s">
        <v>486</v>
      </c>
      <c r="AO660" t="s">
        <v>487</v>
      </c>
      <c r="AP660" t="s">
        <v>488</v>
      </c>
      <c r="AQ660" t="s">
        <v>74</v>
      </c>
      <c r="AR660" t="s">
        <v>489</v>
      </c>
      <c r="AS660" t="s">
        <v>490</v>
      </c>
      <c r="AT660" t="s">
        <v>491</v>
      </c>
      <c r="AU660">
        <v>2023</v>
      </c>
      <c r="AV660">
        <v>39</v>
      </c>
      <c r="AW660">
        <v>7</v>
      </c>
      <c r="AX660" t="s">
        <v>74</v>
      </c>
      <c r="AY660" t="s">
        <v>74</v>
      </c>
      <c r="AZ660" t="s">
        <v>74</v>
      </c>
      <c r="BA660" t="s">
        <v>74</v>
      </c>
      <c r="BB660">
        <v>2686</v>
      </c>
      <c r="BC660">
        <v>2705</v>
      </c>
      <c r="BD660" t="s">
        <v>74</v>
      </c>
      <c r="BE660" t="s">
        <v>10866</v>
      </c>
      <c r="BF660" t="str">
        <f>HYPERLINK("http://dx.doi.org/10.1002/qre.3379","http://dx.doi.org/10.1002/qre.3379")</f>
        <v>http://dx.doi.org/10.1002/qre.3379</v>
      </c>
      <c r="BG660" t="s">
        <v>74</v>
      </c>
      <c r="BH660" t="s">
        <v>2390</v>
      </c>
      <c r="BI660">
        <v>20</v>
      </c>
      <c r="BJ660" t="s">
        <v>494</v>
      </c>
      <c r="BK660" t="s">
        <v>149</v>
      </c>
      <c r="BL660" t="s">
        <v>150</v>
      </c>
      <c r="BM660" t="s">
        <v>6748</v>
      </c>
      <c r="BN660" t="s">
        <v>74</v>
      </c>
      <c r="BO660" t="s">
        <v>1578</v>
      </c>
      <c r="BP660" t="s">
        <v>74</v>
      </c>
      <c r="BQ660" t="s">
        <v>74</v>
      </c>
      <c r="BR660" t="s">
        <v>104</v>
      </c>
      <c r="BS660" t="s">
        <v>10867</v>
      </c>
      <c r="BT660" t="str">
        <f>HYPERLINK("https%3A%2F%2Fwww.webofscience.com%2Fwos%2Fwoscc%2Ffull-record%2FWOS:000992669400001","View Full Record in Web of Science")</f>
        <v>View Full Record in Web of Science</v>
      </c>
    </row>
    <row r="661" spans="1:72" x14ac:dyDescent="0.25">
      <c r="A661" t="s">
        <v>72</v>
      </c>
      <c r="B661" t="s">
        <v>10868</v>
      </c>
      <c r="C661" t="s">
        <v>74</v>
      </c>
      <c r="D661" t="s">
        <v>74</v>
      </c>
      <c r="E661" t="s">
        <v>74</v>
      </c>
      <c r="F661" t="s">
        <v>10869</v>
      </c>
      <c r="G661" t="s">
        <v>74</v>
      </c>
      <c r="H661" t="s">
        <v>74</v>
      </c>
      <c r="I661" t="s">
        <v>10870</v>
      </c>
      <c r="J661" t="s">
        <v>697</v>
      </c>
      <c r="K661" t="s">
        <v>74</v>
      </c>
      <c r="L661" t="s">
        <v>74</v>
      </c>
      <c r="M661" t="s">
        <v>78</v>
      </c>
      <c r="N661" t="s">
        <v>79</v>
      </c>
      <c r="O661" t="s">
        <v>74</v>
      </c>
      <c r="P661" t="s">
        <v>74</v>
      </c>
      <c r="Q661" t="s">
        <v>74</v>
      </c>
      <c r="R661" t="s">
        <v>74</v>
      </c>
      <c r="S661" t="s">
        <v>74</v>
      </c>
      <c r="T661" t="s">
        <v>10871</v>
      </c>
      <c r="U661" t="s">
        <v>10872</v>
      </c>
      <c r="V661" t="s">
        <v>10873</v>
      </c>
      <c r="W661" t="s">
        <v>10874</v>
      </c>
      <c r="X661" t="s">
        <v>10875</v>
      </c>
      <c r="Y661" t="s">
        <v>10876</v>
      </c>
      <c r="Z661" t="s">
        <v>10877</v>
      </c>
      <c r="AA661" t="s">
        <v>10878</v>
      </c>
      <c r="AB661" t="s">
        <v>74</v>
      </c>
      <c r="AC661" t="s">
        <v>10879</v>
      </c>
      <c r="AD661" t="s">
        <v>10880</v>
      </c>
      <c r="AE661" t="s">
        <v>10881</v>
      </c>
      <c r="AF661" t="s">
        <v>74</v>
      </c>
      <c r="AG661">
        <v>55</v>
      </c>
      <c r="AH661">
        <v>19</v>
      </c>
      <c r="AI661">
        <v>20</v>
      </c>
      <c r="AJ661">
        <v>2</v>
      </c>
      <c r="AK661">
        <v>29</v>
      </c>
      <c r="AL661" t="s">
        <v>707</v>
      </c>
      <c r="AM661" t="s">
        <v>246</v>
      </c>
      <c r="AN661" t="s">
        <v>708</v>
      </c>
      <c r="AO661" t="s">
        <v>709</v>
      </c>
      <c r="AP661" t="s">
        <v>710</v>
      </c>
      <c r="AQ661" t="s">
        <v>74</v>
      </c>
      <c r="AR661" t="s">
        <v>711</v>
      </c>
      <c r="AS661" t="s">
        <v>712</v>
      </c>
      <c r="AT661" t="s">
        <v>145</v>
      </c>
      <c r="AU661">
        <v>2021</v>
      </c>
      <c r="AV661">
        <v>162</v>
      </c>
      <c r="AW661" t="s">
        <v>74</v>
      </c>
      <c r="AX661" t="s">
        <v>74</v>
      </c>
      <c r="AY661" t="s">
        <v>74</v>
      </c>
      <c r="AZ661" t="s">
        <v>74</v>
      </c>
      <c r="BA661" t="s">
        <v>74</v>
      </c>
      <c r="BB661" t="s">
        <v>74</v>
      </c>
      <c r="BC661" t="s">
        <v>74</v>
      </c>
      <c r="BD661">
        <v>107692</v>
      </c>
      <c r="BE661" t="s">
        <v>10882</v>
      </c>
      <c r="BF661" t="str">
        <f>HYPERLINK("http://dx.doi.org/10.1016/j.cie.2021.107692","http://dx.doi.org/10.1016/j.cie.2021.107692")</f>
        <v>http://dx.doi.org/10.1016/j.cie.2021.107692</v>
      </c>
      <c r="BG661" t="s">
        <v>74</v>
      </c>
      <c r="BH661" t="s">
        <v>2089</v>
      </c>
      <c r="BI661">
        <v>16</v>
      </c>
      <c r="BJ661" t="s">
        <v>715</v>
      </c>
      <c r="BK661" t="s">
        <v>149</v>
      </c>
      <c r="BL661" t="s">
        <v>716</v>
      </c>
      <c r="BM661" t="s">
        <v>10883</v>
      </c>
      <c r="BN661" t="s">
        <v>74</v>
      </c>
      <c r="BO661" t="s">
        <v>74</v>
      </c>
      <c r="BP661" t="s">
        <v>74</v>
      </c>
      <c r="BQ661" t="s">
        <v>74</v>
      </c>
      <c r="BR661" t="s">
        <v>104</v>
      </c>
      <c r="BS661" t="s">
        <v>10884</v>
      </c>
      <c r="BT661" t="str">
        <f>HYPERLINK("https%3A%2F%2Fwww.webofscience.com%2Fwos%2Fwoscc%2Ffull-record%2FWOS:000757022700015","View Full Record in Web of Science")</f>
        <v>View Full Record in Web of Science</v>
      </c>
    </row>
    <row r="662" spans="1:72" x14ac:dyDescent="0.25">
      <c r="A662" t="s">
        <v>72</v>
      </c>
      <c r="B662" t="s">
        <v>10885</v>
      </c>
      <c r="C662" t="s">
        <v>74</v>
      </c>
      <c r="D662" t="s">
        <v>74</v>
      </c>
      <c r="E662" t="s">
        <v>74</v>
      </c>
      <c r="F662" t="s">
        <v>10886</v>
      </c>
      <c r="G662" t="s">
        <v>74</v>
      </c>
      <c r="H662" t="s">
        <v>74</v>
      </c>
      <c r="I662" t="s">
        <v>10887</v>
      </c>
      <c r="J662" t="s">
        <v>1557</v>
      </c>
      <c r="K662" t="s">
        <v>74</v>
      </c>
      <c r="L662" t="s">
        <v>74</v>
      </c>
      <c r="M662" t="s">
        <v>78</v>
      </c>
      <c r="N662" t="s">
        <v>79</v>
      </c>
      <c r="O662" t="s">
        <v>74</v>
      </c>
      <c r="P662" t="s">
        <v>74</v>
      </c>
      <c r="Q662" t="s">
        <v>74</v>
      </c>
      <c r="R662" t="s">
        <v>74</v>
      </c>
      <c r="S662" t="s">
        <v>74</v>
      </c>
      <c r="T662" t="s">
        <v>10888</v>
      </c>
      <c r="U662" t="s">
        <v>10889</v>
      </c>
      <c r="V662" t="s">
        <v>10890</v>
      </c>
      <c r="W662" t="s">
        <v>10891</v>
      </c>
      <c r="X662" t="s">
        <v>10892</v>
      </c>
      <c r="Y662" t="s">
        <v>10893</v>
      </c>
      <c r="Z662" t="s">
        <v>10894</v>
      </c>
      <c r="AA662" t="s">
        <v>10895</v>
      </c>
      <c r="AB662" t="s">
        <v>74</v>
      </c>
      <c r="AC662" t="s">
        <v>10896</v>
      </c>
      <c r="AD662" t="s">
        <v>10897</v>
      </c>
      <c r="AE662" t="s">
        <v>10898</v>
      </c>
      <c r="AF662" t="s">
        <v>74</v>
      </c>
      <c r="AG662">
        <v>62</v>
      </c>
      <c r="AH662">
        <v>17</v>
      </c>
      <c r="AI662">
        <v>17</v>
      </c>
      <c r="AJ662">
        <v>3</v>
      </c>
      <c r="AK662">
        <v>24</v>
      </c>
      <c r="AL662" t="s">
        <v>707</v>
      </c>
      <c r="AM662" t="s">
        <v>246</v>
      </c>
      <c r="AN662" t="s">
        <v>708</v>
      </c>
      <c r="AO662" t="s">
        <v>1569</v>
      </c>
      <c r="AP662" t="s">
        <v>1570</v>
      </c>
      <c r="AQ662" t="s">
        <v>74</v>
      </c>
      <c r="AR662" t="s">
        <v>1571</v>
      </c>
      <c r="AS662" t="s">
        <v>1572</v>
      </c>
      <c r="AT662" t="s">
        <v>318</v>
      </c>
      <c r="AU662">
        <v>2021</v>
      </c>
      <c r="AV662">
        <v>184</v>
      </c>
      <c r="AW662" t="s">
        <v>74</v>
      </c>
      <c r="AX662" t="s">
        <v>74</v>
      </c>
      <c r="AY662" t="s">
        <v>74</v>
      </c>
      <c r="AZ662" t="s">
        <v>74</v>
      </c>
      <c r="BA662" t="s">
        <v>74</v>
      </c>
      <c r="BB662" t="s">
        <v>74</v>
      </c>
      <c r="BC662" t="s">
        <v>74</v>
      </c>
      <c r="BD662">
        <v>115494</v>
      </c>
      <c r="BE662" t="s">
        <v>10899</v>
      </c>
      <c r="BF662" t="str">
        <f>HYPERLINK("http://dx.doi.org/10.1016/j.eswa.2021.115494","http://dx.doi.org/10.1016/j.eswa.2021.115494")</f>
        <v>http://dx.doi.org/10.1016/j.eswa.2021.115494</v>
      </c>
      <c r="BG662" t="s">
        <v>74</v>
      </c>
      <c r="BH662" t="s">
        <v>1059</v>
      </c>
      <c r="BI662">
        <v>14</v>
      </c>
      <c r="BJ662" t="s">
        <v>1575</v>
      </c>
      <c r="BK662" t="s">
        <v>149</v>
      </c>
      <c r="BL662" t="s">
        <v>1576</v>
      </c>
      <c r="BM662" t="s">
        <v>10900</v>
      </c>
      <c r="BN662" t="s">
        <v>74</v>
      </c>
      <c r="BO662" t="s">
        <v>74</v>
      </c>
      <c r="BP662" t="s">
        <v>74</v>
      </c>
      <c r="BQ662" t="s">
        <v>74</v>
      </c>
      <c r="BR662" t="s">
        <v>104</v>
      </c>
      <c r="BS662" t="s">
        <v>10901</v>
      </c>
      <c r="BT662" t="str">
        <f>HYPERLINK("https%3A%2F%2Fwww.webofscience.com%2Fwos%2Fwoscc%2Ffull-record%2FWOS:000697001800017","View Full Record in Web of Science")</f>
        <v>View Full Record in Web of Science</v>
      </c>
    </row>
    <row r="663" spans="1:72" x14ac:dyDescent="0.25">
      <c r="A663" t="s">
        <v>72</v>
      </c>
      <c r="B663" t="s">
        <v>10902</v>
      </c>
      <c r="C663" t="s">
        <v>74</v>
      </c>
      <c r="D663" t="s">
        <v>74</v>
      </c>
      <c r="E663" t="s">
        <v>74</v>
      </c>
      <c r="F663" t="s">
        <v>10903</v>
      </c>
      <c r="G663" t="s">
        <v>74</v>
      </c>
      <c r="H663" t="s">
        <v>74</v>
      </c>
      <c r="I663" t="s">
        <v>10904</v>
      </c>
      <c r="J663" t="s">
        <v>1402</v>
      </c>
      <c r="K663" t="s">
        <v>74</v>
      </c>
      <c r="L663" t="s">
        <v>74</v>
      </c>
      <c r="M663" t="s">
        <v>78</v>
      </c>
      <c r="N663" t="s">
        <v>79</v>
      </c>
      <c r="O663" t="s">
        <v>74</v>
      </c>
      <c r="P663" t="s">
        <v>74</v>
      </c>
      <c r="Q663" t="s">
        <v>74</v>
      </c>
      <c r="R663" t="s">
        <v>74</v>
      </c>
      <c r="S663" t="s">
        <v>74</v>
      </c>
      <c r="T663" t="s">
        <v>10905</v>
      </c>
      <c r="U663" t="s">
        <v>10906</v>
      </c>
      <c r="V663" t="s">
        <v>10907</v>
      </c>
      <c r="W663" t="s">
        <v>10908</v>
      </c>
      <c r="X663" t="s">
        <v>10909</v>
      </c>
      <c r="Y663" t="s">
        <v>10910</v>
      </c>
      <c r="Z663" t="s">
        <v>10911</v>
      </c>
      <c r="AA663" t="s">
        <v>74</v>
      </c>
      <c r="AB663" t="s">
        <v>10912</v>
      </c>
      <c r="AC663" t="s">
        <v>74</v>
      </c>
      <c r="AD663" t="s">
        <v>74</v>
      </c>
      <c r="AE663" t="s">
        <v>74</v>
      </c>
      <c r="AF663" t="s">
        <v>74</v>
      </c>
      <c r="AG663">
        <v>22</v>
      </c>
      <c r="AH663">
        <v>6</v>
      </c>
      <c r="AI663">
        <v>6</v>
      </c>
      <c r="AJ663">
        <v>2</v>
      </c>
      <c r="AK663">
        <v>24</v>
      </c>
      <c r="AL663" t="s">
        <v>1415</v>
      </c>
      <c r="AM663" t="s">
        <v>1416</v>
      </c>
      <c r="AN663" t="s">
        <v>1417</v>
      </c>
      <c r="AO663" t="s">
        <v>1418</v>
      </c>
      <c r="AP663" t="s">
        <v>1419</v>
      </c>
      <c r="AQ663" t="s">
        <v>74</v>
      </c>
      <c r="AR663" t="s">
        <v>1420</v>
      </c>
      <c r="AS663" t="s">
        <v>1421</v>
      </c>
      <c r="AT663" t="s">
        <v>1422</v>
      </c>
      <c r="AU663">
        <v>2020</v>
      </c>
      <c r="AV663">
        <v>53</v>
      </c>
      <c r="AW663">
        <v>2</v>
      </c>
      <c r="AX663" t="s">
        <v>74</v>
      </c>
      <c r="AY663" t="s">
        <v>74</v>
      </c>
      <c r="AZ663" t="s">
        <v>74</v>
      </c>
      <c r="BA663" t="s">
        <v>74</v>
      </c>
      <c r="BB663">
        <v>246</v>
      </c>
      <c r="BC663">
        <v>271</v>
      </c>
      <c r="BD663" t="s">
        <v>74</v>
      </c>
      <c r="BE663" t="s">
        <v>10913</v>
      </c>
      <c r="BF663" t="str">
        <f>HYPERLINK("http://dx.doi.org/10.1080/24725854.2020.1793035","http://dx.doi.org/10.1080/24725854.2020.1793035")</f>
        <v>http://dx.doi.org/10.1080/24725854.2020.1793035</v>
      </c>
      <c r="BG663" t="s">
        <v>74</v>
      </c>
      <c r="BH663" t="s">
        <v>1651</v>
      </c>
      <c r="BI663">
        <v>26</v>
      </c>
      <c r="BJ663" t="s">
        <v>148</v>
      </c>
      <c r="BK663" t="s">
        <v>149</v>
      </c>
      <c r="BL663" t="s">
        <v>150</v>
      </c>
      <c r="BM663" t="s">
        <v>10914</v>
      </c>
      <c r="BN663" t="s">
        <v>74</v>
      </c>
      <c r="BO663" t="s">
        <v>74</v>
      </c>
      <c r="BP663" t="s">
        <v>74</v>
      </c>
      <c r="BQ663" t="s">
        <v>74</v>
      </c>
      <c r="BR663" t="s">
        <v>104</v>
      </c>
      <c r="BS663" t="s">
        <v>10915</v>
      </c>
      <c r="BT663" t="str">
        <f>HYPERLINK("https%3A%2F%2Fwww.webofscience.com%2Fwos%2Fwoscc%2Ffull-record%2FWOS:000568378100001","View Full Record in Web of Science")</f>
        <v>View Full Record in Web of Science</v>
      </c>
    </row>
    <row r="664" spans="1:72" x14ac:dyDescent="0.25">
      <c r="A664" t="s">
        <v>72</v>
      </c>
      <c r="B664" t="s">
        <v>10916</v>
      </c>
      <c r="C664" t="s">
        <v>74</v>
      </c>
      <c r="D664" t="s">
        <v>74</v>
      </c>
      <c r="E664" t="s">
        <v>74</v>
      </c>
      <c r="F664" t="s">
        <v>10917</v>
      </c>
      <c r="G664" t="s">
        <v>74</v>
      </c>
      <c r="H664" t="s">
        <v>74</v>
      </c>
      <c r="I664" t="s">
        <v>10918</v>
      </c>
      <c r="J664" t="s">
        <v>128</v>
      </c>
      <c r="K664" t="s">
        <v>74</v>
      </c>
      <c r="L664" t="s">
        <v>74</v>
      </c>
      <c r="M664" t="s">
        <v>78</v>
      </c>
      <c r="N664" t="s">
        <v>79</v>
      </c>
      <c r="O664" t="s">
        <v>74</v>
      </c>
      <c r="P664" t="s">
        <v>74</v>
      </c>
      <c r="Q664" t="s">
        <v>74</v>
      </c>
      <c r="R664" t="s">
        <v>74</v>
      </c>
      <c r="S664" t="s">
        <v>74</v>
      </c>
      <c r="T664" t="s">
        <v>10919</v>
      </c>
      <c r="U664" t="s">
        <v>10920</v>
      </c>
      <c r="V664" t="s">
        <v>10921</v>
      </c>
      <c r="W664" t="s">
        <v>10922</v>
      </c>
      <c r="X664" t="s">
        <v>10923</v>
      </c>
      <c r="Y664" t="s">
        <v>10924</v>
      </c>
      <c r="Z664" t="s">
        <v>10925</v>
      </c>
      <c r="AA664" t="s">
        <v>7299</v>
      </c>
      <c r="AB664" t="s">
        <v>10926</v>
      </c>
      <c r="AC664" t="s">
        <v>74</v>
      </c>
      <c r="AD664" t="s">
        <v>74</v>
      </c>
      <c r="AE664" t="s">
        <v>74</v>
      </c>
      <c r="AF664" t="s">
        <v>74</v>
      </c>
      <c r="AG664">
        <v>24</v>
      </c>
      <c r="AH664">
        <v>14</v>
      </c>
      <c r="AI664">
        <v>14</v>
      </c>
      <c r="AJ664">
        <v>1</v>
      </c>
      <c r="AK664">
        <v>23</v>
      </c>
      <c r="AL664" t="s">
        <v>138</v>
      </c>
      <c r="AM664" t="s">
        <v>246</v>
      </c>
      <c r="AN664" t="s">
        <v>247</v>
      </c>
      <c r="AO664" t="s">
        <v>141</v>
      </c>
      <c r="AP664" t="s">
        <v>142</v>
      </c>
      <c r="AQ664" t="s">
        <v>74</v>
      </c>
      <c r="AR664" t="s">
        <v>143</v>
      </c>
      <c r="AS664" t="s">
        <v>144</v>
      </c>
      <c r="AT664" t="s">
        <v>248</v>
      </c>
      <c r="AU664">
        <v>2020</v>
      </c>
      <c r="AV664">
        <v>199</v>
      </c>
      <c r="AW664" t="s">
        <v>74</v>
      </c>
      <c r="AX664" t="s">
        <v>74</v>
      </c>
      <c r="AY664" t="s">
        <v>74</v>
      </c>
      <c r="AZ664" t="s">
        <v>74</v>
      </c>
      <c r="BA664" t="s">
        <v>74</v>
      </c>
      <c r="BB664" t="s">
        <v>74</v>
      </c>
      <c r="BC664" t="s">
        <v>74</v>
      </c>
      <c r="BD664">
        <v>105905</v>
      </c>
      <c r="BE664" t="s">
        <v>10927</v>
      </c>
      <c r="BF664" t="str">
        <f>HYPERLINK("http://dx.doi.org/10.1016/j.ress.2017.07.008","http://dx.doi.org/10.1016/j.ress.2017.07.008")</f>
        <v>http://dx.doi.org/10.1016/j.ress.2017.07.008</v>
      </c>
      <c r="BG664" t="s">
        <v>74</v>
      </c>
      <c r="BH664" t="s">
        <v>74</v>
      </c>
      <c r="BI664">
        <v>8</v>
      </c>
      <c r="BJ664" t="s">
        <v>148</v>
      </c>
      <c r="BK664" t="s">
        <v>149</v>
      </c>
      <c r="BL664" t="s">
        <v>150</v>
      </c>
      <c r="BM664" t="s">
        <v>8300</v>
      </c>
      <c r="BN664" t="s">
        <v>74</v>
      </c>
      <c r="BO664" t="s">
        <v>74</v>
      </c>
      <c r="BP664" t="s">
        <v>74</v>
      </c>
      <c r="BQ664" t="s">
        <v>74</v>
      </c>
      <c r="BR664" t="s">
        <v>104</v>
      </c>
      <c r="BS664" t="s">
        <v>10928</v>
      </c>
      <c r="BT664" t="str">
        <f>HYPERLINK("https%3A%2F%2Fwww.webofscience.com%2Fwos%2Fwoscc%2Ffull-record%2FWOS:000534159800030","View Full Record in Web of Science")</f>
        <v>View Full Record in Web of Science</v>
      </c>
    </row>
    <row r="665" spans="1:72" x14ac:dyDescent="0.25">
      <c r="A665" t="s">
        <v>72</v>
      </c>
      <c r="B665" t="s">
        <v>10929</v>
      </c>
      <c r="C665" t="s">
        <v>74</v>
      </c>
      <c r="D665" t="s">
        <v>74</v>
      </c>
      <c r="E665" t="s">
        <v>74</v>
      </c>
      <c r="F665" t="s">
        <v>10930</v>
      </c>
      <c r="G665" t="s">
        <v>74</v>
      </c>
      <c r="H665" t="s">
        <v>74</v>
      </c>
      <c r="I665" t="s">
        <v>10931</v>
      </c>
      <c r="J665" t="s">
        <v>128</v>
      </c>
      <c r="K665" t="s">
        <v>74</v>
      </c>
      <c r="L665" t="s">
        <v>74</v>
      </c>
      <c r="M665" t="s">
        <v>78</v>
      </c>
      <c r="N665" t="s">
        <v>79</v>
      </c>
      <c r="O665" t="s">
        <v>74</v>
      </c>
      <c r="P665" t="s">
        <v>74</v>
      </c>
      <c r="Q665" t="s">
        <v>74</v>
      </c>
      <c r="R665" t="s">
        <v>74</v>
      </c>
      <c r="S665" t="s">
        <v>74</v>
      </c>
      <c r="T665" t="s">
        <v>10932</v>
      </c>
      <c r="U665" t="s">
        <v>10933</v>
      </c>
      <c r="V665" t="s">
        <v>10934</v>
      </c>
      <c r="W665" t="s">
        <v>10935</v>
      </c>
      <c r="X665" t="s">
        <v>5044</v>
      </c>
      <c r="Y665" t="s">
        <v>10936</v>
      </c>
      <c r="Z665" t="s">
        <v>10937</v>
      </c>
      <c r="AA665" t="s">
        <v>9355</v>
      </c>
      <c r="AB665" t="s">
        <v>74</v>
      </c>
      <c r="AC665" t="s">
        <v>10938</v>
      </c>
      <c r="AD665" t="s">
        <v>10939</v>
      </c>
      <c r="AE665" t="s">
        <v>10940</v>
      </c>
      <c r="AF665" t="s">
        <v>74</v>
      </c>
      <c r="AG665">
        <v>29</v>
      </c>
      <c r="AH665">
        <v>18</v>
      </c>
      <c r="AI665">
        <v>19</v>
      </c>
      <c r="AJ665">
        <v>2</v>
      </c>
      <c r="AK665">
        <v>42</v>
      </c>
      <c r="AL665" t="s">
        <v>138</v>
      </c>
      <c r="AM665" t="s">
        <v>246</v>
      </c>
      <c r="AN665" t="s">
        <v>247</v>
      </c>
      <c r="AO665" t="s">
        <v>141</v>
      </c>
      <c r="AP665" t="s">
        <v>142</v>
      </c>
      <c r="AQ665" t="s">
        <v>74</v>
      </c>
      <c r="AR665" t="s">
        <v>143</v>
      </c>
      <c r="AS665" t="s">
        <v>144</v>
      </c>
      <c r="AT665" t="s">
        <v>491</v>
      </c>
      <c r="AU665">
        <v>2019</v>
      </c>
      <c r="AV665">
        <v>191</v>
      </c>
      <c r="AW665" t="s">
        <v>74</v>
      </c>
      <c r="AX665" t="s">
        <v>74</v>
      </c>
      <c r="AY665" t="s">
        <v>74</v>
      </c>
      <c r="AZ665" t="s">
        <v>74</v>
      </c>
      <c r="BA665" t="s">
        <v>74</v>
      </c>
      <c r="BB665" t="s">
        <v>74</v>
      </c>
      <c r="BC665" t="s">
        <v>74</v>
      </c>
      <c r="BD665">
        <v>106572</v>
      </c>
      <c r="BE665" t="s">
        <v>10941</v>
      </c>
      <c r="BF665" t="str">
        <f>HYPERLINK("http://dx.doi.org/10.1016/j.ress.2019.106572","http://dx.doi.org/10.1016/j.ress.2019.106572")</f>
        <v>http://dx.doi.org/10.1016/j.ress.2019.106572</v>
      </c>
      <c r="BG665" t="s">
        <v>74</v>
      </c>
      <c r="BH665" t="s">
        <v>74</v>
      </c>
      <c r="BI665">
        <v>10</v>
      </c>
      <c r="BJ665" t="s">
        <v>148</v>
      </c>
      <c r="BK665" t="s">
        <v>149</v>
      </c>
      <c r="BL665" t="s">
        <v>150</v>
      </c>
      <c r="BM665" t="s">
        <v>3322</v>
      </c>
      <c r="BN665" t="s">
        <v>74</v>
      </c>
      <c r="BO665" t="s">
        <v>74</v>
      </c>
      <c r="BP665" t="s">
        <v>74</v>
      </c>
      <c r="BQ665" t="s">
        <v>74</v>
      </c>
      <c r="BR665" t="s">
        <v>104</v>
      </c>
      <c r="BS665" t="s">
        <v>10942</v>
      </c>
      <c r="BT665" t="str">
        <f>HYPERLINK("https%3A%2F%2Fwww.webofscience.com%2Fwos%2Fwoscc%2Ffull-record%2FWOS:000491685000041","View Full Record in Web of Science")</f>
        <v>View Full Record in Web of Science</v>
      </c>
    </row>
    <row r="666" spans="1:72" x14ac:dyDescent="0.25">
      <c r="A666" t="s">
        <v>72</v>
      </c>
      <c r="B666" t="s">
        <v>10943</v>
      </c>
      <c r="C666" t="s">
        <v>74</v>
      </c>
      <c r="D666" t="s">
        <v>74</v>
      </c>
      <c r="E666" t="s">
        <v>74</v>
      </c>
      <c r="F666" t="s">
        <v>10944</v>
      </c>
      <c r="G666" t="s">
        <v>74</v>
      </c>
      <c r="H666" t="s">
        <v>74</v>
      </c>
      <c r="I666" t="s">
        <v>10945</v>
      </c>
      <c r="J666" t="s">
        <v>128</v>
      </c>
      <c r="K666" t="s">
        <v>74</v>
      </c>
      <c r="L666" t="s">
        <v>74</v>
      </c>
      <c r="M666" t="s">
        <v>78</v>
      </c>
      <c r="N666" t="s">
        <v>79</v>
      </c>
      <c r="O666" t="s">
        <v>74</v>
      </c>
      <c r="P666" t="s">
        <v>74</v>
      </c>
      <c r="Q666" t="s">
        <v>74</v>
      </c>
      <c r="R666" t="s">
        <v>74</v>
      </c>
      <c r="S666" t="s">
        <v>74</v>
      </c>
      <c r="T666" t="s">
        <v>10946</v>
      </c>
      <c r="U666" t="s">
        <v>10947</v>
      </c>
      <c r="V666" t="s">
        <v>10948</v>
      </c>
      <c r="W666" t="s">
        <v>10949</v>
      </c>
      <c r="X666" t="s">
        <v>10950</v>
      </c>
      <c r="Y666" t="s">
        <v>10951</v>
      </c>
      <c r="Z666" t="s">
        <v>10952</v>
      </c>
      <c r="AA666" t="s">
        <v>10953</v>
      </c>
      <c r="AB666" t="s">
        <v>10954</v>
      </c>
      <c r="AC666" t="s">
        <v>10955</v>
      </c>
      <c r="AD666" t="s">
        <v>10956</v>
      </c>
      <c r="AE666" t="s">
        <v>10957</v>
      </c>
      <c r="AF666" t="s">
        <v>74</v>
      </c>
      <c r="AG666">
        <v>64</v>
      </c>
      <c r="AH666">
        <v>25</v>
      </c>
      <c r="AI666">
        <v>26</v>
      </c>
      <c r="AJ666">
        <v>5</v>
      </c>
      <c r="AK666">
        <v>39</v>
      </c>
      <c r="AL666" t="s">
        <v>138</v>
      </c>
      <c r="AM666" t="s">
        <v>246</v>
      </c>
      <c r="AN666" t="s">
        <v>247</v>
      </c>
      <c r="AO666" t="s">
        <v>141</v>
      </c>
      <c r="AP666" t="s">
        <v>142</v>
      </c>
      <c r="AQ666" t="s">
        <v>74</v>
      </c>
      <c r="AR666" t="s">
        <v>143</v>
      </c>
      <c r="AS666" t="s">
        <v>144</v>
      </c>
      <c r="AT666" t="s">
        <v>1008</v>
      </c>
      <c r="AU666">
        <v>2022</v>
      </c>
      <c r="AV666">
        <v>217</v>
      </c>
      <c r="AW666" t="s">
        <v>74</v>
      </c>
      <c r="AX666" t="s">
        <v>74</v>
      </c>
      <c r="AY666" t="s">
        <v>74</v>
      </c>
      <c r="AZ666" t="s">
        <v>74</v>
      </c>
      <c r="BA666" t="s">
        <v>74</v>
      </c>
      <c r="BB666" t="s">
        <v>74</v>
      </c>
      <c r="BC666" t="s">
        <v>74</v>
      </c>
      <c r="BD666">
        <v>108034</v>
      </c>
      <c r="BE666" t="s">
        <v>10958</v>
      </c>
      <c r="BF666" t="str">
        <f>HYPERLINK("http://dx.doi.org/10.1016/j.ress.2021.108034","http://dx.doi.org/10.1016/j.ress.2021.108034")</f>
        <v>http://dx.doi.org/10.1016/j.ress.2021.108034</v>
      </c>
      <c r="BG666" t="s">
        <v>74</v>
      </c>
      <c r="BH666" t="s">
        <v>2089</v>
      </c>
      <c r="BI666">
        <v>12</v>
      </c>
      <c r="BJ666" t="s">
        <v>148</v>
      </c>
      <c r="BK666" t="s">
        <v>149</v>
      </c>
      <c r="BL666" t="s">
        <v>150</v>
      </c>
      <c r="BM666" t="s">
        <v>4346</v>
      </c>
      <c r="BN666" t="s">
        <v>74</v>
      </c>
      <c r="BO666" t="s">
        <v>1578</v>
      </c>
      <c r="BP666" t="s">
        <v>74</v>
      </c>
      <c r="BQ666" t="s">
        <v>74</v>
      </c>
      <c r="BR666" t="s">
        <v>104</v>
      </c>
      <c r="BS666" t="s">
        <v>10959</v>
      </c>
      <c r="BT666" t="str">
        <f>HYPERLINK("https%3A%2F%2Fwww.webofscience.com%2Fwos%2Fwoscc%2Ffull-record%2FWOS:000702360100010","View Full Record in Web of Science")</f>
        <v>View Full Record in Web of Science</v>
      </c>
    </row>
    <row r="667" spans="1:72" x14ac:dyDescent="0.25">
      <c r="A667" t="s">
        <v>72</v>
      </c>
      <c r="B667" t="s">
        <v>10960</v>
      </c>
      <c r="C667" t="s">
        <v>74</v>
      </c>
      <c r="D667" t="s">
        <v>74</v>
      </c>
      <c r="E667" t="s">
        <v>74</v>
      </c>
      <c r="F667" t="s">
        <v>10961</v>
      </c>
      <c r="G667" t="s">
        <v>74</v>
      </c>
      <c r="H667" t="s">
        <v>74</v>
      </c>
      <c r="I667" t="s">
        <v>10962</v>
      </c>
      <c r="J667" t="s">
        <v>128</v>
      </c>
      <c r="K667" t="s">
        <v>74</v>
      </c>
      <c r="L667" t="s">
        <v>74</v>
      </c>
      <c r="M667" t="s">
        <v>78</v>
      </c>
      <c r="N667" t="s">
        <v>79</v>
      </c>
      <c r="O667" t="s">
        <v>74</v>
      </c>
      <c r="P667" t="s">
        <v>74</v>
      </c>
      <c r="Q667" t="s">
        <v>74</v>
      </c>
      <c r="R667" t="s">
        <v>74</v>
      </c>
      <c r="S667" t="s">
        <v>74</v>
      </c>
      <c r="T667" t="s">
        <v>10963</v>
      </c>
      <c r="U667" t="s">
        <v>10964</v>
      </c>
      <c r="V667" t="s">
        <v>10965</v>
      </c>
      <c r="W667" t="s">
        <v>10966</v>
      </c>
      <c r="X667" t="s">
        <v>10967</v>
      </c>
      <c r="Y667" t="s">
        <v>10968</v>
      </c>
      <c r="Z667" t="s">
        <v>10969</v>
      </c>
      <c r="AA667" t="s">
        <v>10970</v>
      </c>
      <c r="AB667" t="s">
        <v>10971</v>
      </c>
      <c r="AC667" t="s">
        <v>10972</v>
      </c>
      <c r="AD667" t="s">
        <v>10973</v>
      </c>
      <c r="AE667" t="s">
        <v>10974</v>
      </c>
      <c r="AF667" t="s">
        <v>74</v>
      </c>
      <c r="AG667">
        <v>39</v>
      </c>
      <c r="AH667">
        <v>28</v>
      </c>
      <c r="AI667">
        <v>33</v>
      </c>
      <c r="AJ667">
        <v>4</v>
      </c>
      <c r="AK667">
        <v>43</v>
      </c>
      <c r="AL667" t="s">
        <v>138</v>
      </c>
      <c r="AM667" t="s">
        <v>246</v>
      </c>
      <c r="AN667" t="s">
        <v>247</v>
      </c>
      <c r="AO667" t="s">
        <v>141</v>
      </c>
      <c r="AP667" t="s">
        <v>142</v>
      </c>
      <c r="AQ667" t="s">
        <v>74</v>
      </c>
      <c r="AR667" t="s">
        <v>143</v>
      </c>
      <c r="AS667" t="s">
        <v>144</v>
      </c>
      <c r="AT667" t="s">
        <v>491</v>
      </c>
      <c r="AU667">
        <v>2019</v>
      </c>
      <c r="AV667">
        <v>191</v>
      </c>
      <c r="AW667" t="s">
        <v>74</v>
      </c>
      <c r="AX667" t="s">
        <v>74</v>
      </c>
      <c r="AY667" t="s">
        <v>74</v>
      </c>
      <c r="AZ667" t="s">
        <v>74</v>
      </c>
      <c r="BA667" t="s">
        <v>74</v>
      </c>
      <c r="BB667" t="s">
        <v>74</v>
      </c>
      <c r="BC667" t="s">
        <v>74</v>
      </c>
      <c r="BD667">
        <v>106578</v>
      </c>
      <c r="BE667" t="s">
        <v>10975</v>
      </c>
      <c r="BF667" t="str">
        <f>HYPERLINK("http://dx.doi.org/10.1016/j.ress.2019.106578","http://dx.doi.org/10.1016/j.ress.2019.106578")</f>
        <v>http://dx.doi.org/10.1016/j.ress.2019.106578</v>
      </c>
      <c r="BG667" t="s">
        <v>74</v>
      </c>
      <c r="BH667" t="s">
        <v>74</v>
      </c>
      <c r="BI667">
        <v>11</v>
      </c>
      <c r="BJ667" t="s">
        <v>148</v>
      </c>
      <c r="BK667" t="s">
        <v>149</v>
      </c>
      <c r="BL667" t="s">
        <v>150</v>
      </c>
      <c r="BM667" t="s">
        <v>3322</v>
      </c>
      <c r="BN667" t="s">
        <v>74</v>
      </c>
      <c r="BO667" t="s">
        <v>74</v>
      </c>
      <c r="BP667" t="s">
        <v>74</v>
      </c>
      <c r="BQ667" t="s">
        <v>74</v>
      </c>
      <c r="BR667" t="s">
        <v>104</v>
      </c>
      <c r="BS667" t="s">
        <v>10976</v>
      </c>
      <c r="BT667" t="str">
        <f>HYPERLINK("https%3A%2F%2Fwww.webofscience.com%2Fwos%2Fwoscc%2Ffull-record%2FWOS:000491685000054","View Full Record in Web of Science")</f>
        <v>View Full Record in Web of Science</v>
      </c>
    </row>
    <row r="668" spans="1:72" x14ac:dyDescent="0.25">
      <c r="A668" t="s">
        <v>72</v>
      </c>
      <c r="B668" t="s">
        <v>10977</v>
      </c>
      <c r="C668" t="s">
        <v>74</v>
      </c>
      <c r="D668" t="s">
        <v>74</v>
      </c>
      <c r="E668" t="s">
        <v>74</v>
      </c>
      <c r="F668" t="s">
        <v>10978</v>
      </c>
      <c r="G668" t="s">
        <v>74</v>
      </c>
      <c r="H668" t="s">
        <v>74</v>
      </c>
      <c r="I668" t="s">
        <v>10979</v>
      </c>
      <c r="J668" t="s">
        <v>1402</v>
      </c>
      <c r="K668" t="s">
        <v>74</v>
      </c>
      <c r="L668" t="s">
        <v>74</v>
      </c>
      <c r="M668" t="s">
        <v>78</v>
      </c>
      <c r="N668" t="s">
        <v>79</v>
      </c>
      <c r="O668" t="s">
        <v>74</v>
      </c>
      <c r="P668" t="s">
        <v>74</v>
      </c>
      <c r="Q668" t="s">
        <v>74</v>
      </c>
      <c r="R668" t="s">
        <v>74</v>
      </c>
      <c r="S668" t="s">
        <v>74</v>
      </c>
      <c r="T668" t="s">
        <v>10980</v>
      </c>
      <c r="U668" t="s">
        <v>10981</v>
      </c>
      <c r="V668" t="s">
        <v>10982</v>
      </c>
      <c r="W668" t="s">
        <v>10983</v>
      </c>
      <c r="X668" t="s">
        <v>10984</v>
      </c>
      <c r="Y668" t="s">
        <v>10985</v>
      </c>
      <c r="Z668" t="s">
        <v>10986</v>
      </c>
      <c r="AA668" t="s">
        <v>10987</v>
      </c>
      <c r="AB668" t="s">
        <v>10988</v>
      </c>
      <c r="AC668" t="s">
        <v>10989</v>
      </c>
      <c r="AD668" t="s">
        <v>482</v>
      </c>
      <c r="AE668" t="s">
        <v>10990</v>
      </c>
      <c r="AF668" t="s">
        <v>74</v>
      </c>
      <c r="AG668">
        <v>53</v>
      </c>
      <c r="AH668">
        <v>2</v>
      </c>
      <c r="AI668">
        <v>2</v>
      </c>
      <c r="AJ668">
        <v>5</v>
      </c>
      <c r="AK668">
        <v>39</v>
      </c>
      <c r="AL668" t="s">
        <v>1415</v>
      </c>
      <c r="AM668" t="s">
        <v>1416</v>
      </c>
      <c r="AN668" t="s">
        <v>1417</v>
      </c>
      <c r="AO668" t="s">
        <v>1418</v>
      </c>
      <c r="AP668" t="s">
        <v>1419</v>
      </c>
      <c r="AQ668" t="s">
        <v>74</v>
      </c>
      <c r="AR668" t="s">
        <v>1420</v>
      </c>
      <c r="AS668" t="s">
        <v>1421</v>
      </c>
      <c r="AT668" t="s">
        <v>2796</v>
      </c>
      <c r="AU668">
        <v>2023</v>
      </c>
      <c r="AV668">
        <v>55</v>
      </c>
      <c r="AW668">
        <v>4</v>
      </c>
      <c r="AX668" t="s">
        <v>74</v>
      </c>
      <c r="AY668" t="s">
        <v>74</v>
      </c>
      <c r="AZ668" t="s">
        <v>560</v>
      </c>
      <c r="BA668" t="s">
        <v>74</v>
      </c>
      <c r="BB668">
        <v>377</v>
      </c>
      <c r="BC668">
        <v>391</v>
      </c>
      <c r="BD668" t="s">
        <v>74</v>
      </c>
      <c r="BE668" t="s">
        <v>10991</v>
      </c>
      <c r="BF668" t="str">
        <f>HYPERLINK("http://dx.doi.org/10.1080/24725854.2022.2030881","http://dx.doi.org/10.1080/24725854.2022.2030881")</f>
        <v>http://dx.doi.org/10.1080/24725854.2022.2030881</v>
      </c>
      <c r="BG668" t="s">
        <v>74</v>
      </c>
      <c r="BH668" t="s">
        <v>2468</v>
      </c>
      <c r="BI668">
        <v>15</v>
      </c>
      <c r="BJ668" t="s">
        <v>148</v>
      </c>
      <c r="BK668" t="s">
        <v>149</v>
      </c>
      <c r="BL668" t="s">
        <v>150</v>
      </c>
      <c r="BM668" t="s">
        <v>4035</v>
      </c>
      <c r="BN668" t="s">
        <v>74</v>
      </c>
      <c r="BO668" t="s">
        <v>74</v>
      </c>
      <c r="BP668" t="s">
        <v>74</v>
      </c>
      <c r="BQ668" t="s">
        <v>74</v>
      </c>
      <c r="BR668" t="s">
        <v>104</v>
      </c>
      <c r="BS668" t="s">
        <v>10992</v>
      </c>
      <c r="BT668" t="str">
        <f>HYPERLINK("https%3A%2F%2Fwww.webofscience.com%2Fwos%2Fwoscc%2Ffull-record%2FWOS:000761111500001","View Full Record in Web of Science")</f>
        <v>View Full Record in Web of Science</v>
      </c>
    </row>
    <row r="669" spans="1:72" x14ac:dyDescent="0.25">
      <c r="A669" t="s">
        <v>72</v>
      </c>
      <c r="B669" t="s">
        <v>10993</v>
      </c>
      <c r="C669" t="s">
        <v>74</v>
      </c>
      <c r="D669" t="s">
        <v>74</v>
      </c>
      <c r="E669" t="s">
        <v>74</v>
      </c>
      <c r="F669" t="s">
        <v>10994</v>
      </c>
      <c r="G669" t="s">
        <v>74</v>
      </c>
      <c r="H669" t="s">
        <v>74</v>
      </c>
      <c r="I669" t="s">
        <v>10995</v>
      </c>
      <c r="J669" t="s">
        <v>1894</v>
      </c>
      <c r="K669" t="s">
        <v>74</v>
      </c>
      <c r="L669" t="s">
        <v>74</v>
      </c>
      <c r="M669" t="s">
        <v>78</v>
      </c>
      <c r="N669" t="s">
        <v>79</v>
      </c>
      <c r="O669" t="s">
        <v>74</v>
      </c>
      <c r="P669" t="s">
        <v>74</v>
      </c>
      <c r="Q669" t="s">
        <v>74</v>
      </c>
      <c r="R669" t="s">
        <v>74</v>
      </c>
      <c r="S669" t="s">
        <v>74</v>
      </c>
      <c r="T669" t="s">
        <v>10996</v>
      </c>
      <c r="U669" t="s">
        <v>10997</v>
      </c>
      <c r="V669" t="s">
        <v>10998</v>
      </c>
      <c r="W669" t="s">
        <v>10999</v>
      </c>
      <c r="X669" t="s">
        <v>11000</v>
      </c>
      <c r="Y669" t="s">
        <v>11001</v>
      </c>
      <c r="Z669" t="s">
        <v>8834</v>
      </c>
      <c r="AA669" t="s">
        <v>11002</v>
      </c>
      <c r="AB669" t="s">
        <v>8835</v>
      </c>
      <c r="AC669" t="s">
        <v>74</v>
      </c>
      <c r="AD669" t="s">
        <v>74</v>
      </c>
      <c r="AE669" t="s">
        <v>74</v>
      </c>
      <c r="AF669" t="s">
        <v>74</v>
      </c>
      <c r="AG669">
        <v>36</v>
      </c>
      <c r="AH669">
        <v>37</v>
      </c>
      <c r="AI669">
        <v>39</v>
      </c>
      <c r="AJ669">
        <v>3</v>
      </c>
      <c r="AK669">
        <v>25</v>
      </c>
      <c r="AL669" t="s">
        <v>138</v>
      </c>
      <c r="AM669" t="s">
        <v>246</v>
      </c>
      <c r="AN669" t="s">
        <v>247</v>
      </c>
      <c r="AO669" t="s">
        <v>1903</v>
      </c>
      <c r="AP669" t="s">
        <v>1904</v>
      </c>
      <c r="AQ669" t="s">
        <v>74</v>
      </c>
      <c r="AR669" t="s">
        <v>1905</v>
      </c>
      <c r="AS669" t="s">
        <v>1906</v>
      </c>
      <c r="AT669" t="s">
        <v>248</v>
      </c>
      <c r="AU669">
        <v>2019</v>
      </c>
      <c r="AV669">
        <v>52</v>
      </c>
      <c r="AW669" t="s">
        <v>74</v>
      </c>
      <c r="AX669" t="s">
        <v>1907</v>
      </c>
      <c r="AY669" t="s">
        <v>74</v>
      </c>
      <c r="AZ669" t="s">
        <v>74</v>
      </c>
      <c r="BA669" t="s">
        <v>74</v>
      </c>
      <c r="BB669">
        <v>43</v>
      </c>
      <c r="BC669">
        <v>54</v>
      </c>
      <c r="BD669" t="s">
        <v>74</v>
      </c>
      <c r="BE669" t="s">
        <v>11003</v>
      </c>
      <c r="BF669" t="str">
        <f>HYPERLINK("http://dx.doi.org/10.1016/j.jmsy.2019.05.004","http://dx.doi.org/10.1016/j.jmsy.2019.05.004")</f>
        <v>http://dx.doi.org/10.1016/j.jmsy.2019.05.004</v>
      </c>
      <c r="BG669" t="s">
        <v>74</v>
      </c>
      <c r="BH669" t="s">
        <v>74</v>
      </c>
      <c r="BI669">
        <v>12</v>
      </c>
      <c r="BJ669" t="s">
        <v>321</v>
      </c>
      <c r="BK669" t="s">
        <v>149</v>
      </c>
      <c r="BL669" t="s">
        <v>150</v>
      </c>
      <c r="BM669" t="s">
        <v>1909</v>
      </c>
      <c r="BN669" t="s">
        <v>74</v>
      </c>
      <c r="BO669" t="s">
        <v>74</v>
      </c>
      <c r="BP669" t="s">
        <v>74</v>
      </c>
      <c r="BQ669" t="s">
        <v>74</v>
      </c>
      <c r="BR669" t="s">
        <v>104</v>
      </c>
      <c r="BS669" t="s">
        <v>11004</v>
      </c>
      <c r="BT669" t="str">
        <f>HYPERLINK("https%3A%2F%2Fwww.webofscience.com%2Fwos%2Fwoscc%2Ffull-record%2FWOS:000488660800005","View Full Record in Web of Science")</f>
        <v>View Full Record in Web of Science</v>
      </c>
    </row>
    <row r="670" spans="1:72" x14ac:dyDescent="0.25">
      <c r="A670" t="s">
        <v>72</v>
      </c>
      <c r="B670" t="s">
        <v>11005</v>
      </c>
      <c r="C670" t="s">
        <v>74</v>
      </c>
      <c r="D670" t="s">
        <v>74</v>
      </c>
      <c r="E670" t="s">
        <v>74</v>
      </c>
      <c r="F670" t="s">
        <v>11006</v>
      </c>
      <c r="G670" t="s">
        <v>74</v>
      </c>
      <c r="H670" t="s">
        <v>74</v>
      </c>
      <c r="I670" t="s">
        <v>11007</v>
      </c>
      <c r="J670" t="s">
        <v>940</v>
      </c>
      <c r="K670" t="s">
        <v>74</v>
      </c>
      <c r="L670" t="s">
        <v>74</v>
      </c>
      <c r="M670" t="s">
        <v>78</v>
      </c>
      <c r="N670" t="s">
        <v>79</v>
      </c>
      <c r="O670" t="s">
        <v>74</v>
      </c>
      <c r="P670" t="s">
        <v>74</v>
      </c>
      <c r="Q670" t="s">
        <v>74</v>
      </c>
      <c r="R670" t="s">
        <v>74</v>
      </c>
      <c r="S670" t="s">
        <v>74</v>
      </c>
      <c r="T670" t="s">
        <v>11008</v>
      </c>
      <c r="U670" t="s">
        <v>74</v>
      </c>
      <c r="V670" t="s">
        <v>11009</v>
      </c>
      <c r="W670" t="s">
        <v>11010</v>
      </c>
      <c r="X670" t="s">
        <v>11011</v>
      </c>
      <c r="Y670" t="s">
        <v>11012</v>
      </c>
      <c r="Z670" t="s">
        <v>11013</v>
      </c>
      <c r="AA670" t="s">
        <v>11014</v>
      </c>
      <c r="AB670" t="s">
        <v>11015</v>
      </c>
      <c r="AC670" t="s">
        <v>11016</v>
      </c>
      <c r="AD670" t="s">
        <v>482</v>
      </c>
      <c r="AE670" t="s">
        <v>11017</v>
      </c>
      <c r="AF670" t="s">
        <v>74</v>
      </c>
      <c r="AG670">
        <v>31</v>
      </c>
      <c r="AH670">
        <v>12</v>
      </c>
      <c r="AI670">
        <v>13</v>
      </c>
      <c r="AJ670">
        <v>2</v>
      </c>
      <c r="AK670">
        <v>55</v>
      </c>
      <c r="AL670" t="s">
        <v>220</v>
      </c>
      <c r="AM670" t="s">
        <v>221</v>
      </c>
      <c r="AN670" t="s">
        <v>222</v>
      </c>
      <c r="AO670" t="s">
        <v>950</v>
      </c>
      <c r="AP670" t="s">
        <v>951</v>
      </c>
      <c r="AQ670" t="s">
        <v>74</v>
      </c>
      <c r="AR670" t="s">
        <v>952</v>
      </c>
      <c r="AS670" t="s">
        <v>953</v>
      </c>
      <c r="AT670" t="s">
        <v>1867</v>
      </c>
      <c r="AU670">
        <v>2021</v>
      </c>
      <c r="AV670">
        <v>68</v>
      </c>
      <c r="AW670">
        <v>2</v>
      </c>
      <c r="AX670" t="s">
        <v>74</v>
      </c>
      <c r="AY670" t="s">
        <v>74</v>
      </c>
      <c r="AZ670" t="s">
        <v>74</v>
      </c>
      <c r="BA670" t="s">
        <v>74</v>
      </c>
      <c r="BB670">
        <v>528</v>
      </c>
      <c r="BC670">
        <v>547</v>
      </c>
      <c r="BD670" t="s">
        <v>74</v>
      </c>
      <c r="BE670" t="s">
        <v>11018</v>
      </c>
      <c r="BF670" t="str">
        <f>HYPERLINK("http://dx.doi.org/10.1109/TEM.2019.2905004","http://dx.doi.org/10.1109/TEM.2019.2905004")</f>
        <v>http://dx.doi.org/10.1109/TEM.2019.2905004</v>
      </c>
      <c r="BG670" t="s">
        <v>74</v>
      </c>
      <c r="BH670" t="s">
        <v>74</v>
      </c>
      <c r="BI670">
        <v>20</v>
      </c>
      <c r="BJ670" t="s">
        <v>955</v>
      </c>
      <c r="BK670" t="s">
        <v>322</v>
      </c>
      <c r="BL670" t="s">
        <v>956</v>
      </c>
      <c r="BM670" t="s">
        <v>11019</v>
      </c>
      <c r="BN670" t="s">
        <v>74</v>
      </c>
      <c r="BO670" t="s">
        <v>400</v>
      </c>
      <c r="BP670" t="s">
        <v>74</v>
      </c>
      <c r="BQ670" t="s">
        <v>74</v>
      </c>
      <c r="BR670" t="s">
        <v>104</v>
      </c>
      <c r="BS670" t="s">
        <v>11020</v>
      </c>
      <c r="BT670" t="str">
        <f>HYPERLINK("https%3A%2F%2Fwww.webofscience.com%2Fwos%2Fwoscc%2Ffull-record%2FWOS:000632443100017","View Full Record in Web of Science")</f>
        <v>View Full Record in Web of Science</v>
      </c>
    </row>
    <row r="671" spans="1:72" x14ac:dyDescent="0.25">
      <c r="A671" t="s">
        <v>72</v>
      </c>
      <c r="B671" t="s">
        <v>11021</v>
      </c>
      <c r="C671" t="s">
        <v>74</v>
      </c>
      <c r="D671" t="s">
        <v>74</v>
      </c>
      <c r="E671" t="s">
        <v>74</v>
      </c>
      <c r="F671" t="s">
        <v>11022</v>
      </c>
      <c r="G671" t="s">
        <v>74</v>
      </c>
      <c r="H671" t="s">
        <v>74</v>
      </c>
      <c r="I671" t="s">
        <v>11023</v>
      </c>
      <c r="J671" t="s">
        <v>1557</v>
      </c>
      <c r="K671" t="s">
        <v>74</v>
      </c>
      <c r="L671" t="s">
        <v>74</v>
      </c>
      <c r="M671" t="s">
        <v>78</v>
      </c>
      <c r="N671" t="s">
        <v>79</v>
      </c>
      <c r="O671" t="s">
        <v>74</v>
      </c>
      <c r="P671" t="s">
        <v>74</v>
      </c>
      <c r="Q671" t="s">
        <v>74</v>
      </c>
      <c r="R671" t="s">
        <v>74</v>
      </c>
      <c r="S671" t="s">
        <v>74</v>
      </c>
      <c r="T671" t="s">
        <v>11024</v>
      </c>
      <c r="U671" t="s">
        <v>74</v>
      </c>
      <c r="V671" t="s">
        <v>11025</v>
      </c>
      <c r="W671" t="s">
        <v>11026</v>
      </c>
      <c r="X671" t="s">
        <v>11027</v>
      </c>
      <c r="Y671" t="s">
        <v>11028</v>
      </c>
      <c r="Z671" t="s">
        <v>11029</v>
      </c>
      <c r="AA671" t="s">
        <v>11030</v>
      </c>
      <c r="AB671" t="s">
        <v>11031</v>
      </c>
      <c r="AC671" t="s">
        <v>11032</v>
      </c>
      <c r="AD671" t="s">
        <v>11033</v>
      </c>
      <c r="AE671" t="s">
        <v>11034</v>
      </c>
      <c r="AF671" t="s">
        <v>74</v>
      </c>
      <c r="AG671">
        <v>142</v>
      </c>
      <c r="AH671">
        <v>4</v>
      </c>
      <c r="AI671">
        <v>5</v>
      </c>
      <c r="AJ671">
        <v>3</v>
      </c>
      <c r="AK671">
        <v>25</v>
      </c>
      <c r="AL671" t="s">
        <v>707</v>
      </c>
      <c r="AM671" t="s">
        <v>246</v>
      </c>
      <c r="AN671" t="s">
        <v>708</v>
      </c>
      <c r="AO671" t="s">
        <v>1569</v>
      </c>
      <c r="AP671" t="s">
        <v>1570</v>
      </c>
      <c r="AQ671" t="s">
        <v>74</v>
      </c>
      <c r="AR671" t="s">
        <v>1571</v>
      </c>
      <c r="AS671" t="s">
        <v>1572</v>
      </c>
      <c r="AT671" t="s">
        <v>11035</v>
      </c>
      <c r="AU671">
        <v>2021</v>
      </c>
      <c r="AV671">
        <v>167</v>
      </c>
      <c r="AW671" t="s">
        <v>74</v>
      </c>
      <c r="AX671" t="s">
        <v>74</v>
      </c>
      <c r="AY671" t="s">
        <v>74</v>
      </c>
      <c r="AZ671" t="s">
        <v>74</v>
      </c>
      <c r="BA671" t="s">
        <v>74</v>
      </c>
      <c r="BB671" t="s">
        <v>74</v>
      </c>
      <c r="BC671" t="s">
        <v>74</v>
      </c>
      <c r="BD671">
        <v>113860</v>
      </c>
      <c r="BE671" t="s">
        <v>11036</v>
      </c>
      <c r="BF671" t="str">
        <f>HYPERLINK("http://dx.doi.org/10.1016/j.eswa.2020.113860","http://dx.doi.org/10.1016/j.eswa.2020.113860")</f>
        <v>http://dx.doi.org/10.1016/j.eswa.2020.113860</v>
      </c>
      <c r="BG671" t="s">
        <v>74</v>
      </c>
      <c r="BH671" t="s">
        <v>639</v>
      </c>
      <c r="BI671">
        <v>17</v>
      </c>
      <c r="BJ671" t="s">
        <v>1575</v>
      </c>
      <c r="BK671" t="s">
        <v>322</v>
      </c>
      <c r="BL671" t="s">
        <v>1576</v>
      </c>
      <c r="BM671" t="s">
        <v>11037</v>
      </c>
      <c r="BN671" t="s">
        <v>74</v>
      </c>
      <c r="BO671" t="s">
        <v>74</v>
      </c>
      <c r="BP671" t="s">
        <v>74</v>
      </c>
      <c r="BQ671" t="s">
        <v>74</v>
      </c>
      <c r="BR671" t="s">
        <v>104</v>
      </c>
      <c r="BS671" t="s">
        <v>11038</v>
      </c>
      <c r="BT671" t="str">
        <f>HYPERLINK("https%3A%2F%2Fwww.webofscience.com%2Fwos%2Fwoscc%2Ffull-record%2FWOS:000623649900007","View Full Record in Web of Science")</f>
        <v>View Full Record in Web of Science</v>
      </c>
    </row>
    <row r="672" spans="1:72" x14ac:dyDescent="0.25">
      <c r="A672" t="s">
        <v>72</v>
      </c>
      <c r="B672" t="s">
        <v>11039</v>
      </c>
      <c r="C672" t="s">
        <v>74</v>
      </c>
      <c r="D672" t="s">
        <v>74</v>
      </c>
      <c r="E672" t="s">
        <v>74</v>
      </c>
      <c r="F672" t="s">
        <v>11040</v>
      </c>
      <c r="G672" t="s">
        <v>74</v>
      </c>
      <c r="H672" t="s">
        <v>74</v>
      </c>
      <c r="I672" t="s">
        <v>11041</v>
      </c>
      <c r="J672" t="s">
        <v>11042</v>
      </c>
      <c r="K672" t="s">
        <v>74</v>
      </c>
      <c r="L672" t="s">
        <v>74</v>
      </c>
      <c r="M672" t="s">
        <v>78</v>
      </c>
      <c r="N672" t="s">
        <v>79</v>
      </c>
      <c r="O672" t="s">
        <v>74</v>
      </c>
      <c r="P672" t="s">
        <v>74</v>
      </c>
      <c r="Q672" t="s">
        <v>74</v>
      </c>
      <c r="R672" t="s">
        <v>74</v>
      </c>
      <c r="S672" t="s">
        <v>74</v>
      </c>
      <c r="T672" t="s">
        <v>11043</v>
      </c>
      <c r="U672" t="s">
        <v>11044</v>
      </c>
      <c r="V672" t="s">
        <v>11045</v>
      </c>
      <c r="W672" t="s">
        <v>11046</v>
      </c>
      <c r="X672" t="s">
        <v>11047</v>
      </c>
      <c r="Y672" t="s">
        <v>11048</v>
      </c>
      <c r="Z672" t="s">
        <v>11049</v>
      </c>
      <c r="AA672" t="s">
        <v>74</v>
      </c>
      <c r="AB672" t="s">
        <v>74</v>
      </c>
      <c r="AC672" t="s">
        <v>11050</v>
      </c>
      <c r="AD672" t="s">
        <v>11051</v>
      </c>
      <c r="AE672" t="s">
        <v>11052</v>
      </c>
      <c r="AF672" t="s">
        <v>74</v>
      </c>
      <c r="AG672">
        <v>38</v>
      </c>
      <c r="AH672">
        <v>18</v>
      </c>
      <c r="AI672">
        <v>18</v>
      </c>
      <c r="AJ672">
        <v>2</v>
      </c>
      <c r="AK672">
        <v>31</v>
      </c>
      <c r="AL672" t="s">
        <v>509</v>
      </c>
      <c r="AM672" t="s">
        <v>510</v>
      </c>
      <c r="AN672" t="s">
        <v>511</v>
      </c>
      <c r="AO672" t="s">
        <v>11053</v>
      </c>
      <c r="AP672" t="s">
        <v>11054</v>
      </c>
      <c r="AQ672" t="s">
        <v>74</v>
      </c>
      <c r="AR672" t="s">
        <v>11055</v>
      </c>
      <c r="AS672" t="s">
        <v>11056</v>
      </c>
      <c r="AT672" t="s">
        <v>205</v>
      </c>
      <c r="AU672">
        <v>2019</v>
      </c>
      <c r="AV672">
        <v>15</v>
      </c>
      <c r="AW672" t="s">
        <v>74</v>
      </c>
      <c r="AX672" t="s">
        <v>74</v>
      </c>
      <c r="AY672" t="s">
        <v>74</v>
      </c>
      <c r="AZ672" t="s">
        <v>74</v>
      </c>
      <c r="BA672" t="s">
        <v>74</v>
      </c>
      <c r="BB672">
        <v>174</v>
      </c>
      <c r="BC672">
        <v>182</v>
      </c>
      <c r="BD672" t="s">
        <v>74</v>
      </c>
      <c r="BE672" t="s">
        <v>11057</v>
      </c>
      <c r="BF672" t="str">
        <f>HYPERLINK("http://dx.doi.org/10.1016/j.jii.2018.11.004","http://dx.doi.org/10.1016/j.jii.2018.11.004")</f>
        <v>http://dx.doi.org/10.1016/j.jii.2018.11.004</v>
      </c>
      <c r="BG672" t="s">
        <v>74</v>
      </c>
      <c r="BH672" t="s">
        <v>74</v>
      </c>
      <c r="BI672">
        <v>9</v>
      </c>
      <c r="BJ672" t="s">
        <v>715</v>
      </c>
      <c r="BK672" t="s">
        <v>149</v>
      </c>
      <c r="BL672" t="s">
        <v>716</v>
      </c>
      <c r="BM672" t="s">
        <v>11058</v>
      </c>
      <c r="BN672" t="s">
        <v>74</v>
      </c>
      <c r="BO672" t="s">
        <v>74</v>
      </c>
      <c r="BP672" t="s">
        <v>74</v>
      </c>
      <c r="BQ672" t="s">
        <v>74</v>
      </c>
      <c r="BR672" t="s">
        <v>104</v>
      </c>
      <c r="BS672" t="s">
        <v>11059</v>
      </c>
      <c r="BT672" t="str">
        <f>HYPERLINK("https%3A%2F%2Fwww.webofscience.com%2Fwos%2Fwoscc%2Ffull-record%2FWOS:000487306100017","View Full Record in Web of Science")</f>
        <v>View Full Record in Web of Science</v>
      </c>
    </row>
    <row r="673" spans="1:72" x14ac:dyDescent="0.25">
      <c r="A673" t="s">
        <v>72</v>
      </c>
      <c r="B673" t="s">
        <v>11060</v>
      </c>
      <c r="C673" t="s">
        <v>74</v>
      </c>
      <c r="D673" t="s">
        <v>74</v>
      </c>
      <c r="E673" t="s">
        <v>74</v>
      </c>
      <c r="F673" t="s">
        <v>11061</v>
      </c>
      <c r="G673" t="s">
        <v>74</v>
      </c>
      <c r="H673" t="s">
        <v>74</v>
      </c>
      <c r="I673" t="s">
        <v>11062</v>
      </c>
      <c r="J673" t="s">
        <v>1402</v>
      </c>
      <c r="K673" t="s">
        <v>74</v>
      </c>
      <c r="L673" t="s">
        <v>74</v>
      </c>
      <c r="M673" t="s">
        <v>78</v>
      </c>
      <c r="N673" t="s">
        <v>79</v>
      </c>
      <c r="O673" t="s">
        <v>74</v>
      </c>
      <c r="P673" t="s">
        <v>74</v>
      </c>
      <c r="Q673" t="s">
        <v>74</v>
      </c>
      <c r="R673" t="s">
        <v>74</v>
      </c>
      <c r="S673" t="s">
        <v>74</v>
      </c>
      <c r="T673" t="s">
        <v>11063</v>
      </c>
      <c r="U673" t="s">
        <v>11064</v>
      </c>
      <c r="V673" t="s">
        <v>11065</v>
      </c>
      <c r="W673" t="s">
        <v>11066</v>
      </c>
      <c r="X673" t="s">
        <v>11067</v>
      </c>
      <c r="Y673" t="s">
        <v>11068</v>
      </c>
      <c r="Z673" t="s">
        <v>11069</v>
      </c>
      <c r="AA673" t="s">
        <v>74</v>
      </c>
      <c r="AB673" t="s">
        <v>74</v>
      </c>
      <c r="AC673" t="s">
        <v>11070</v>
      </c>
      <c r="AD673" t="s">
        <v>11071</v>
      </c>
      <c r="AE673" t="s">
        <v>11072</v>
      </c>
      <c r="AF673" t="s">
        <v>74</v>
      </c>
      <c r="AG673">
        <v>37</v>
      </c>
      <c r="AH673">
        <v>2</v>
      </c>
      <c r="AI673">
        <v>2</v>
      </c>
      <c r="AJ673">
        <v>1</v>
      </c>
      <c r="AK673">
        <v>7</v>
      </c>
      <c r="AL673" t="s">
        <v>1415</v>
      </c>
      <c r="AM673" t="s">
        <v>1416</v>
      </c>
      <c r="AN673" t="s">
        <v>1417</v>
      </c>
      <c r="AO673" t="s">
        <v>1418</v>
      </c>
      <c r="AP673" t="s">
        <v>1419</v>
      </c>
      <c r="AQ673" t="s">
        <v>74</v>
      </c>
      <c r="AR673" t="s">
        <v>1420</v>
      </c>
      <c r="AS673" t="s">
        <v>1421</v>
      </c>
      <c r="AT673" t="s">
        <v>6904</v>
      </c>
      <c r="AU673">
        <v>2023</v>
      </c>
      <c r="AV673">
        <v>55</v>
      </c>
      <c r="AW673">
        <v>5</v>
      </c>
      <c r="AX673" t="s">
        <v>74</v>
      </c>
      <c r="AY673" t="s">
        <v>74</v>
      </c>
      <c r="AZ673" t="s">
        <v>74</v>
      </c>
      <c r="BA673" t="s">
        <v>74</v>
      </c>
      <c r="BB673">
        <v>445</v>
      </c>
      <c r="BC673">
        <v>462</v>
      </c>
      <c r="BD673" t="s">
        <v>74</v>
      </c>
      <c r="BE673" t="s">
        <v>11073</v>
      </c>
      <c r="BF673" t="str">
        <f>HYPERLINK("http://dx.doi.org/10.1080/24725854.2022.2037792","http://dx.doi.org/10.1080/24725854.2022.2037792")</f>
        <v>http://dx.doi.org/10.1080/24725854.2022.2037792</v>
      </c>
      <c r="BG673" t="s">
        <v>74</v>
      </c>
      <c r="BH673" t="s">
        <v>1971</v>
      </c>
      <c r="BI673">
        <v>18</v>
      </c>
      <c r="BJ673" t="s">
        <v>148</v>
      </c>
      <c r="BK673" t="s">
        <v>149</v>
      </c>
      <c r="BL673" t="s">
        <v>150</v>
      </c>
      <c r="BM673" t="s">
        <v>11074</v>
      </c>
      <c r="BN673" t="s">
        <v>74</v>
      </c>
      <c r="BO673" t="s">
        <v>74</v>
      </c>
      <c r="BP673" t="s">
        <v>74</v>
      </c>
      <c r="BQ673" t="s">
        <v>74</v>
      </c>
      <c r="BR673" t="s">
        <v>104</v>
      </c>
      <c r="BS673" t="s">
        <v>11075</v>
      </c>
      <c r="BT673" t="str">
        <f>HYPERLINK("https%3A%2F%2Fwww.webofscience.com%2Fwos%2Fwoscc%2Ffull-record%2FWOS:000778836500001","View Full Record in Web of Science")</f>
        <v>View Full Record in Web of Science</v>
      </c>
    </row>
    <row r="674" spans="1:72" x14ac:dyDescent="0.25">
      <c r="A674" t="s">
        <v>72</v>
      </c>
      <c r="B674" t="s">
        <v>11076</v>
      </c>
      <c r="C674" t="s">
        <v>74</v>
      </c>
      <c r="D674" t="s">
        <v>74</v>
      </c>
      <c r="E674" t="s">
        <v>74</v>
      </c>
      <c r="F674" t="s">
        <v>11077</v>
      </c>
      <c r="G674" t="s">
        <v>74</v>
      </c>
      <c r="H674" t="s">
        <v>74</v>
      </c>
      <c r="I674" t="s">
        <v>11078</v>
      </c>
      <c r="J674" t="s">
        <v>128</v>
      </c>
      <c r="K674" t="s">
        <v>74</v>
      </c>
      <c r="L674" t="s">
        <v>74</v>
      </c>
      <c r="M674" t="s">
        <v>78</v>
      </c>
      <c r="N674" t="s">
        <v>79</v>
      </c>
      <c r="O674" t="s">
        <v>74</v>
      </c>
      <c r="P674" t="s">
        <v>74</v>
      </c>
      <c r="Q674" t="s">
        <v>74</v>
      </c>
      <c r="R674" t="s">
        <v>74</v>
      </c>
      <c r="S674" t="s">
        <v>74</v>
      </c>
      <c r="T674" t="s">
        <v>11079</v>
      </c>
      <c r="U674" t="s">
        <v>11080</v>
      </c>
      <c r="V674" t="s">
        <v>11081</v>
      </c>
      <c r="W674" t="s">
        <v>11082</v>
      </c>
      <c r="X674" t="s">
        <v>11083</v>
      </c>
      <c r="Y674" t="s">
        <v>11084</v>
      </c>
      <c r="Z674" t="s">
        <v>11085</v>
      </c>
      <c r="AA674" t="s">
        <v>11086</v>
      </c>
      <c r="AB674" t="s">
        <v>10926</v>
      </c>
      <c r="AC674" t="s">
        <v>11087</v>
      </c>
      <c r="AD674" t="s">
        <v>11088</v>
      </c>
      <c r="AE674" t="s">
        <v>11089</v>
      </c>
      <c r="AF674" t="s">
        <v>74</v>
      </c>
      <c r="AG674">
        <v>51</v>
      </c>
      <c r="AH674">
        <v>8</v>
      </c>
      <c r="AI674">
        <v>8</v>
      </c>
      <c r="AJ674">
        <v>10</v>
      </c>
      <c r="AK674">
        <v>15</v>
      </c>
      <c r="AL674" t="s">
        <v>138</v>
      </c>
      <c r="AM674" t="s">
        <v>139</v>
      </c>
      <c r="AN674" t="s">
        <v>140</v>
      </c>
      <c r="AO674" t="s">
        <v>141</v>
      </c>
      <c r="AP674" t="s">
        <v>142</v>
      </c>
      <c r="AQ674" t="s">
        <v>74</v>
      </c>
      <c r="AR674" t="s">
        <v>143</v>
      </c>
      <c r="AS674" t="s">
        <v>144</v>
      </c>
      <c r="AT674" t="s">
        <v>205</v>
      </c>
      <c r="AU674">
        <v>2023</v>
      </c>
      <c r="AV674">
        <v>237</v>
      </c>
      <c r="AW674" t="s">
        <v>74</v>
      </c>
      <c r="AX674" t="s">
        <v>74</v>
      </c>
      <c r="AY674" t="s">
        <v>74</v>
      </c>
      <c r="AZ674" t="s">
        <v>74</v>
      </c>
      <c r="BA674" t="s">
        <v>74</v>
      </c>
      <c r="BB674" t="s">
        <v>74</v>
      </c>
      <c r="BC674" t="s">
        <v>74</v>
      </c>
      <c r="BD674">
        <v>109378</v>
      </c>
      <c r="BE674" t="s">
        <v>11090</v>
      </c>
      <c r="BF674" t="str">
        <f>HYPERLINK("http://dx.doi.org/10.1016/j.ress.2023.109378","http://dx.doi.org/10.1016/j.ress.2023.109378")</f>
        <v>http://dx.doi.org/10.1016/j.ress.2023.109378</v>
      </c>
      <c r="BG674" t="s">
        <v>74</v>
      </c>
      <c r="BH674" t="s">
        <v>2390</v>
      </c>
      <c r="BI674">
        <v>9</v>
      </c>
      <c r="BJ674" t="s">
        <v>148</v>
      </c>
      <c r="BK674" t="s">
        <v>149</v>
      </c>
      <c r="BL674" t="s">
        <v>150</v>
      </c>
      <c r="BM674" t="s">
        <v>11091</v>
      </c>
      <c r="BN674" t="s">
        <v>74</v>
      </c>
      <c r="BO674" t="s">
        <v>74</v>
      </c>
      <c r="BP674" t="s">
        <v>74</v>
      </c>
      <c r="BQ674" t="s">
        <v>74</v>
      </c>
      <c r="BR674" t="s">
        <v>104</v>
      </c>
      <c r="BS674" t="s">
        <v>11092</v>
      </c>
      <c r="BT674" t="str">
        <f>HYPERLINK("https%3A%2F%2Fwww.webofscience.com%2Fwos%2Fwoscc%2Ffull-record%2FWOS:001002477200001","View Full Record in Web of Science")</f>
        <v>View Full Record in Web of Science</v>
      </c>
    </row>
    <row r="675" spans="1:72" x14ac:dyDescent="0.25">
      <c r="A675" t="s">
        <v>72</v>
      </c>
      <c r="B675" t="s">
        <v>11093</v>
      </c>
      <c r="C675" t="s">
        <v>74</v>
      </c>
      <c r="D675" t="s">
        <v>74</v>
      </c>
      <c r="E675" t="s">
        <v>74</v>
      </c>
      <c r="F675" t="s">
        <v>11094</v>
      </c>
      <c r="G675" t="s">
        <v>74</v>
      </c>
      <c r="H675" t="s">
        <v>74</v>
      </c>
      <c r="I675" t="s">
        <v>11095</v>
      </c>
      <c r="J675" t="s">
        <v>8636</v>
      </c>
      <c r="K675" t="s">
        <v>74</v>
      </c>
      <c r="L675" t="s">
        <v>74</v>
      </c>
      <c r="M675" t="s">
        <v>78</v>
      </c>
      <c r="N675" t="s">
        <v>79</v>
      </c>
      <c r="O675" t="s">
        <v>74</v>
      </c>
      <c r="P675" t="s">
        <v>74</v>
      </c>
      <c r="Q675" t="s">
        <v>74</v>
      </c>
      <c r="R675" t="s">
        <v>74</v>
      </c>
      <c r="S675" t="s">
        <v>74</v>
      </c>
      <c r="T675" t="s">
        <v>11096</v>
      </c>
      <c r="U675" t="s">
        <v>11097</v>
      </c>
      <c r="V675" t="s">
        <v>11098</v>
      </c>
      <c r="W675" t="s">
        <v>11099</v>
      </c>
      <c r="X675" t="s">
        <v>11100</v>
      </c>
      <c r="Y675" t="s">
        <v>11101</v>
      </c>
      <c r="Z675" t="s">
        <v>11102</v>
      </c>
      <c r="AA675" t="s">
        <v>11103</v>
      </c>
      <c r="AB675" t="s">
        <v>11104</v>
      </c>
      <c r="AC675" t="s">
        <v>74</v>
      </c>
      <c r="AD675" t="s">
        <v>74</v>
      </c>
      <c r="AE675" t="s">
        <v>74</v>
      </c>
      <c r="AF675" t="s">
        <v>74</v>
      </c>
      <c r="AG675">
        <v>93</v>
      </c>
      <c r="AH675">
        <v>3</v>
      </c>
      <c r="AI675">
        <v>3</v>
      </c>
      <c r="AJ675">
        <v>26</v>
      </c>
      <c r="AK675">
        <v>55</v>
      </c>
      <c r="AL675" t="s">
        <v>509</v>
      </c>
      <c r="AM675" t="s">
        <v>510</v>
      </c>
      <c r="AN675" t="s">
        <v>511</v>
      </c>
      <c r="AO675" t="s">
        <v>8649</v>
      </c>
      <c r="AP675" t="s">
        <v>8650</v>
      </c>
      <c r="AQ675" t="s">
        <v>74</v>
      </c>
      <c r="AR675" t="s">
        <v>8636</v>
      </c>
      <c r="AS675" t="s">
        <v>8651</v>
      </c>
      <c r="AT675" t="s">
        <v>533</v>
      </c>
      <c r="AU675">
        <v>2024</v>
      </c>
      <c r="AV675">
        <v>130</v>
      </c>
      <c r="AW675" t="s">
        <v>74</v>
      </c>
      <c r="AX675" t="s">
        <v>74</v>
      </c>
      <c r="AY675" t="s">
        <v>74</v>
      </c>
      <c r="AZ675" t="s">
        <v>74</v>
      </c>
      <c r="BA675" t="s">
        <v>74</v>
      </c>
      <c r="BB675" t="s">
        <v>74</v>
      </c>
      <c r="BC675" t="s">
        <v>74</v>
      </c>
      <c r="BD675">
        <v>102925</v>
      </c>
      <c r="BE675" t="s">
        <v>11105</v>
      </c>
      <c r="BF675" t="str">
        <f>HYPERLINK("http://dx.doi.org/10.1016/j.technovation.2023.102925","http://dx.doi.org/10.1016/j.technovation.2023.102925")</f>
        <v>http://dx.doi.org/10.1016/j.technovation.2023.102925</v>
      </c>
      <c r="BG675" t="s">
        <v>74</v>
      </c>
      <c r="BH675" t="s">
        <v>449</v>
      </c>
      <c r="BI675">
        <v>16</v>
      </c>
      <c r="BJ675" t="s">
        <v>8653</v>
      </c>
      <c r="BK675" t="s">
        <v>322</v>
      </c>
      <c r="BL675" t="s">
        <v>8654</v>
      </c>
      <c r="BM675" t="s">
        <v>11106</v>
      </c>
      <c r="BN675" t="s">
        <v>74</v>
      </c>
      <c r="BO675" t="s">
        <v>123</v>
      </c>
      <c r="BP675" t="s">
        <v>74</v>
      </c>
      <c r="BQ675" t="s">
        <v>74</v>
      </c>
      <c r="BR675" t="s">
        <v>104</v>
      </c>
      <c r="BS675" t="s">
        <v>11107</v>
      </c>
      <c r="BT675" t="str">
        <f>HYPERLINK("https%3A%2F%2Fwww.webofscience.com%2Fwos%2Fwoscc%2Ffull-record%2FWOS:001140195700001","View Full Record in Web of Science")</f>
        <v>View Full Record in Web of Science</v>
      </c>
    </row>
    <row r="676" spans="1:72" x14ac:dyDescent="0.25">
      <c r="A676" t="s">
        <v>72</v>
      </c>
      <c r="B676" t="s">
        <v>11108</v>
      </c>
      <c r="C676" t="s">
        <v>74</v>
      </c>
      <c r="D676" t="s">
        <v>74</v>
      </c>
      <c r="E676" t="s">
        <v>74</v>
      </c>
      <c r="F676" t="s">
        <v>11109</v>
      </c>
      <c r="G676" t="s">
        <v>74</v>
      </c>
      <c r="H676" t="s">
        <v>74</v>
      </c>
      <c r="I676" t="s">
        <v>11110</v>
      </c>
      <c r="J676" t="s">
        <v>299</v>
      </c>
      <c r="K676" t="s">
        <v>74</v>
      </c>
      <c r="L676" t="s">
        <v>74</v>
      </c>
      <c r="M676" t="s">
        <v>78</v>
      </c>
      <c r="N676" t="s">
        <v>79</v>
      </c>
      <c r="O676" t="s">
        <v>74</v>
      </c>
      <c r="P676" t="s">
        <v>74</v>
      </c>
      <c r="Q676" t="s">
        <v>74</v>
      </c>
      <c r="R676" t="s">
        <v>74</v>
      </c>
      <c r="S676" t="s">
        <v>74</v>
      </c>
      <c r="T676" t="s">
        <v>11111</v>
      </c>
      <c r="U676" t="s">
        <v>11112</v>
      </c>
      <c r="V676" t="s">
        <v>11113</v>
      </c>
      <c r="W676" t="s">
        <v>11114</v>
      </c>
      <c r="X676" t="s">
        <v>10604</v>
      </c>
      <c r="Y676" t="s">
        <v>4550</v>
      </c>
      <c r="Z676" t="s">
        <v>4551</v>
      </c>
      <c r="AA676" t="s">
        <v>10652</v>
      </c>
      <c r="AB676" t="s">
        <v>10653</v>
      </c>
      <c r="AC676" t="s">
        <v>11115</v>
      </c>
      <c r="AD676" t="s">
        <v>11116</v>
      </c>
      <c r="AE676" t="s">
        <v>11117</v>
      </c>
      <c r="AF676" t="s">
        <v>74</v>
      </c>
      <c r="AG676">
        <v>33</v>
      </c>
      <c r="AH676">
        <v>26</v>
      </c>
      <c r="AI676">
        <v>29</v>
      </c>
      <c r="AJ676">
        <v>4</v>
      </c>
      <c r="AK676">
        <v>123</v>
      </c>
      <c r="AL676" t="s">
        <v>311</v>
      </c>
      <c r="AM676" t="s">
        <v>312</v>
      </c>
      <c r="AN676" t="s">
        <v>313</v>
      </c>
      <c r="AO676" t="s">
        <v>314</v>
      </c>
      <c r="AP676" t="s">
        <v>315</v>
      </c>
      <c r="AQ676" t="s">
        <v>74</v>
      </c>
      <c r="AR676" t="s">
        <v>316</v>
      </c>
      <c r="AS676" t="s">
        <v>317</v>
      </c>
      <c r="AT676" t="s">
        <v>11118</v>
      </c>
      <c r="AU676">
        <v>2019</v>
      </c>
      <c r="AV676">
        <v>57</v>
      </c>
      <c r="AW676">
        <v>6</v>
      </c>
      <c r="AX676" t="s">
        <v>74</v>
      </c>
      <c r="AY676" t="s">
        <v>74</v>
      </c>
      <c r="AZ676" t="s">
        <v>74</v>
      </c>
      <c r="BA676" t="s">
        <v>74</v>
      </c>
      <c r="BB676">
        <v>1840</v>
      </c>
      <c r="BC676">
        <v>1856</v>
      </c>
      <c r="BD676" t="s">
        <v>74</v>
      </c>
      <c r="BE676" t="s">
        <v>11119</v>
      </c>
      <c r="BF676" t="str">
        <f>HYPERLINK("http://dx.doi.org/10.1080/00207543.2018.1508906","http://dx.doi.org/10.1080/00207543.2018.1508906")</f>
        <v>http://dx.doi.org/10.1080/00207543.2018.1508906</v>
      </c>
      <c r="BG676" t="s">
        <v>74</v>
      </c>
      <c r="BH676" t="s">
        <v>74</v>
      </c>
      <c r="BI676">
        <v>17</v>
      </c>
      <c r="BJ676" t="s">
        <v>321</v>
      </c>
      <c r="BK676" t="s">
        <v>149</v>
      </c>
      <c r="BL676" t="s">
        <v>150</v>
      </c>
      <c r="BM676" t="s">
        <v>11120</v>
      </c>
      <c r="BN676" t="s">
        <v>74</v>
      </c>
      <c r="BO676" t="s">
        <v>74</v>
      </c>
      <c r="BP676" t="s">
        <v>74</v>
      </c>
      <c r="BQ676" t="s">
        <v>74</v>
      </c>
      <c r="BR676" t="s">
        <v>104</v>
      </c>
      <c r="BS676" t="s">
        <v>11121</v>
      </c>
      <c r="BT676" t="str">
        <f>HYPERLINK("https%3A%2F%2Fwww.webofscience.com%2Fwos%2Fwoscc%2Ffull-record%2FWOS:000462470300014","View Full Record in Web of Science")</f>
        <v>View Full Record in Web of Science</v>
      </c>
    </row>
    <row r="677" spans="1:72" x14ac:dyDescent="0.25">
      <c r="A677" t="s">
        <v>72</v>
      </c>
      <c r="B677" t="s">
        <v>11122</v>
      </c>
      <c r="C677" t="s">
        <v>74</v>
      </c>
      <c r="D677" t="s">
        <v>74</v>
      </c>
      <c r="E677" t="s">
        <v>74</v>
      </c>
      <c r="F677" t="s">
        <v>11123</v>
      </c>
      <c r="G677" t="s">
        <v>74</v>
      </c>
      <c r="H677" t="s">
        <v>74</v>
      </c>
      <c r="I677" t="s">
        <v>11124</v>
      </c>
      <c r="J677" t="s">
        <v>6923</v>
      </c>
      <c r="K677" t="s">
        <v>74</v>
      </c>
      <c r="L677" t="s">
        <v>74</v>
      </c>
      <c r="M677" t="s">
        <v>78</v>
      </c>
      <c r="N677" t="s">
        <v>79</v>
      </c>
      <c r="O677" t="s">
        <v>74</v>
      </c>
      <c r="P677" t="s">
        <v>74</v>
      </c>
      <c r="Q677" t="s">
        <v>74</v>
      </c>
      <c r="R677" t="s">
        <v>74</v>
      </c>
      <c r="S677" t="s">
        <v>74</v>
      </c>
      <c r="T677" t="s">
        <v>74</v>
      </c>
      <c r="U677" t="s">
        <v>11125</v>
      </c>
      <c r="V677" t="s">
        <v>11126</v>
      </c>
      <c r="W677" t="s">
        <v>11127</v>
      </c>
      <c r="X677" t="s">
        <v>11128</v>
      </c>
      <c r="Y677" t="s">
        <v>11129</v>
      </c>
      <c r="Z677" t="s">
        <v>11130</v>
      </c>
      <c r="AA677" t="s">
        <v>11131</v>
      </c>
      <c r="AB677" t="s">
        <v>11132</v>
      </c>
      <c r="AC677" t="s">
        <v>11133</v>
      </c>
      <c r="AD677" t="s">
        <v>11133</v>
      </c>
      <c r="AE677" t="s">
        <v>11134</v>
      </c>
      <c r="AF677" t="s">
        <v>74</v>
      </c>
      <c r="AG677">
        <v>37</v>
      </c>
      <c r="AH677">
        <v>12</v>
      </c>
      <c r="AI677">
        <v>11</v>
      </c>
      <c r="AJ677">
        <v>3</v>
      </c>
      <c r="AK677">
        <v>19</v>
      </c>
      <c r="AL677" t="s">
        <v>6930</v>
      </c>
      <c r="AM677" t="s">
        <v>6931</v>
      </c>
      <c r="AN677" t="s">
        <v>6932</v>
      </c>
      <c r="AO677" t="s">
        <v>6933</v>
      </c>
      <c r="AP677" t="s">
        <v>74</v>
      </c>
      <c r="AQ677" t="s">
        <v>74</v>
      </c>
      <c r="AR677" t="s">
        <v>6923</v>
      </c>
      <c r="AS677" t="s">
        <v>6934</v>
      </c>
      <c r="AT677" t="s">
        <v>11135</v>
      </c>
      <c r="AU677">
        <v>2020</v>
      </c>
      <c r="AV677">
        <v>15</v>
      </c>
      <c r="AW677">
        <v>7</v>
      </c>
      <c r="AX677" t="s">
        <v>74</v>
      </c>
      <c r="AY677" t="s">
        <v>74</v>
      </c>
      <c r="AZ677" t="s">
        <v>74</v>
      </c>
      <c r="BA677" t="s">
        <v>74</v>
      </c>
      <c r="BB677" t="s">
        <v>74</v>
      </c>
      <c r="BC677" t="s">
        <v>74</v>
      </c>
      <c r="BD677" t="s">
        <v>11136</v>
      </c>
      <c r="BE677" t="s">
        <v>11137</v>
      </c>
      <c r="BF677" t="str">
        <f>HYPERLINK("http://dx.doi.org/10.1371/journal.pone.0236128","http://dx.doi.org/10.1371/journal.pone.0236128")</f>
        <v>http://dx.doi.org/10.1371/journal.pone.0236128</v>
      </c>
      <c r="BG677" t="s">
        <v>74</v>
      </c>
      <c r="BH677" t="s">
        <v>74</v>
      </c>
      <c r="BI677">
        <v>16</v>
      </c>
      <c r="BJ677" t="s">
        <v>517</v>
      </c>
      <c r="BK677" t="s">
        <v>149</v>
      </c>
      <c r="BL677" t="s">
        <v>518</v>
      </c>
      <c r="BM677" t="s">
        <v>11138</v>
      </c>
      <c r="BN677">
        <v>32667940</v>
      </c>
      <c r="BO677" t="s">
        <v>520</v>
      </c>
      <c r="BP677" t="s">
        <v>74</v>
      </c>
      <c r="BQ677" t="s">
        <v>74</v>
      </c>
      <c r="BR677" t="s">
        <v>104</v>
      </c>
      <c r="BS677" t="s">
        <v>11139</v>
      </c>
      <c r="BT677" t="str">
        <f>HYPERLINK("https%3A%2F%2Fwww.webofscience.com%2Fwos%2Fwoscc%2Ffull-record%2FWOS:000560402000033","View Full Record in Web of Science")</f>
        <v>View Full Record in Web of Science</v>
      </c>
    </row>
    <row r="678" spans="1:72" x14ac:dyDescent="0.25">
      <c r="A678" t="s">
        <v>72</v>
      </c>
      <c r="B678" t="s">
        <v>11140</v>
      </c>
      <c r="C678" t="s">
        <v>74</v>
      </c>
      <c r="D678" t="s">
        <v>74</v>
      </c>
      <c r="E678" t="s">
        <v>74</v>
      </c>
      <c r="F678" t="s">
        <v>11141</v>
      </c>
      <c r="G678" t="s">
        <v>74</v>
      </c>
      <c r="H678" t="s">
        <v>74</v>
      </c>
      <c r="I678" t="s">
        <v>11142</v>
      </c>
      <c r="J678" t="s">
        <v>128</v>
      </c>
      <c r="K678" t="s">
        <v>74</v>
      </c>
      <c r="L678" t="s">
        <v>74</v>
      </c>
      <c r="M678" t="s">
        <v>78</v>
      </c>
      <c r="N678" t="s">
        <v>79</v>
      </c>
      <c r="O678" t="s">
        <v>74</v>
      </c>
      <c r="P678" t="s">
        <v>74</v>
      </c>
      <c r="Q678" t="s">
        <v>74</v>
      </c>
      <c r="R678" t="s">
        <v>74</v>
      </c>
      <c r="S678" t="s">
        <v>74</v>
      </c>
      <c r="T678" t="s">
        <v>11143</v>
      </c>
      <c r="U678" t="s">
        <v>11144</v>
      </c>
      <c r="V678" t="s">
        <v>11145</v>
      </c>
      <c r="W678" t="s">
        <v>11146</v>
      </c>
      <c r="X678" t="s">
        <v>2564</v>
      </c>
      <c r="Y678" t="s">
        <v>11147</v>
      </c>
      <c r="Z678" t="s">
        <v>11148</v>
      </c>
      <c r="AA678" t="s">
        <v>11149</v>
      </c>
      <c r="AB678" t="s">
        <v>9292</v>
      </c>
      <c r="AC678" t="s">
        <v>11150</v>
      </c>
      <c r="AD678" t="s">
        <v>11151</v>
      </c>
      <c r="AE678" t="s">
        <v>11152</v>
      </c>
      <c r="AF678" t="s">
        <v>74</v>
      </c>
      <c r="AG678">
        <v>60</v>
      </c>
      <c r="AH678">
        <v>24</v>
      </c>
      <c r="AI678">
        <v>24</v>
      </c>
      <c r="AJ678">
        <v>15</v>
      </c>
      <c r="AK678">
        <v>48</v>
      </c>
      <c r="AL678" t="s">
        <v>138</v>
      </c>
      <c r="AM678" t="s">
        <v>139</v>
      </c>
      <c r="AN678" t="s">
        <v>140</v>
      </c>
      <c r="AO678" t="s">
        <v>141</v>
      </c>
      <c r="AP678" t="s">
        <v>142</v>
      </c>
      <c r="AQ678" t="s">
        <v>74</v>
      </c>
      <c r="AR678" t="s">
        <v>143</v>
      </c>
      <c r="AS678" t="s">
        <v>144</v>
      </c>
      <c r="AT678" t="s">
        <v>1008</v>
      </c>
      <c r="AU678">
        <v>2024</v>
      </c>
      <c r="AV678">
        <v>241</v>
      </c>
      <c r="AW678" t="s">
        <v>74</v>
      </c>
      <c r="AX678" t="s">
        <v>74</v>
      </c>
      <c r="AY678" t="s">
        <v>74</v>
      </c>
      <c r="AZ678" t="s">
        <v>74</v>
      </c>
      <c r="BA678" t="s">
        <v>74</v>
      </c>
      <c r="BB678" t="s">
        <v>74</v>
      </c>
      <c r="BC678" t="s">
        <v>74</v>
      </c>
      <c r="BD678">
        <v>109578</v>
      </c>
      <c r="BE678" t="s">
        <v>11153</v>
      </c>
      <c r="BF678" t="str">
        <f>HYPERLINK("http://dx.doi.org/10.1016/j.ress.2023.109578","http://dx.doi.org/10.1016/j.ress.2023.109578")</f>
        <v>http://dx.doi.org/10.1016/j.ress.2023.109578</v>
      </c>
      <c r="BG678" t="s">
        <v>74</v>
      </c>
      <c r="BH678" t="s">
        <v>147</v>
      </c>
      <c r="BI678">
        <v>18</v>
      </c>
      <c r="BJ678" t="s">
        <v>148</v>
      </c>
      <c r="BK678" t="s">
        <v>149</v>
      </c>
      <c r="BL678" t="s">
        <v>150</v>
      </c>
      <c r="BM678" t="s">
        <v>11154</v>
      </c>
      <c r="BN678" t="s">
        <v>74</v>
      </c>
      <c r="BO678" t="s">
        <v>74</v>
      </c>
      <c r="BP678" t="s">
        <v>74</v>
      </c>
      <c r="BQ678" t="s">
        <v>74</v>
      </c>
      <c r="BR678" t="s">
        <v>104</v>
      </c>
      <c r="BS678" t="s">
        <v>11155</v>
      </c>
      <c r="BT678" t="str">
        <f>HYPERLINK("https%3A%2F%2Fwww.webofscience.com%2Fwos%2Fwoscc%2Ffull-record%2FWOS:001078422000001","View Full Record in Web of Science")</f>
        <v>View Full Record in Web of Science</v>
      </c>
    </row>
    <row r="679" spans="1:72" x14ac:dyDescent="0.25">
      <c r="A679" t="s">
        <v>72</v>
      </c>
      <c r="B679" t="s">
        <v>11156</v>
      </c>
      <c r="C679" t="s">
        <v>74</v>
      </c>
      <c r="D679" t="s">
        <v>74</v>
      </c>
      <c r="E679" t="s">
        <v>74</v>
      </c>
      <c r="F679" t="s">
        <v>11157</v>
      </c>
      <c r="G679" t="s">
        <v>74</v>
      </c>
      <c r="H679" t="s">
        <v>74</v>
      </c>
      <c r="I679" t="s">
        <v>11158</v>
      </c>
      <c r="J679" t="s">
        <v>11159</v>
      </c>
      <c r="K679" t="s">
        <v>74</v>
      </c>
      <c r="L679" t="s">
        <v>74</v>
      </c>
      <c r="M679" t="s">
        <v>78</v>
      </c>
      <c r="N679" t="s">
        <v>79</v>
      </c>
      <c r="O679" t="s">
        <v>74</v>
      </c>
      <c r="P679" t="s">
        <v>74</v>
      </c>
      <c r="Q679" t="s">
        <v>74</v>
      </c>
      <c r="R679" t="s">
        <v>74</v>
      </c>
      <c r="S679" t="s">
        <v>74</v>
      </c>
      <c r="T679" t="s">
        <v>11160</v>
      </c>
      <c r="U679" t="s">
        <v>11161</v>
      </c>
      <c r="V679" t="s">
        <v>11162</v>
      </c>
      <c r="W679" t="s">
        <v>11163</v>
      </c>
      <c r="X679" t="s">
        <v>11164</v>
      </c>
      <c r="Y679" t="s">
        <v>11165</v>
      </c>
      <c r="Z679" t="s">
        <v>6017</v>
      </c>
      <c r="AA679" t="s">
        <v>74</v>
      </c>
      <c r="AB679" t="s">
        <v>74</v>
      </c>
      <c r="AC679" t="s">
        <v>74</v>
      </c>
      <c r="AD679" t="s">
        <v>74</v>
      </c>
      <c r="AE679" t="s">
        <v>74</v>
      </c>
      <c r="AF679" t="s">
        <v>74</v>
      </c>
      <c r="AG679">
        <v>34</v>
      </c>
      <c r="AH679">
        <v>7</v>
      </c>
      <c r="AI679">
        <v>9</v>
      </c>
      <c r="AJ679">
        <v>1</v>
      </c>
      <c r="AK679">
        <v>15</v>
      </c>
      <c r="AL679" t="s">
        <v>1415</v>
      </c>
      <c r="AM679" t="s">
        <v>1416</v>
      </c>
      <c r="AN679" t="s">
        <v>1417</v>
      </c>
      <c r="AO679" t="s">
        <v>11166</v>
      </c>
      <c r="AP679" t="s">
        <v>11167</v>
      </c>
      <c r="AQ679" t="s">
        <v>74</v>
      </c>
      <c r="AR679" t="s">
        <v>11168</v>
      </c>
      <c r="AS679" t="s">
        <v>11169</v>
      </c>
      <c r="AT679" t="s">
        <v>5613</v>
      </c>
      <c r="AU679">
        <v>2020</v>
      </c>
      <c r="AV679">
        <v>52</v>
      </c>
      <c r="AW679">
        <v>3</v>
      </c>
      <c r="AX679" t="s">
        <v>74</v>
      </c>
      <c r="AY679" t="s">
        <v>74</v>
      </c>
      <c r="AZ679" t="s">
        <v>74</v>
      </c>
      <c r="BA679" t="s">
        <v>74</v>
      </c>
      <c r="BB679">
        <v>293</v>
      </c>
      <c r="BC679">
        <v>303</v>
      </c>
      <c r="BD679" t="s">
        <v>74</v>
      </c>
      <c r="BE679" t="s">
        <v>11170</v>
      </c>
      <c r="BF679" t="str">
        <f>HYPERLINK("http://dx.doi.org/10.1080/00224065.2019.1611347","http://dx.doi.org/10.1080/00224065.2019.1611347")</f>
        <v>http://dx.doi.org/10.1080/00224065.2019.1611347</v>
      </c>
      <c r="BG679" t="s">
        <v>74</v>
      </c>
      <c r="BH679" t="s">
        <v>74</v>
      </c>
      <c r="BI679">
        <v>11</v>
      </c>
      <c r="BJ679" t="s">
        <v>1951</v>
      </c>
      <c r="BK679" t="s">
        <v>149</v>
      </c>
      <c r="BL679" t="s">
        <v>1952</v>
      </c>
      <c r="BM679" t="s">
        <v>11171</v>
      </c>
      <c r="BN679" t="s">
        <v>74</v>
      </c>
      <c r="BO679" t="s">
        <v>74</v>
      </c>
      <c r="BP679" t="s">
        <v>74</v>
      </c>
      <c r="BQ679" t="s">
        <v>74</v>
      </c>
      <c r="BR679" t="s">
        <v>104</v>
      </c>
      <c r="BS679" t="s">
        <v>11172</v>
      </c>
      <c r="BT679" t="str">
        <f>HYPERLINK("https%3A%2F%2Fwww.webofscience.com%2Fwos%2Fwoscc%2Ffull-record%2FWOS:000552104200004","View Full Record in Web of Science")</f>
        <v>View Full Record in Web of Science</v>
      </c>
    </row>
    <row r="680" spans="1:72" x14ac:dyDescent="0.25">
      <c r="A680" t="s">
        <v>72</v>
      </c>
      <c r="B680" t="s">
        <v>11173</v>
      </c>
      <c r="C680" t="s">
        <v>74</v>
      </c>
      <c r="D680" t="s">
        <v>74</v>
      </c>
      <c r="E680" t="s">
        <v>74</v>
      </c>
      <c r="F680" t="s">
        <v>11174</v>
      </c>
      <c r="G680" t="s">
        <v>74</v>
      </c>
      <c r="H680" t="s">
        <v>74</v>
      </c>
      <c r="I680" t="s">
        <v>11175</v>
      </c>
      <c r="J680" t="s">
        <v>11176</v>
      </c>
      <c r="K680" t="s">
        <v>74</v>
      </c>
      <c r="L680" t="s">
        <v>74</v>
      </c>
      <c r="M680" t="s">
        <v>78</v>
      </c>
      <c r="N680" t="s">
        <v>79</v>
      </c>
      <c r="O680" t="s">
        <v>74</v>
      </c>
      <c r="P680" t="s">
        <v>74</v>
      </c>
      <c r="Q680" t="s">
        <v>74</v>
      </c>
      <c r="R680" t="s">
        <v>74</v>
      </c>
      <c r="S680" t="s">
        <v>74</v>
      </c>
      <c r="T680" t="s">
        <v>11177</v>
      </c>
      <c r="U680" t="s">
        <v>11178</v>
      </c>
      <c r="V680" t="s">
        <v>11179</v>
      </c>
      <c r="W680" t="s">
        <v>11180</v>
      </c>
      <c r="X680" t="s">
        <v>11181</v>
      </c>
      <c r="Y680" t="s">
        <v>11182</v>
      </c>
      <c r="Z680" t="s">
        <v>11183</v>
      </c>
      <c r="AA680" t="s">
        <v>11184</v>
      </c>
      <c r="AB680" t="s">
        <v>11185</v>
      </c>
      <c r="AC680" t="s">
        <v>74</v>
      </c>
      <c r="AD680" t="s">
        <v>74</v>
      </c>
      <c r="AE680" t="s">
        <v>74</v>
      </c>
      <c r="AF680" t="s">
        <v>74</v>
      </c>
      <c r="AG680">
        <v>41</v>
      </c>
      <c r="AH680">
        <v>0</v>
      </c>
      <c r="AI680">
        <v>0</v>
      </c>
      <c r="AJ680">
        <v>0</v>
      </c>
      <c r="AK680">
        <v>1</v>
      </c>
      <c r="AL680" t="s">
        <v>11186</v>
      </c>
      <c r="AM680" t="s">
        <v>553</v>
      </c>
      <c r="AN680" t="s">
        <v>11187</v>
      </c>
      <c r="AO680" t="s">
        <v>74</v>
      </c>
      <c r="AP680" t="s">
        <v>11188</v>
      </c>
      <c r="AQ680" t="s">
        <v>74</v>
      </c>
      <c r="AR680" t="s">
        <v>11189</v>
      </c>
      <c r="AS680" t="s">
        <v>11190</v>
      </c>
      <c r="AT680" t="s">
        <v>11191</v>
      </c>
      <c r="AU680">
        <v>2024</v>
      </c>
      <c r="AV680">
        <v>17</v>
      </c>
      <c r="AW680">
        <v>1</v>
      </c>
      <c r="AX680" t="s">
        <v>74</v>
      </c>
      <c r="AY680" t="s">
        <v>74</v>
      </c>
      <c r="AZ680" t="s">
        <v>74</v>
      </c>
      <c r="BA680" t="s">
        <v>74</v>
      </c>
      <c r="BB680" t="s">
        <v>74</v>
      </c>
      <c r="BC680" t="s">
        <v>74</v>
      </c>
      <c r="BD680">
        <v>133</v>
      </c>
      <c r="BE680" t="s">
        <v>11192</v>
      </c>
      <c r="BF680" t="str">
        <f>HYPERLINK("http://dx.doi.org/10.1186/s13104-024-06791-y","http://dx.doi.org/10.1186/s13104-024-06791-y")</f>
        <v>http://dx.doi.org/10.1186/s13104-024-06791-y</v>
      </c>
      <c r="BG680" t="s">
        <v>74</v>
      </c>
      <c r="BH680" t="s">
        <v>74</v>
      </c>
      <c r="BI680">
        <v>11</v>
      </c>
      <c r="BJ680" t="s">
        <v>11193</v>
      </c>
      <c r="BK680" t="s">
        <v>101</v>
      </c>
      <c r="BL680" t="s">
        <v>11194</v>
      </c>
      <c r="BM680" t="s">
        <v>11195</v>
      </c>
      <c r="BN680">
        <v>38735941</v>
      </c>
      <c r="BO680" t="s">
        <v>6520</v>
      </c>
      <c r="BP680" t="s">
        <v>74</v>
      </c>
      <c r="BQ680" t="s">
        <v>74</v>
      </c>
      <c r="BR680" t="s">
        <v>104</v>
      </c>
      <c r="BS680" t="s">
        <v>11196</v>
      </c>
      <c r="BT680" t="str">
        <f>HYPERLINK("https%3A%2F%2Fwww.webofscience.com%2Fwos%2Fwoscc%2Ffull-record%2FWOS:001220157700001","View Full Record in Web of Science")</f>
        <v>View Full Record in Web of Science</v>
      </c>
    </row>
    <row r="681" spans="1:72" x14ac:dyDescent="0.25">
      <c r="A681" t="s">
        <v>72</v>
      </c>
      <c r="B681" t="s">
        <v>11197</v>
      </c>
      <c r="C681" t="s">
        <v>74</v>
      </c>
      <c r="D681" t="s">
        <v>74</v>
      </c>
      <c r="E681" t="s">
        <v>74</v>
      </c>
      <c r="F681" t="s">
        <v>11198</v>
      </c>
      <c r="G681" t="s">
        <v>74</v>
      </c>
      <c r="H681" t="s">
        <v>74</v>
      </c>
      <c r="I681" t="s">
        <v>11199</v>
      </c>
      <c r="J681" t="s">
        <v>128</v>
      </c>
      <c r="K681" t="s">
        <v>74</v>
      </c>
      <c r="L681" t="s">
        <v>74</v>
      </c>
      <c r="M681" t="s">
        <v>78</v>
      </c>
      <c r="N681" t="s">
        <v>79</v>
      </c>
      <c r="O681" t="s">
        <v>74</v>
      </c>
      <c r="P681" t="s">
        <v>74</v>
      </c>
      <c r="Q681" t="s">
        <v>74</v>
      </c>
      <c r="R681" t="s">
        <v>74</v>
      </c>
      <c r="S681" t="s">
        <v>74</v>
      </c>
      <c r="T681" t="s">
        <v>11200</v>
      </c>
      <c r="U681" t="s">
        <v>11201</v>
      </c>
      <c r="V681" t="s">
        <v>11202</v>
      </c>
      <c r="W681" t="s">
        <v>11203</v>
      </c>
      <c r="X681" t="s">
        <v>11204</v>
      </c>
      <c r="Y681" t="s">
        <v>11205</v>
      </c>
      <c r="Z681" t="s">
        <v>11085</v>
      </c>
      <c r="AA681" t="s">
        <v>74</v>
      </c>
      <c r="AB681" t="s">
        <v>8835</v>
      </c>
      <c r="AC681" t="s">
        <v>11206</v>
      </c>
      <c r="AD681" t="s">
        <v>11207</v>
      </c>
      <c r="AE681" t="s">
        <v>11208</v>
      </c>
      <c r="AF681" t="s">
        <v>74</v>
      </c>
      <c r="AG681">
        <v>37</v>
      </c>
      <c r="AH681">
        <v>0</v>
      </c>
      <c r="AI681">
        <v>0</v>
      </c>
      <c r="AJ681">
        <v>7</v>
      </c>
      <c r="AK681">
        <v>14</v>
      </c>
      <c r="AL681" t="s">
        <v>138</v>
      </c>
      <c r="AM681" t="s">
        <v>139</v>
      </c>
      <c r="AN681" t="s">
        <v>140</v>
      </c>
      <c r="AO681" t="s">
        <v>141</v>
      </c>
      <c r="AP681" t="s">
        <v>142</v>
      </c>
      <c r="AQ681" t="s">
        <v>74</v>
      </c>
      <c r="AR681" t="s">
        <v>143</v>
      </c>
      <c r="AS681" t="s">
        <v>144</v>
      </c>
      <c r="AT681" t="s">
        <v>1202</v>
      </c>
      <c r="AU681">
        <v>2024</v>
      </c>
      <c r="AV681">
        <v>245</v>
      </c>
      <c r="AW681" t="s">
        <v>74</v>
      </c>
      <c r="AX681" t="s">
        <v>74</v>
      </c>
      <c r="AY681" t="s">
        <v>74</v>
      </c>
      <c r="AZ681" t="s">
        <v>74</v>
      </c>
      <c r="BA681" t="s">
        <v>74</v>
      </c>
      <c r="BB681" t="s">
        <v>74</v>
      </c>
      <c r="BC681" t="s">
        <v>74</v>
      </c>
      <c r="BD681">
        <v>109990</v>
      </c>
      <c r="BE681" t="s">
        <v>11209</v>
      </c>
      <c r="BF681" t="str">
        <f>HYPERLINK("http://dx.doi.org/10.1016/j.ress.2024.109990","http://dx.doi.org/10.1016/j.ress.2024.109990")</f>
        <v>http://dx.doi.org/10.1016/j.ress.2024.109990</v>
      </c>
      <c r="BG681" t="s">
        <v>74</v>
      </c>
      <c r="BH681" t="s">
        <v>2862</v>
      </c>
      <c r="BI681">
        <v>10</v>
      </c>
      <c r="BJ681" t="s">
        <v>148</v>
      </c>
      <c r="BK681" t="s">
        <v>149</v>
      </c>
      <c r="BL681" t="s">
        <v>150</v>
      </c>
      <c r="BM681" t="s">
        <v>11210</v>
      </c>
      <c r="BN681" t="s">
        <v>74</v>
      </c>
      <c r="BO681" t="s">
        <v>74</v>
      </c>
      <c r="BP681" t="s">
        <v>74</v>
      </c>
      <c r="BQ681" t="s">
        <v>74</v>
      </c>
      <c r="BR681" t="s">
        <v>104</v>
      </c>
      <c r="BS681" t="s">
        <v>11211</v>
      </c>
      <c r="BT681" t="str">
        <f>HYPERLINK("https%3A%2F%2Fwww.webofscience.com%2Fwos%2Fwoscc%2Ffull-record%2FWOS:001184007400001","View Full Record in Web of Science")</f>
        <v>View Full Record in Web of Science</v>
      </c>
    </row>
    <row r="682" spans="1:72" x14ac:dyDescent="0.25">
      <c r="A682" t="s">
        <v>72</v>
      </c>
      <c r="B682" t="s">
        <v>11212</v>
      </c>
      <c r="C682" t="s">
        <v>74</v>
      </c>
      <c r="D682" t="s">
        <v>74</v>
      </c>
      <c r="E682" t="s">
        <v>74</v>
      </c>
      <c r="F682" t="s">
        <v>11213</v>
      </c>
      <c r="G682" t="s">
        <v>74</v>
      </c>
      <c r="H682" t="s">
        <v>74</v>
      </c>
      <c r="I682" t="s">
        <v>11214</v>
      </c>
      <c r="J682" t="s">
        <v>1557</v>
      </c>
      <c r="K682" t="s">
        <v>74</v>
      </c>
      <c r="L682" t="s">
        <v>74</v>
      </c>
      <c r="M682" t="s">
        <v>78</v>
      </c>
      <c r="N682" t="s">
        <v>79</v>
      </c>
      <c r="O682" t="s">
        <v>74</v>
      </c>
      <c r="P682" t="s">
        <v>74</v>
      </c>
      <c r="Q682" t="s">
        <v>74</v>
      </c>
      <c r="R682" t="s">
        <v>74</v>
      </c>
      <c r="S682" t="s">
        <v>74</v>
      </c>
      <c r="T682" t="s">
        <v>11215</v>
      </c>
      <c r="U682" t="s">
        <v>11216</v>
      </c>
      <c r="V682" t="s">
        <v>11217</v>
      </c>
      <c r="W682" t="s">
        <v>11218</v>
      </c>
      <c r="X682" t="s">
        <v>11219</v>
      </c>
      <c r="Y682" t="s">
        <v>11220</v>
      </c>
      <c r="Z682" t="s">
        <v>11221</v>
      </c>
      <c r="AA682" t="s">
        <v>11222</v>
      </c>
      <c r="AB682" t="s">
        <v>11223</v>
      </c>
      <c r="AC682" t="s">
        <v>11224</v>
      </c>
      <c r="AD682" t="s">
        <v>11225</v>
      </c>
      <c r="AE682" t="s">
        <v>11226</v>
      </c>
      <c r="AF682" t="s">
        <v>74</v>
      </c>
      <c r="AG682">
        <v>46</v>
      </c>
      <c r="AH682">
        <v>5</v>
      </c>
      <c r="AI682">
        <v>5</v>
      </c>
      <c r="AJ682">
        <v>8</v>
      </c>
      <c r="AK682">
        <v>27</v>
      </c>
      <c r="AL682" t="s">
        <v>707</v>
      </c>
      <c r="AM682" t="s">
        <v>246</v>
      </c>
      <c r="AN682" t="s">
        <v>708</v>
      </c>
      <c r="AO682" t="s">
        <v>1569</v>
      </c>
      <c r="AP682" t="s">
        <v>1570</v>
      </c>
      <c r="AQ682" t="s">
        <v>74</v>
      </c>
      <c r="AR682" t="s">
        <v>1571</v>
      </c>
      <c r="AS682" t="s">
        <v>1572</v>
      </c>
      <c r="AT682" t="s">
        <v>8855</v>
      </c>
      <c r="AU682">
        <v>2024</v>
      </c>
      <c r="AV682">
        <v>238</v>
      </c>
      <c r="AW682" t="s">
        <v>74</v>
      </c>
      <c r="AX682" t="s">
        <v>11227</v>
      </c>
      <c r="AY682" t="s">
        <v>74</v>
      </c>
      <c r="AZ682" t="s">
        <v>74</v>
      </c>
      <c r="BA682" t="s">
        <v>74</v>
      </c>
      <c r="BB682" t="s">
        <v>74</v>
      </c>
      <c r="BC682" t="s">
        <v>74</v>
      </c>
      <c r="BD682">
        <v>121812</v>
      </c>
      <c r="BE682" t="s">
        <v>11228</v>
      </c>
      <c r="BF682" t="str">
        <f>HYPERLINK("http://dx.doi.org/10.1016/j.eswa.2023.121812","http://dx.doi.org/10.1016/j.eswa.2023.121812")</f>
        <v>http://dx.doi.org/10.1016/j.eswa.2023.121812</v>
      </c>
      <c r="BG682" t="s">
        <v>74</v>
      </c>
      <c r="BH682" t="s">
        <v>846</v>
      </c>
      <c r="BI682">
        <v>21</v>
      </c>
      <c r="BJ682" t="s">
        <v>1575</v>
      </c>
      <c r="BK682" t="s">
        <v>149</v>
      </c>
      <c r="BL682" t="s">
        <v>1576</v>
      </c>
      <c r="BM682" t="s">
        <v>11229</v>
      </c>
      <c r="BN682" t="s">
        <v>74</v>
      </c>
      <c r="BO682" t="s">
        <v>74</v>
      </c>
      <c r="BP682" t="s">
        <v>74</v>
      </c>
      <c r="BQ682" t="s">
        <v>74</v>
      </c>
      <c r="BR682" t="s">
        <v>104</v>
      </c>
      <c r="BS682" t="s">
        <v>11230</v>
      </c>
      <c r="BT682" t="str">
        <f>HYPERLINK("https%3A%2F%2Fwww.webofscience.com%2Fwos%2Fwoscc%2Ffull-record%2FWOS:001097317000001","View Full Record in Web of Science")</f>
        <v>View Full Record in Web of Science</v>
      </c>
    </row>
    <row r="683" spans="1:72" x14ac:dyDescent="0.25">
      <c r="A683" t="s">
        <v>72</v>
      </c>
      <c r="B683" t="s">
        <v>11231</v>
      </c>
      <c r="C683" t="s">
        <v>74</v>
      </c>
      <c r="D683" t="s">
        <v>74</v>
      </c>
      <c r="E683" t="s">
        <v>74</v>
      </c>
      <c r="F683" t="s">
        <v>11232</v>
      </c>
      <c r="G683" t="s">
        <v>74</v>
      </c>
      <c r="H683" t="s">
        <v>74</v>
      </c>
      <c r="I683" t="s">
        <v>11233</v>
      </c>
      <c r="J683" t="s">
        <v>128</v>
      </c>
      <c r="K683" t="s">
        <v>74</v>
      </c>
      <c r="L683" t="s">
        <v>74</v>
      </c>
      <c r="M683" t="s">
        <v>78</v>
      </c>
      <c r="N683" t="s">
        <v>79</v>
      </c>
      <c r="O683" t="s">
        <v>74</v>
      </c>
      <c r="P683" t="s">
        <v>74</v>
      </c>
      <c r="Q683" t="s">
        <v>74</v>
      </c>
      <c r="R683" t="s">
        <v>74</v>
      </c>
      <c r="S683" t="s">
        <v>74</v>
      </c>
      <c r="T683" t="s">
        <v>11234</v>
      </c>
      <c r="U683" t="s">
        <v>11235</v>
      </c>
      <c r="V683" t="s">
        <v>11236</v>
      </c>
      <c r="W683" t="s">
        <v>11237</v>
      </c>
      <c r="X683" t="s">
        <v>11238</v>
      </c>
      <c r="Y683" t="s">
        <v>11239</v>
      </c>
      <c r="Z683" t="s">
        <v>11240</v>
      </c>
      <c r="AA683" t="s">
        <v>11241</v>
      </c>
      <c r="AB683" t="s">
        <v>11242</v>
      </c>
      <c r="AC683" t="s">
        <v>11243</v>
      </c>
      <c r="AD683" t="s">
        <v>11244</v>
      </c>
      <c r="AE683" t="s">
        <v>11245</v>
      </c>
      <c r="AF683" t="s">
        <v>74</v>
      </c>
      <c r="AG683">
        <v>58</v>
      </c>
      <c r="AH683">
        <v>7</v>
      </c>
      <c r="AI683">
        <v>7</v>
      </c>
      <c r="AJ683">
        <v>5</v>
      </c>
      <c r="AK683">
        <v>35</v>
      </c>
      <c r="AL683" t="s">
        <v>138</v>
      </c>
      <c r="AM683" t="s">
        <v>139</v>
      </c>
      <c r="AN683" t="s">
        <v>140</v>
      </c>
      <c r="AO683" t="s">
        <v>141</v>
      </c>
      <c r="AP683" t="s">
        <v>142</v>
      </c>
      <c r="AQ683" t="s">
        <v>74</v>
      </c>
      <c r="AR683" t="s">
        <v>143</v>
      </c>
      <c r="AS683" t="s">
        <v>144</v>
      </c>
      <c r="AT683" t="s">
        <v>1076</v>
      </c>
      <c r="AU683">
        <v>2023</v>
      </c>
      <c r="AV683">
        <v>238</v>
      </c>
      <c r="AW683" t="s">
        <v>74</v>
      </c>
      <c r="AX683" t="s">
        <v>74</v>
      </c>
      <c r="AY683" t="s">
        <v>74</v>
      </c>
      <c r="AZ683" t="s">
        <v>74</v>
      </c>
      <c r="BA683" t="s">
        <v>74</v>
      </c>
      <c r="BB683" t="s">
        <v>74</v>
      </c>
      <c r="BC683" t="s">
        <v>74</v>
      </c>
      <c r="BD683">
        <v>109460</v>
      </c>
      <c r="BE683" t="s">
        <v>11246</v>
      </c>
      <c r="BF683" t="str">
        <f>HYPERLINK("http://dx.doi.org/10.1016/j.ress.2023.109460","http://dx.doi.org/10.1016/j.ress.2023.109460")</f>
        <v>http://dx.doi.org/10.1016/j.ress.2023.109460</v>
      </c>
      <c r="BG683" t="s">
        <v>74</v>
      </c>
      <c r="BH683" t="s">
        <v>1155</v>
      </c>
      <c r="BI683">
        <v>18</v>
      </c>
      <c r="BJ683" t="s">
        <v>148</v>
      </c>
      <c r="BK683" t="s">
        <v>149</v>
      </c>
      <c r="BL683" t="s">
        <v>150</v>
      </c>
      <c r="BM683" t="s">
        <v>11247</v>
      </c>
      <c r="BN683" t="s">
        <v>74</v>
      </c>
      <c r="BO683" t="s">
        <v>1578</v>
      </c>
      <c r="BP683" t="s">
        <v>74</v>
      </c>
      <c r="BQ683" t="s">
        <v>74</v>
      </c>
      <c r="BR683" t="s">
        <v>104</v>
      </c>
      <c r="BS683" t="s">
        <v>11248</v>
      </c>
      <c r="BT683" t="str">
        <f>HYPERLINK("https%3A%2F%2Fwww.webofscience.com%2Fwos%2Fwoscc%2Ffull-record%2FWOS:001034708500001","View Full Record in Web of Science")</f>
        <v>View Full Record in Web of Science</v>
      </c>
    </row>
    <row r="684" spans="1:72" x14ac:dyDescent="0.25">
      <c r="A684" t="s">
        <v>72</v>
      </c>
      <c r="B684" t="s">
        <v>11249</v>
      </c>
      <c r="C684" t="s">
        <v>74</v>
      </c>
      <c r="D684" t="s">
        <v>74</v>
      </c>
      <c r="E684" t="s">
        <v>74</v>
      </c>
      <c r="F684" t="s">
        <v>11250</v>
      </c>
      <c r="G684" t="s">
        <v>74</v>
      </c>
      <c r="H684" t="s">
        <v>74</v>
      </c>
      <c r="I684" t="s">
        <v>11251</v>
      </c>
      <c r="J684" t="s">
        <v>1932</v>
      </c>
      <c r="K684" t="s">
        <v>74</v>
      </c>
      <c r="L684" t="s">
        <v>74</v>
      </c>
      <c r="M684" t="s">
        <v>78</v>
      </c>
      <c r="N684" t="s">
        <v>79</v>
      </c>
      <c r="O684" t="s">
        <v>74</v>
      </c>
      <c r="P684" t="s">
        <v>74</v>
      </c>
      <c r="Q684" t="s">
        <v>74</v>
      </c>
      <c r="R684" t="s">
        <v>74</v>
      </c>
      <c r="S684" t="s">
        <v>74</v>
      </c>
      <c r="T684" t="s">
        <v>11252</v>
      </c>
      <c r="U684" t="s">
        <v>11253</v>
      </c>
      <c r="V684" t="s">
        <v>11254</v>
      </c>
      <c r="W684" t="s">
        <v>11255</v>
      </c>
      <c r="X684" t="s">
        <v>11256</v>
      </c>
      <c r="Y684" t="s">
        <v>11257</v>
      </c>
      <c r="Z684" t="s">
        <v>11258</v>
      </c>
      <c r="AA684" t="s">
        <v>11259</v>
      </c>
      <c r="AB684" t="s">
        <v>74</v>
      </c>
      <c r="AC684" t="s">
        <v>11260</v>
      </c>
      <c r="AD684" t="s">
        <v>11261</v>
      </c>
      <c r="AE684" t="s">
        <v>11262</v>
      </c>
      <c r="AF684" t="s">
        <v>74</v>
      </c>
      <c r="AG684">
        <v>46</v>
      </c>
      <c r="AH684">
        <v>9</v>
      </c>
      <c r="AI684">
        <v>9</v>
      </c>
      <c r="AJ684">
        <v>15</v>
      </c>
      <c r="AK684">
        <v>73</v>
      </c>
      <c r="AL684" t="s">
        <v>311</v>
      </c>
      <c r="AM684" t="s">
        <v>312</v>
      </c>
      <c r="AN684" t="s">
        <v>313</v>
      </c>
      <c r="AO684" t="s">
        <v>1945</v>
      </c>
      <c r="AP684" t="s">
        <v>1946</v>
      </c>
      <c r="AQ684" t="s">
        <v>74</v>
      </c>
      <c r="AR684" t="s">
        <v>1947</v>
      </c>
      <c r="AS684" t="s">
        <v>1948</v>
      </c>
      <c r="AT684" t="s">
        <v>1949</v>
      </c>
      <c r="AU684">
        <v>2024</v>
      </c>
      <c r="AV684">
        <v>21</v>
      </c>
      <c r="AW684">
        <v>2</v>
      </c>
      <c r="AX684" t="s">
        <v>74</v>
      </c>
      <c r="AY684" t="s">
        <v>74</v>
      </c>
      <c r="AZ684" t="s">
        <v>74</v>
      </c>
      <c r="BA684" t="s">
        <v>74</v>
      </c>
      <c r="BB684">
        <v>200</v>
      </c>
      <c r="BC684">
        <v>223</v>
      </c>
      <c r="BD684" t="s">
        <v>74</v>
      </c>
      <c r="BE684" t="s">
        <v>11263</v>
      </c>
      <c r="BF684" t="str">
        <f>HYPERLINK("http://dx.doi.org/10.1080/16843703.2023.2187011","http://dx.doi.org/10.1080/16843703.2023.2187011")</f>
        <v>http://dx.doi.org/10.1080/16843703.2023.2187011</v>
      </c>
      <c r="BG684" t="s">
        <v>74</v>
      </c>
      <c r="BH684" t="s">
        <v>1685</v>
      </c>
      <c r="BI684">
        <v>24</v>
      </c>
      <c r="BJ684" t="s">
        <v>1951</v>
      </c>
      <c r="BK684" t="s">
        <v>149</v>
      </c>
      <c r="BL684" t="s">
        <v>1952</v>
      </c>
      <c r="BM684" t="s">
        <v>11264</v>
      </c>
      <c r="BN684" t="s">
        <v>74</v>
      </c>
      <c r="BO684" t="s">
        <v>74</v>
      </c>
      <c r="BP684" t="s">
        <v>74</v>
      </c>
      <c r="BQ684" t="s">
        <v>74</v>
      </c>
      <c r="BR684" t="s">
        <v>104</v>
      </c>
      <c r="BS684" t="s">
        <v>11265</v>
      </c>
      <c r="BT684" t="str">
        <f>HYPERLINK("https%3A%2F%2Fwww.webofscience.com%2Fwos%2Fwoscc%2Ffull-record%2FWOS:000950064200001","View Full Record in Web of Science")</f>
        <v>View Full Record in Web of Science</v>
      </c>
    </row>
    <row r="685" spans="1:72" x14ac:dyDescent="0.25">
      <c r="A685" t="s">
        <v>72</v>
      </c>
      <c r="B685" t="s">
        <v>11266</v>
      </c>
      <c r="C685" t="s">
        <v>74</v>
      </c>
      <c r="D685" t="s">
        <v>74</v>
      </c>
      <c r="E685" t="s">
        <v>74</v>
      </c>
      <c r="F685" t="s">
        <v>11267</v>
      </c>
      <c r="G685" t="s">
        <v>74</v>
      </c>
      <c r="H685" t="s">
        <v>74</v>
      </c>
      <c r="I685" t="s">
        <v>11268</v>
      </c>
      <c r="J685" t="s">
        <v>128</v>
      </c>
      <c r="K685" t="s">
        <v>74</v>
      </c>
      <c r="L685" t="s">
        <v>74</v>
      </c>
      <c r="M685" t="s">
        <v>78</v>
      </c>
      <c r="N685" t="s">
        <v>79</v>
      </c>
      <c r="O685" t="s">
        <v>74</v>
      </c>
      <c r="P685" t="s">
        <v>74</v>
      </c>
      <c r="Q685" t="s">
        <v>74</v>
      </c>
      <c r="R685" t="s">
        <v>74</v>
      </c>
      <c r="S685" t="s">
        <v>74</v>
      </c>
      <c r="T685" t="s">
        <v>11269</v>
      </c>
      <c r="U685" t="s">
        <v>11270</v>
      </c>
      <c r="V685" t="s">
        <v>11271</v>
      </c>
      <c r="W685" t="s">
        <v>11272</v>
      </c>
      <c r="X685" t="s">
        <v>11273</v>
      </c>
      <c r="Y685" t="s">
        <v>5815</v>
      </c>
      <c r="Z685" t="s">
        <v>11274</v>
      </c>
      <c r="AA685" t="s">
        <v>74</v>
      </c>
      <c r="AB685" t="s">
        <v>74</v>
      </c>
      <c r="AC685" t="s">
        <v>11275</v>
      </c>
      <c r="AD685" t="s">
        <v>11276</v>
      </c>
      <c r="AE685" t="s">
        <v>11277</v>
      </c>
      <c r="AF685" t="s">
        <v>74</v>
      </c>
      <c r="AG685">
        <v>39</v>
      </c>
      <c r="AH685">
        <v>26</v>
      </c>
      <c r="AI685">
        <v>27</v>
      </c>
      <c r="AJ685">
        <v>2</v>
      </c>
      <c r="AK685">
        <v>38</v>
      </c>
      <c r="AL685" t="s">
        <v>138</v>
      </c>
      <c r="AM685" t="s">
        <v>246</v>
      </c>
      <c r="AN685" t="s">
        <v>247</v>
      </c>
      <c r="AO685" t="s">
        <v>141</v>
      </c>
      <c r="AP685" t="s">
        <v>142</v>
      </c>
      <c r="AQ685" t="s">
        <v>74</v>
      </c>
      <c r="AR685" t="s">
        <v>143</v>
      </c>
      <c r="AS685" t="s">
        <v>144</v>
      </c>
      <c r="AT685" t="s">
        <v>1008</v>
      </c>
      <c r="AU685">
        <v>2020</v>
      </c>
      <c r="AV685">
        <v>193</v>
      </c>
      <c r="AW685" t="s">
        <v>74</v>
      </c>
      <c r="AX685" t="s">
        <v>74</v>
      </c>
      <c r="AY685" t="s">
        <v>74</v>
      </c>
      <c r="AZ685" t="s">
        <v>74</v>
      </c>
      <c r="BA685" t="s">
        <v>74</v>
      </c>
      <c r="BB685" t="s">
        <v>74</v>
      </c>
      <c r="BC685" t="s">
        <v>74</v>
      </c>
      <c r="BD685">
        <v>106676</v>
      </c>
      <c r="BE685" t="s">
        <v>11278</v>
      </c>
      <c r="BF685" t="str">
        <f>HYPERLINK("http://dx.doi.org/10.1016/j.ress.2019.106676","http://dx.doi.org/10.1016/j.ress.2019.106676")</f>
        <v>http://dx.doi.org/10.1016/j.ress.2019.106676</v>
      </c>
      <c r="BG685" t="s">
        <v>74</v>
      </c>
      <c r="BH685" t="s">
        <v>74</v>
      </c>
      <c r="BI685">
        <v>14</v>
      </c>
      <c r="BJ685" t="s">
        <v>148</v>
      </c>
      <c r="BK685" t="s">
        <v>149</v>
      </c>
      <c r="BL685" t="s">
        <v>150</v>
      </c>
      <c r="BM685" t="s">
        <v>3881</v>
      </c>
      <c r="BN685" t="s">
        <v>74</v>
      </c>
      <c r="BO685" t="s">
        <v>74</v>
      </c>
      <c r="BP685" t="s">
        <v>74</v>
      </c>
      <c r="BQ685" t="s">
        <v>74</v>
      </c>
      <c r="BR685" t="s">
        <v>104</v>
      </c>
      <c r="BS685" t="s">
        <v>11279</v>
      </c>
      <c r="BT685" t="str">
        <f>HYPERLINK("https%3A%2F%2Fwww.webofscience.com%2Fwos%2Fwoscc%2Ffull-record%2FWOS:000501641400073","View Full Record in Web of Science")</f>
        <v>View Full Record in Web of Science</v>
      </c>
    </row>
    <row r="686" spans="1:72" x14ac:dyDescent="0.25">
      <c r="A686" t="s">
        <v>72</v>
      </c>
      <c r="B686" t="s">
        <v>11280</v>
      </c>
      <c r="C686" t="s">
        <v>74</v>
      </c>
      <c r="D686" t="s">
        <v>74</v>
      </c>
      <c r="E686" t="s">
        <v>74</v>
      </c>
      <c r="F686" t="s">
        <v>11281</v>
      </c>
      <c r="G686" t="s">
        <v>74</v>
      </c>
      <c r="H686" t="s">
        <v>74</v>
      </c>
      <c r="I686" t="s">
        <v>11282</v>
      </c>
      <c r="J686" t="s">
        <v>7614</v>
      </c>
      <c r="K686" t="s">
        <v>74</v>
      </c>
      <c r="L686" t="s">
        <v>74</v>
      </c>
      <c r="M686" t="s">
        <v>78</v>
      </c>
      <c r="N686" t="s">
        <v>1083</v>
      </c>
      <c r="O686" t="s">
        <v>74</v>
      </c>
      <c r="P686" t="s">
        <v>74</v>
      </c>
      <c r="Q686" t="s">
        <v>74</v>
      </c>
      <c r="R686" t="s">
        <v>74</v>
      </c>
      <c r="S686" t="s">
        <v>74</v>
      </c>
      <c r="T686" t="s">
        <v>11283</v>
      </c>
      <c r="U686" t="s">
        <v>74</v>
      </c>
      <c r="V686" t="s">
        <v>11284</v>
      </c>
      <c r="W686" t="s">
        <v>11285</v>
      </c>
      <c r="X686" t="s">
        <v>11286</v>
      </c>
      <c r="Y686" t="s">
        <v>11287</v>
      </c>
      <c r="Z686" t="s">
        <v>11288</v>
      </c>
      <c r="AA686" t="s">
        <v>11289</v>
      </c>
      <c r="AB686" t="s">
        <v>74</v>
      </c>
      <c r="AC686" t="s">
        <v>11290</v>
      </c>
      <c r="AD686" t="s">
        <v>11291</v>
      </c>
      <c r="AE686" t="s">
        <v>11292</v>
      </c>
      <c r="AF686" t="s">
        <v>74</v>
      </c>
      <c r="AG686">
        <v>32</v>
      </c>
      <c r="AH686">
        <v>0</v>
      </c>
      <c r="AI686">
        <v>0</v>
      </c>
      <c r="AJ686">
        <v>3</v>
      </c>
      <c r="AK686">
        <v>7</v>
      </c>
      <c r="AL686" t="s">
        <v>1415</v>
      </c>
      <c r="AM686" t="s">
        <v>1416</v>
      </c>
      <c r="AN686" t="s">
        <v>1417</v>
      </c>
      <c r="AO686" t="s">
        <v>7623</v>
      </c>
      <c r="AP686" t="s">
        <v>7624</v>
      </c>
      <c r="AQ686" t="s">
        <v>74</v>
      </c>
      <c r="AR686" t="s">
        <v>7625</v>
      </c>
      <c r="AS686" t="s">
        <v>7626</v>
      </c>
      <c r="AT686" t="s">
        <v>11293</v>
      </c>
      <c r="AU686">
        <v>2023</v>
      </c>
      <c r="AV686" t="s">
        <v>74</v>
      </c>
      <c r="AW686" t="s">
        <v>74</v>
      </c>
      <c r="AX686" t="s">
        <v>74</v>
      </c>
      <c r="AY686" t="s">
        <v>74</v>
      </c>
      <c r="AZ686" t="s">
        <v>74</v>
      </c>
      <c r="BA686" t="s">
        <v>74</v>
      </c>
      <c r="BB686" t="s">
        <v>74</v>
      </c>
      <c r="BC686" t="s">
        <v>74</v>
      </c>
      <c r="BD686" t="s">
        <v>74</v>
      </c>
      <c r="BE686" t="s">
        <v>11294</v>
      </c>
      <c r="BF686" t="str">
        <f>HYPERLINK("http://dx.doi.org/10.1080/08982112.2023.2285298","http://dx.doi.org/10.1080/08982112.2023.2285298")</f>
        <v>http://dx.doi.org/10.1080/08982112.2023.2285298</v>
      </c>
      <c r="BG686" t="s">
        <v>74</v>
      </c>
      <c r="BH686" t="s">
        <v>1111</v>
      </c>
      <c r="BI686">
        <v>13</v>
      </c>
      <c r="BJ686" t="s">
        <v>7629</v>
      </c>
      <c r="BK686" t="s">
        <v>149</v>
      </c>
      <c r="BL686" t="s">
        <v>7630</v>
      </c>
      <c r="BM686" t="s">
        <v>11295</v>
      </c>
      <c r="BN686" t="s">
        <v>74</v>
      </c>
      <c r="BO686" t="s">
        <v>74</v>
      </c>
      <c r="BP686" t="s">
        <v>74</v>
      </c>
      <c r="BQ686" t="s">
        <v>74</v>
      </c>
      <c r="BR686" t="s">
        <v>104</v>
      </c>
      <c r="BS686" t="s">
        <v>11296</v>
      </c>
      <c r="BT686" t="str">
        <f>HYPERLINK("https%3A%2F%2Fwww.webofscience.com%2Fwos%2Fwoscc%2Ffull-record%2FWOS:001111280100001","View Full Record in Web of Science")</f>
        <v>View Full Record in Web of Science</v>
      </c>
    </row>
    <row r="687" spans="1:72" x14ac:dyDescent="0.25">
      <c r="A687" t="s">
        <v>72</v>
      </c>
      <c r="B687" t="s">
        <v>11297</v>
      </c>
      <c r="C687" t="s">
        <v>74</v>
      </c>
      <c r="D687" t="s">
        <v>74</v>
      </c>
      <c r="E687" t="s">
        <v>74</v>
      </c>
      <c r="F687" t="s">
        <v>11298</v>
      </c>
      <c r="G687" t="s">
        <v>74</v>
      </c>
      <c r="H687" t="s">
        <v>74</v>
      </c>
      <c r="I687" t="s">
        <v>11299</v>
      </c>
      <c r="J687" t="s">
        <v>5192</v>
      </c>
      <c r="K687" t="s">
        <v>74</v>
      </c>
      <c r="L687" t="s">
        <v>74</v>
      </c>
      <c r="M687" t="s">
        <v>78</v>
      </c>
      <c r="N687" t="s">
        <v>79</v>
      </c>
      <c r="O687" t="s">
        <v>74</v>
      </c>
      <c r="P687" t="s">
        <v>74</v>
      </c>
      <c r="Q687" t="s">
        <v>74</v>
      </c>
      <c r="R687" t="s">
        <v>74</v>
      </c>
      <c r="S687" t="s">
        <v>74</v>
      </c>
      <c r="T687" t="s">
        <v>11300</v>
      </c>
      <c r="U687" t="s">
        <v>11301</v>
      </c>
      <c r="V687" t="s">
        <v>11302</v>
      </c>
      <c r="W687" t="s">
        <v>11303</v>
      </c>
      <c r="X687" t="s">
        <v>11304</v>
      </c>
      <c r="Y687" t="s">
        <v>11305</v>
      </c>
      <c r="Z687" t="s">
        <v>11306</v>
      </c>
      <c r="AA687" t="s">
        <v>11307</v>
      </c>
      <c r="AB687" t="s">
        <v>74</v>
      </c>
      <c r="AC687" t="s">
        <v>74</v>
      </c>
      <c r="AD687" t="s">
        <v>74</v>
      </c>
      <c r="AE687" t="s">
        <v>74</v>
      </c>
      <c r="AF687" t="s">
        <v>74</v>
      </c>
      <c r="AG687">
        <v>25</v>
      </c>
      <c r="AH687">
        <v>1</v>
      </c>
      <c r="AI687">
        <v>1</v>
      </c>
      <c r="AJ687">
        <v>8</v>
      </c>
      <c r="AK687">
        <v>17</v>
      </c>
      <c r="AL687" t="s">
        <v>5201</v>
      </c>
      <c r="AM687" t="s">
        <v>553</v>
      </c>
      <c r="AN687" t="s">
        <v>5202</v>
      </c>
      <c r="AO687" t="s">
        <v>74</v>
      </c>
      <c r="AP687" t="s">
        <v>5203</v>
      </c>
      <c r="AQ687" t="s">
        <v>74</v>
      </c>
      <c r="AR687" t="s">
        <v>5204</v>
      </c>
      <c r="AS687" t="s">
        <v>5205</v>
      </c>
      <c r="AT687" t="s">
        <v>11308</v>
      </c>
      <c r="AU687">
        <v>2024</v>
      </c>
      <c r="AV687">
        <v>10</v>
      </c>
      <c r="AW687" t="s">
        <v>74</v>
      </c>
      <c r="AX687" t="s">
        <v>74</v>
      </c>
      <c r="AY687" t="s">
        <v>74</v>
      </c>
      <c r="AZ687" t="s">
        <v>74</v>
      </c>
      <c r="BA687" t="s">
        <v>74</v>
      </c>
      <c r="BB687" t="s">
        <v>74</v>
      </c>
      <c r="BC687" t="s">
        <v>74</v>
      </c>
      <c r="BD687" t="s">
        <v>11309</v>
      </c>
      <c r="BE687" t="s">
        <v>11310</v>
      </c>
      <c r="BF687" t="str">
        <f>HYPERLINK("http://dx.doi.org/10.7717/peerj-cs.2044","http://dx.doi.org/10.7717/peerj-cs.2044")</f>
        <v>http://dx.doi.org/10.7717/peerj-cs.2044</v>
      </c>
      <c r="BG687" t="s">
        <v>74</v>
      </c>
      <c r="BH687" t="s">
        <v>74</v>
      </c>
      <c r="BI687">
        <v>16</v>
      </c>
      <c r="BJ687" t="s">
        <v>5208</v>
      </c>
      <c r="BK687" t="s">
        <v>149</v>
      </c>
      <c r="BL687" t="s">
        <v>1228</v>
      </c>
      <c r="BM687" t="s">
        <v>11311</v>
      </c>
      <c r="BN687">
        <v>38855258</v>
      </c>
      <c r="BO687" t="s">
        <v>6520</v>
      </c>
      <c r="BP687" t="s">
        <v>74</v>
      </c>
      <c r="BQ687" t="s">
        <v>74</v>
      </c>
      <c r="BR687" t="s">
        <v>104</v>
      </c>
      <c r="BS687" t="s">
        <v>11312</v>
      </c>
      <c r="BT687" t="str">
        <f>HYPERLINK("https%3A%2F%2Fwww.webofscience.com%2Fwos%2Fwoscc%2Ffull-record%2FWOS:001225375600001","View Full Record in Web of Science")</f>
        <v>View Full Record in Web of Science</v>
      </c>
    </row>
    <row r="688" spans="1:72" x14ac:dyDescent="0.25">
      <c r="A688" t="s">
        <v>72</v>
      </c>
      <c r="B688" t="s">
        <v>11313</v>
      </c>
      <c r="C688" t="s">
        <v>74</v>
      </c>
      <c r="D688" t="s">
        <v>74</v>
      </c>
      <c r="E688" t="s">
        <v>74</v>
      </c>
      <c r="F688" t="s">
        <v>11314</v>
      </c>
      <c r="G688" t="s">
        <v>74</v>
      </c>
      <c r="H688" t="s">
        <v>74</v>
      </c>
      <c r="I688" t="s">
        <v>11315</v>
      </c>
      <c r="J688" t="s">
        <v>2868</v>
      </c>
      <c r="K688" t="s">
        <v>74</v>
      </c>
      <c r="L688" t="s">
        <v>74</v>
      </c>
      <c r="M688" t="s">
        <v>78</v>
      </c>
      <c r="N688" t="s">
        <v>79</v>
      </c>
      <c r="O688" t="s">
        <v>74</v>
      </c>
      <c r="P688" t="s">
        <v>74</v>
      </c>
      <c r="Q688" t="s">
        <v>74</v>
      </c>
      <c r="R688" t="s">
        <v>74</v>
      </c>
      <c r="S688" t="s">
        <v>74</v>
      </c>
      <c r="T688" t="s">
        <v>11316</v>
      </c>
      <c r="U688" t="s">
        <v>11317</v>
      </c>
      <c r="V688" t="s">
        <v>11318</v>
      </c>
      <c r="W688" t="s">
        <v>11319</v>
      </c>
      <c r="X688" t="s">
        <v>11320</v>
      </c>
      <c r="Y688" t="s">
        <v>11321</v>
      </c>
      <c r="Z688" t="s">
        <v>11322</v>
      </c>
      <c r="AA688" t="s">
        <v>11323</v>
      </c>
      <c r="AB688" t="s">
        <v>6019</v>
      </c>
      <c r="AC688" t="s">
        <v>11324</v>
      </c>
      <c r="AD688" t="s">
        <v>11325</v>
      </c>
      <c r="AE688" t="s">
        <v>11326</v>
      </c>
      <c r="AF688" t="s">
        <v>74</v>
      </c>
      <c r="AG688">
        <v>34</v>
      </c>
      <c r="AH688">
        <v>19</v>
      </c>
      <c r="AI688">
        <v>19</v>
      </c>
      <c r="AJ688">
        <v>2</v>
      </c>
      <c r="AK688">
        <v>13</v>
      </c>
      <c r="AL688" t="s">
        <v>2880</v>
      </c>
      <c r="AM688" t="s">
        <v>2881</v>
      </c>
      <c r="AN688" t="s">
        <v>2882</v>
      </c>
      <c r="AO688" t="s">
        <v>2883</v>
      </c>
      <c r="AP688" t="s">
        <v>2884</v>
      </c>
      <c r="AQ688" t="s">
        <v>74</v>
      </c>
      <c r="AR688" t="s">
        <v>2885</v>
      </c>
      <c r="AS688" t="s">
        <v>2886</v>
      </c>
      <c r="AT688" t="s">
        <v>145</v>
      </c>
      <c r="AU688">
        <v>2021</v>
      </c>
      <c r="AV688">
        <v>8</v>
      </c>
      <c r="AW688">
        <v>4</v>
      </c>
      <c r="AX688" t="s">
        <v>74</v>
      </c>
      <c r="AY688" t="s">
        <v>74</v>
      </c>
      <c r="AZ688" t="s">
        <v>74</v>
      </c>
      <c r="BA688" t="s">
        <v>74</v>
      </c>
      <c r="BB688">
        <v>519</v>
      </c>
      <c r="BC688">
        <v>530</v>
      </c>
      <c r="BD688" t="s">
        <v>74</v>
      </c>
      <c r="BE688" t="s">
        <v>11327</v>
      </c>
      <c r="BF688" t="str">
        <f>HYPERLINK("http://dx.doi.org/10.1007/s42524-021-0166-0","http://dx.doi.org/10.1007/s42524-021-0166-0")</f>
        <v>http://dx.doi.org/10.1007/s42524-021-0166-0</v>
      </c>
      <c r="BG688" t="s">
        <v>74</v>
      </c>
      <c r="BH688" t="s">
        <v>2573</v>
      </c>
      <c r="BI688">
        <v>12</v>
      </c>
      <c r="BJ688" t="s">
        <v>100</v>
      </c>
      <c r="BK688" t="s">
        <v>101</v>
      </c>
      <c r="BL688" t="s">
        <v>102</v>
      </c>
      <c r="BM688" t="s">
        <v>11328</v>
      </c>
      <c r="BN688" t="s">
        <v>74</v>
      </c>
      <c r="BO688" t="s">
        <v>74</v>
      </c>
      <c r="BP688" t="s">
        <v>74</v>
      </c>
      <c r="BQ688" t="s">
        <v>74</v>
      </c>
      <c r="BR688" t="s">
        <v>104</v>
      </c>
      <c r="BS688" t="s">
        <v>11329</v>
      </c>
      <c r="BT688" t="str">
        <f>HYPERLINK("https%3A%2F%2Fwww.webofscience.com%2Fwos%2Fwoscc%2Ffull-record%2FWOS:000683645900001","View Full Record in Web of Science")</f>
        <v>View Full Record in Web of Science</v>
      </c>
    </row>
    <row r="689" spans="1:72" x14ac:dyDescent="0.25">
      <c r="A689" t="s">
        <v>72</v>
      </c>
      <c r="B689" t="s">
        <v>11330</v>
      </c>
      <c r="C689" t="s">
        <v>74</v>
      </c>
      <c r="D689" t="s">
        <v>74</v>
      </c>
      <c r="E689" t="s">
        <v>74</v>
      </c>
      <c r="F689" t="s">
        <v>11331</v>
      </c>
      <c r="G689" t="s">
        <v>74</v>
      </c>
      <c r="H689" t="s">
        <v>74</v>
      </c>
      <c r="I689" t="s">
        <v>11332</v>
      </c>
      <c r="J689" t="s">
        <v>128</v>
      </c>
      <c r="K689" t="s">
        <v>74</v>
      </c>
      <c r="L689" t="s">
        <v>74</v>
      </c>
      <c r="M689" t="s">
        <v>78</v>
      </c>
      <c r="N689" t="s">
        <v>79</v>
      </c>
      <c r="O689" t="s">
        <v>74</v>
      </c>
      <c r="P689" t="s">
        <v>74</v>
      </c>
      <c r="Q689" t="s">
        <v>74</v>
      </c>
      <c r="R689" t="s">
        <v>74</v>
      </c>
      <c r="S689" t="s">
        <v>74</v>
      </c>
      <c r="T689" t="s">
        <v>11333</v>
      </c>
      <c r="U689" t="s">
        <v>11334</v>
      </c>
      <c r="V689" t="s">
        <v>11335</v>
      </c>
      <c r="W689" t="s">
        <v>11336</v>
      </c>
      <c r="X689" t="s">
        <v>11337</v>
      </c>
      <c r="Y689" t="s">
        <v>11338</v>
      </c>
      <c r="Z689" t="s">
        <v>10733</v>
      </c>
      <c r="AA689" t="s">
        <v>74</v>
      </c>
      <c r="AB689" t="s">
        <v>74</v>
      </c>
      <c r="AC689" t="s">
        <v>11339</v>
      </c>
      <c r="AD689" t="s">
        <v>11340</v>
      </c>
      <c r="AE689" t="s">
        <v>11341</v>
      </c>
      <c r="AF689" t="s">
        <v>74</v>
      </c>
      <c r="AG689">
        <v>38</v>
      </c>
      <c r="AH689">
        <v>10</v>
      </c>
      <c r="AI689">
        <v>11</v>
      </c>
      <c r="AJ689">
        <v>1</v>
      </c>
      <c r="AK689">
        <v>33</v>
      </c>
      <c r="AL689" t="s">
        <v>138</v>
      </c>
      <c r="AM689" t="s">
        <v>139</v>
      </c>
      <c r="AN689" t="s">
        <v>140</v>
      </c>
      <c r="AO689" t="s">
        <v>141</v>
      </c>
      <c r="AP689" t="s">
        <v>142</v>
      </c>
      <c r="AQ689" t="s">
        <v>74</v>
      </c>
      <c r="AR689" t="s">
        <v>143</v>
      </c>
      <c r="AS689" t="s">
        <v>144</v>
      </c>
      <c r="AT689" t="s">
        <v>205</v>
      </c>
      <c r="AU689">
        <v>2022</v>
      </c>
      <c r="AV689">
        <v>225</v>
      </c>
      <c r="AW689" t="s">
        <v>74</v>
      </c>
      <c r="AX689" t="s">
        <v>74</v>
      </c>
      <c r="AY689" t="s">
        <v>74</v>
      </c>
      <c r="AZ689" t="s">
        <v>74</v>
      </c>
      <c r="BA689" t="s">
        <v>74</v>
      </c>
      <c r="BB689" t="s">
        <v>74</v>
      </c>
      <c r="BC689" t="s">
        <v>74</v>
      </c>
      <c r="BD689">
        <v>108608</v>
      </c>
      <c r="BE689" t="s">
        <v>11342</v>
      </c>
      <c r="BF689" t="str">
        <f>HYPERLINK("http://dx.doi.org/10.1016/j.ress.2022.108608","http://dx.doi.org/10.1016/j.ress.2022.108608")</f>
        <v>http://dx.doi.org/10.1016/j.ress.2022.108608</v>
      </c>
      <c r="BG689" t="s">
        <v>74</v>
      </c>
      <c r="BH689" t="s">
        <v>581</v>
      </c>
      <c r="BI689">
        <v>16</v>
      </c>
      <c r="BJ689" t="s">
        <v>148</v>
      </c>
      <c r="BK689" t="s">
        <v>149</v>
      </c>
      <c r="BL689" t="s">
        <v>150</v>
      </c>
      <c r="BM689" t="s">
        <v>3139</v>
      </c>
      <c r="BN689" t="s">
        <v>74</v>
      </c>
      <c r="BO689" t="s">
        <v>74</v>
      </c>
      <c r="BP689" t="s">
        <v>74</v>
      </c>
      <c r="BQ689" t="s">
        <v>74</v>
      </c>
      <c r="BR689" t="s">
        <v>104</v>
      </c>
      <c r="BS689" t="s">
        <v>11343</v>
      </c>
      <c r="BT689" t="str">
        <f>HYPERLINK("https%3A%2F%2Fwww.webofscience.com%2Fwos%2Fwoscc%2Ffull-record%2FWOS:000809316300011","View Full Record in Web of Science")</f>
        <v>View Full Record in Web of Science</v>
      </c>
    </row>
    <row r="690" spans="1:72" x14ac:dyDescent="0.25">
      <c r="A690" t="s">
        <v>72</v>
      </c>
      <c r="B690" t="s">
        <v>11344</v>
      </c>
      <c r="C690" t="s">
        <v>74</v>
      </c>
      <c r="D690" t="s">
        <v>74</v>
      </c>
      <c r="E690" t="s">
        <v>74</v>
      </c>
      <c r="F690" t="s">
        <v>11345</v>
      </c>
      <c r="G690" t="s">
        <v>74</v>
      </c>
      <c r="H690" t="s">
        <v>74</v>
      </c>
      <c r="I690" t="s">
        <v>11346</v>
      </c>
      <c r="J690" t="s">
        <v>3529</v>
      </c>
      <c r="K690" t="s">
        <v>74</v>
      </c>
      <c r="L690" t="s">
        <v>74</v>
      </c>
      <c r="M690" t="s">
        <v>78</v>
      </c>
      <c r="N690" t="s">
        <v>1777</v>
      </c>
      <c r="O690" t="s">
        <v>11347</v>
      </c>
      <c r="P690">
        <v>2016</v>
      </c>
      <c r="Q690" t="s">
        <v>11348</v>
      </c>
      <c r="R690" t="s">
        <v>74</v>
      </c>
      <c r="S690" t="s">
        <v>74</v>
      </c>
      <c r="T690" t="s">
        <v>11349</v>
      </c>
      <c r="U690" t="s">
        <v>11350</v>
      </c>
      <c r="V690" t="s">
        <v>11351</v>
      </c>
      <c r="W690" t="s">
        <v>11352</v>
      </c>
      <c r="X690" t="s">
        <v>11353</v>
      </c>
      <c r="Y690" t="s">
        <v>11354</v>
      </c>
      <c r="Z690" t="s">
        <v>10845</v>
      </c>
      <c r="AA690" t="s">
        <v>11355</v>
      </c>
      <c r="AB690" t="s">
        <v>11356</v>
      </c>
      <c r="AC690" t="s">
        <v>11357</v>
      </c>
      <c r="AD690" t="s">
        <v>11088</v>
      </c>
      <c r="AE690" t="s">
        <v>11358</v>
      </c>
      <c r="AF690" t="s">
        <v>74</v>
      </c>
      <c r="AG690">
        <v>42</v>
      </c>
      <c r="AH690">
        <v>5</v>
      </c>
      <c r="AI690">
        <v>5</v>
      </c>
      <c r="AJ690">
        <v>0</v>
      </c>
      <c r="AK690">
        <v>5</v>
      </c>
      <c r="AL690" t="s">
        <v>3538</v>
      </c>
      <c r="AM690" t="s">
        <v>3539</v>
      </c>
      <c r="AN690" t="s">
        <v>3540</v>
      </c>
      <c r="AO690" t="s">
        <v>74</v>
      </c>
      <c r="AP690" t="s">
        <v>3541</v>
      </c>
      <c r="AQ690" t="s">
        <v>74</v>
      </c>
      <c r="AR690" t="s">
        <v>3542</v>
      </c>
      <c r="AS690" t="s">
        <v>3543</v>
      </c>
      <c r="AT690" t="s">
        <v>74</v>
      </c>
      <c r="AU690">
        <v>2019</v>
      </c>
      <c r="AV690">
        <v>26</v>
      </c>
      <c r="AW690">
        <v>1</v>
      </c>
      <c r="AX690" t="s">
        <v>74</v>
      </c>
      <c r="AY690" t="s">
        <v>74</v>
      </c>
      <c r="AZ690" t="s">
        <v>74</v>
      </c>
      <c r="BA690" t="s">
        <v>74</v>
      </c>
      <c r="BB690">
        <v>12</v>
      </c>
      <c r="BC690">
        <v>33</v>
      </c>
      <c r="BD690" t="s">
        <v>74</v>
      </c>
      <c r="BE690" t="s">
        <v>74</v>
      </c>
      <c r="BF690" t="s">
        <v>74</v>
      </c>
      <c r="BG690" t="s">
        <v>74</v>
      </c>
      <c r="BH690" t="s">
        <v>74</v>
      </c>
      <c r="BI690">
        <v>22</v>
      </c>
      <c r="BJ690" t="s">
        <v>3544</v>
      </c>
      <c r="BK690" t="s">
        <v>1792</v>
      </c>
      <c r="BL690" t="s">
        <v>102</v>
      </c>
      <c r="BM690" t="s">
        <v>11359</v>
      </c>
      <c r="BN690" t="s">
        <v>74</v>
      </c>
      <c r="BO690" t="s">
        <v>74</v>
      </c>
      <c r="BP690" t="s">
        <v>74</v>
      </c>
      <c r="BQ690" t="s">
        <v>74</v>
      </c>
      <c r="BR690" t="s">
        <v>104</v>
      </c>
      <c r="BS690" t="s">
        <v>11360</v>
      </c>
      <c r="BT690" t="str">
        <f>HYPERLINK("https%3A%2F%2Fwww.webofscience.com%2Fwos%2Fwoscc%2Ffull-record%2FWOS:000468305800002","View Full Record in Web of Science")</f>
        <v>View Full Record in Web of Science</v>
      </c>
    </row>
    <row r="691" spans="1:72" x14ac:dyDescent="0.25">
      <c r="A691" t="s">
        <v>72</v>
      </c>
      <c r="B691" t="s">
        <v>11361</v>
      </c>
      <c r="C691" t="s">
        <v>74</v>
      </c>
      <c r="D691" t="s">
        <v>74</v>
      </c>
      <c r="E691" t="s">
        <v>74</v>
      </c>
      <c r="F691" t="s">
        <v>11362</v>
      </c>
      <c r="G691" t="s">
        <v>74</v>
      </c>
      <c r="H691" t="s">
        <v>74</v>
      </c>
      <c r="I691" t="s">
        <v>11363</v>
      </c>
      <c r="J691" t="s">
        <v>128</v>
      </c>
      <c r="K691" t="s">
        <v>74</v>
      </c>
      <c r="L691" t="s">
        <v>74</v>
      </c>
      <c r="M691" t="s">
        <v>78</v>
      </c>
      <c r="N691" t="s">
        <v>79</v>
      </c>
      <c r="O691" t="s">
        <v>74</v>
      </c>
      <c r="P691" t="s">
        <v>74</v>
      </c>
      <c r="Q691" t="s">
        <v>74</v>
      </c>
      <c r="R691" t="s">
        <v>74</v>
      </c>
      <c r="S691" t="s">
        <v>74</v>
      </c>
      <c r="T691" t="s">
        <v>11364</v>
      </c>
      <c r="U691" t="s">
        <v>11365</v>
      </c>
      <c r="V691" t="s">
        <v>11366</v>
      </c>
      <c r="W691" t="s">
        <v>11367</v>
      </c>
      <c r="X691" t="s">
        <v>11368</v>
      </c>
      <c r="Y691" t="s">
        <v>11369</v>
      </c>
      <c r="Z691" t="s">
        <v>11370</v>
      </c>
      <c r="AA691" t="s">
        <v>6531</v>
      </c>
      <c r="AB691" t="s">
        <v>11371</v>
      </c>
      <c r="AC691" t="s">
        <v>11372</v>
      </c>
      <c r="AD691" t="s">
        <v>11372</v>
      </c>
      <c r="AE691" t="s">
        <v>11373</v>
      </c>
      <c r="AF691" t="s">
        <v>74</v>
      </c>
      <c r="AG691">
        <v>62</v>
      </c>
      <c r="AH691">
        <v>13</v>
      </c>
      <c r="AI691">
        <v>13</v>
      </c>
      <c r="AJ691">
        <v>4</v>
      </c>
      <c r="AK691">
        <v>26</v>
      </c>
      <c r="AL691" t="s">
        <v>138</v>
      </c>
      <c r="AM691" t="s">
        <v>246</v>
      </c>
      <c r="AN691" t="s">
        <v>247</v>
      </c>
      <c r="AO691" t="s">
        <v>141</v>
      </c>
      <c r="AP691" t="s">
        <v>142</v>
      </c>
      <c r="AQ691" t="s">
        <v>74</v>
      </c>
      <c r="AR691" t="s">
        <v>143</v>
      </c>
      <c r="AS691" t="s">
        <v>144</v>
      </c>
      <c r="AT691" t="s">
        <v>205</v>
      </c>
      <c r="AU691">
        <v>2021</v>
      </c>
      <c r="AV691">
        <v>213</v>
      </c>
      <c r="AW691" t="s">
        <v>74</v>
      </c>
      <c r="AX691" t="s">
        <v>74</v>
      </c>
      <c r="AY691" t="s">
        <v>74</v>
      </c>
      <c r="AZ691" t="s">
        <v>74</v>
      </c>
      <c r="BA691" t="s">
        <v>74</v>
      </c>
      <c r="BB691" t="s">
        <v>74</v>
      </c>
      <c r="BC691" t="s">
        <v>74</v>
      </c>
      <c r="BD691">
        <v>107671</v>
      </c>
      <c r="BE691" t="s">
        <v>11374</v>
      </c>
      <c r="BF691" t="str">
        <f>HYPERLINK("http://dx.doi.org/10.1016/j.ress.2021.107671","http://dx.doi.org/10.1016/j.ress.2021.107671")</f>
        <v>http://dx.doi.org/10.1016/j.ress.2021.107671</v>
      </c>
      <c r="BG691" t="s">
        <v>74</v>
      </c>
      <c r="BH691" t="s">
        <v>714</v>
      </c>
      <c r="BI691">
        <v>11</v>
      </c>
      <c r="BJ691" t="s">
        <v>148</v>
      </c>
      <c r="BK691" t="s">
        <v>149</v>
      </c>
      <c r="BL691" t="s">
        <v>150</v>
      </c>
      <c r="BM691" t="s">
        <v>5320</v>
      </c>
      <c r="BN691" t="s">
        <v>74</v>
      </c>
      <c r="BO691" t="s">
        <v>1044</v>
      </c>
      <c r="BP691" t="s">
        <v>74</v>
      </c>
      <c r="BQ691" t="s">
        <v>74</v>
      </c>
      <c r="BR691" t="s">
        <v>104</v>
      </c>
      <c r="BS691" t="s">
        <v>11375</v>
      </c>
      <c r="BT691" t="str">
        <f>HYPERLINK("https%3A%2F%2Fwww.webofscience.com%2Fwos%2Fwoscc%2Ffull-record%2FWOS:000663910500015","View Full Record in Web of Science")</f>
        <v>View Full Record in Web of Science</v>
      </c>
    </row>
    <row r="692" spans="1:72" x14ac:dyDescent="0.25">
      <c r="A692" t="s">
        <v>72</v>
      </c>
      <c r="B692" t="s">
        <v>11376</v>
      </c>
      <c r="C692" t="s">
        <v>74</v>
      </c>
      <c r="D692" t="s">
        <v>74</v>
      </c>
      <c r="E692" t="s">
        <v>74</v>
      </c>
      <c r="F692" t="s">
        <v>11377</v>
      </c>
      <c r="G692" t="s">
        <v>74</v>
      </c>
      <c r="H692" t="s">
        <v>74</v>
      </c>
      <c r="I692" t="s">
        <v>11378</v>
      </c>
      <c r="J692" t="s">
        <v>11379</v>
      </c>
      <c r="K692" t="s">
        <v>74</v>
      </c>
      <c r="L692" t="s">
        <v>74</v>
      </c>
      <c r="M692" t="s">
        <v>78</v>
      </c>
      <c r="N692" t="s">
        <v>79</v>
      </c>
      <c r="O692" t="s">
        <v>74</v>
      </c>
      <c r="P692" t="s">
        <v>74</v>
      </c>
      <c r="Q692" t="s">
        <v>74</v>
      </c>
      <c r="R692" t="s">
        <v>74</v>
      </c>
      <c r="S692" t="s">
        <v>74</v>
      </c>
      <c r="T692" t="s">
        <v>11380</v>
      </c>
      <c r="U692" t="s">
        <v>11381</v>
      </c>
      <c r="V692" t="s">
        <v>11382</v>
      </c>
      <c r="W692" t="s">
        <v>11383</v>
      </c>
      <c r="X692" t="s">
        <v>11384</v>
      </c>
      <c r="Y692" t="s">
        <v>11385</v>
      </c>
      <c r="Z692" t="s">
        <v>11386</v>
      </c>
      <c r="AA692" t="s">
        <v>11387</v>
      </c>
      <c r="AB692" t="s">
        <v>11388</v>
      </c>
      <c r="AC692" t="s">
        <v>74</v>
      </c>
      <c r="AD692" t="s">
        <v>74</v>
      </c>
      <c r="AE692" t="s">
        <v>74</v>
      </c>
      <c r="AF692" t="s">
        <v>74</v>
      </c>
      <c r="AG692">
        <v>71</v>
      </c>
      <c r="AH692">
        <v>13</v>
      </c>
      <c r="AI692">
        <v>14</v>
      </c>
      <c r="AJ692">
        <v>0</v>
      </c>
      <c r="AK692">
        <v>7</v>
      </c>
      <c r="AL692" t="s">
        <v>509</v>
      </c>
      <c r="AM692" t="s">
        <v>510</v>
      </c>
      <c r="AN692" t="s">
        <v>511</v>
      </c>
      <c r="AO692" t="s">
        <v>11389</v>
      </c>
      <c r="AP692" t="s">
        <v>11390</v>
      </c>
      <c r="AQ692" t="s">
        <v>74</v>
      </c>
      <c r="AR692" t="s">
        <v>11379</v>
      </c>
      <c r="AS692" t="s">
        <v>11391</v>
      </c>
      <c r="AT692" t="s">
        <v>11392</v>
      </c>
      <c r="AU692">
        <v>2021</v>
      </c>
      <c r="AV692">
        <v>456</v>
      </c>
      <c r="AW692" t="s">
        <v>74</v>
      </c>
      <c r="AX692" t="s">
        <v>74</v>
      </c>
      <c r="AY692" t="s">
        <v>74</v>
      </c>
      <c r="AZ692" t="s">
        <v>74</v>
      </c>
      <c r="BA692" t="s">
        <v>74</v>
      </c>
      <c r="BB692">
        <v>268</v>
      </c>
      <c r="BC692">
        <v>287</v>
      </c>
      <c r="BD692" t="s">
        <v>74</v>
      </c>
      <c r="BE692" t="s">
        <v>11393</v>
      </c>
      <c r="BF692" t="str">
        <f>HYPERLINK("http://dx.doi.org/10.1016/j.neucom.2021.05.031","http://dx.doi.org/10.1016/j.neucom.2021.05.031")</f>
        <v>http://dx.doi.org/10.1016/j.neucom.2021.05.031</v>
      </c>
      <c r="BG692" t="s">
        <v>74</v>
      </c>
      <c r="BH692" t="s">
        <v>1771</v>
      </c>
      <c r="BI692">
        <v>20</v>
      </c>
      <c r="BJ692" t="s">
        <v>1267</v>
      </c>
      <c r="BK692" t="s">
        <v>149</v>
      </c>
      <c r="BL692" t="s">
        <v>1228</v>
      </c>
      <c r="BM692" t="s">
        <v>11394</v>
      </c>
      <c r="BN692" t="s">
        <v>74</v>
      </c>
      <c r="BO692" t="s">
        <v>1653</v>
      </c>
      <c r="BP692" t="s">
        <v>74</v>
      </c>
      <c r="BQ692" t="s">
        <v>74</v>
      </c>
      <c r="BR692" t="s">
        <v>104</v>
      </c>
      <c r="BS692" t="s">
        <v>11395</v>
      </c>
      <c r="BT692" t="str">
        <f>HYPERLINK("https%3A%2F%2Fwww.webofscience.com%2Fwos%2Fwoscc%2Ffull-record%2FWOS:000684998100007","View Full Record in Web of Science")</f>
        <v>View Full Record in Web of Science</v>
      </c>
    </row>
    <row r="693" spans="1:72" x14ac:dyDescent="0.25">
      <c r="A693" t="s">
        <v>72</v>
      </c>
      <c r="B693" t="s">
        <v>11396</v>
      </c>
      <c r="C693" t="s">
        <v>74</v>
      </c>
      <c r="D693" t="s">
        <v>74</v>
      </c>
      <c r="E693" t="s">
        <v>74</v>
      </c>
      <c r="F693" t="s">
        <v>11397</v>
      </c>
      <c r="G693" t="s">
        <v>74</v>
      </c>
      <c r="H693" t="s">
        <v>74</v>
      </c>
      <c r="I693" t="s">
        <v>11398</v>
      </c>
      <c r="J693" t="s">
        <v>11399</v>
      </c>
      <c r="K693" t="s">
        <v>74</v>
      </c>
      <c r="L693" t="s">
        <v>74</v>
      </c>
      <c r="M693" t="s">
        <v>78</v>
      </c>
      <c r="N693" t="s">
        <v>79</v>
      </c>
      <c r="O693" t="s">
        <v>74</v>
      </c>
      <c r="P693" t="s">
        <v>74</v>
      </c>
      <c r="Q693" t="s">
        <v>74</v>
      </c>
      <c r="R693" t="s">
        <v>74</v>
      </c>
      <c r="S693" t="s">
        <v>74</v>
      </c>
      <c r="T693" t="s">
        <v>11400</v>
      </c>
      <c r="U693" t="s">
        <v>11401</v>
      </c>
      <c r="V693" t="s">
        <v>11402</v>
      </c>
      <c r="W693" t="s">
        <v>11403</v>
      </c>
      <c r="X693" t="s">
        <v>11404</v>
      </c>
      <c r="Y693" t="s">
        <v>11405</v>
      </c>
      <c r="Z693" t="s">
        <v>11406</v>
      </c>
      <c r="AA693" t="s">
        <v>2790</v>
      </c>
      <c r="AB693" t="s">
        <v>74</v>
      </c>
      <c r="AC693" t="s">
        <v>74</v>
      </c>
      <c r="AD693" t="s">
        <v>74</v>
      </c>
      <c r="AE693" t="s">
        <v>74</v>
      </c>
      <c r="AF693" t="s">
        <v>74</v>
      </c>
      <c r="AG693">
        <v>29</v>
      </c>
      <c r="AH693">
        <v>2</v>
      </c>
      <c r="AI693">
        <v>2</v>
      </c>
      <c r="AJ693">
        <v>0</v>
      </c>
      <c r="AK693">
        <v>11</v>
      </c>
      <c r="AL693" t="s">
        <v>11407</v>
      </c>
      <c r="AM693" t="s">
        <v>11408</v>
      </c>
      <c r="AN693" t="s">
        <v>11409</v>
      </c>
      <c r="AO693" t="s">
        <v>11410</v>
      </c>
      <c r="AP693" t="s">
        <v>11411</v>
      </c>
      <c r="AQ693" t="s">
        <v>74</v>
      </c>
      <c r="AR693" t="s">
        <v>11412</v>
      </c>
      <c r="AS693" t="s">
        <v>11413</v>
      </c>
      <c r="AT693" t="s">
        <v>74</v>
      </c>
      <c r="AU693">
        <v>2021</v>
      </c>
      <c r="AV693">
        <v>36</v>
      </c>
      <c r="AW693">
        <v>2</v>
      </c>
      <c r="AX693" t="s">
        <v>74</v>
      </c>
      <c r="AY693" t="s">
        <v>74</v>
      </c>
      <c r="AZ693" t="s">
        <v>74</v>
      </c>
      <c r="BA693" t="s">
        <v>74</v>
      </c>
      <c r="BB693">
        <v>69</v>
      </c>
      <c r="BC693">
        <v>82</v>
      </c>
      <c r="BD693" t="s">
        <v>74</v>
      </c>
      <c r="BE693" t="s">
        <v>11414</v>
      </c>
      <c r="BF693" t="str">
        <f>HYPERLINK("http://dx.doi.org/10.17794/rgn.2021.2.7","http://dx.doi.org/10.17794/rgn.2021.2.7")</f>
        <v>http://dx.doi.org/10.17794/rgn.2021.2.7</v>
      </c>
      <c r="BG693" t="s">
        <v>74</v>
      </c>
      <c r="BH693" t="s">
        <v>74</v>
      </c>
      <c r="BI693">
        <v>14</v>
      </c>
      <c r="BJ693" t="s">
        <v>11415</v>
      </c>
      <c r="BK693" t="s">
        <v>101</v>
      </c>
      <c r="BL693" t="s">
        <v>11416</v>
      </c>
      <c r="BM693" t="s">
        <v>11417</v>
      </c>
      <c r="BN693" t="s">
        <v>74</v>
      </c>
      <c r="BO693" t="s">
        <v>208</v>
      </c>
      <c r="BP693" t="s">
        <v>74</v>
      </c>
      <c r="BQ693" t="s">
        <v>74</v>
      </c>
      <c r="BR693" t="s">
        <v>104</v>
      </c>
      <c r="BS693" t="s">
        <v>11418</v>
      </c>
      <c r="BT693" t="str">
        <f>HYPERLINK("https%3A%2F%2Fwww.webofscience.com%2Fwos%2Fwoscc%2Ffull-record%2FWOS:000663835500007","View Full Record in Web of Science")</f>
        <v>View Full Record in Web of Science</v>
      </c>
    </row>
    <row r="694" spans="1:72" x14ac:dyDescent="0.25">
      <c r="A694" t="s">
        <v>72</v>
      </c>
      <c r="B694" t="s">
        <v>11419</v>
      </c>
      <c r="C694" t="s">
        <v>74</v>
      </c>
      <c r="D694" t="s">
        <v>74</v>
      </c>
      <c r="E694" t="s">
        <v>74</v>
      </c>
      <c r="F694" t="s">
        <v>11420</v>
      </c>
      <c r="G694" t="s">
        <v>74</v>
      </c>
      <c r="H694" t="s">
        <v>74</v>
      </c>
      <c r="I694" t="s">
        <v>11421</v>
      </c>
      <c r="J694" t="s">
        <v>128</v>
      </c>
      <c r="K694" t="s">
        <v>74</v>
      </c>
      <c r="L694" t="s">
        <v>74</v>
      </c>
      <c r="M694" t="s">
        <v>78</v>
      </c>
      <c r="N694" t="s">
        <v>79</v>
      </c>
      <c r="O694" t="s">
        <v>74</v>
      </c>
      <c r="P694" t="s">
        <v>74</v>
      </c>
      <c r="Q694" t="s">
        <v>74</v>
      </c>
      <c r="R694" t="s">
        <v>74</v>
      </c>
      <c r="S694" t="s">
        <v>74</v>
      </c>
      <c r="T694" t="s">
        <v>11422</v>
      </c>
      <c r="U694" t="s">
        <v>11423</v>
      </c>
      <c r="V694" t="s">
        <v>11424</v>
      </c>
      <c r="W694" t="s">
        <v>11425</v>
      </c>
      <c r="X694" t="s">
        <v>1785</v>
      </c>
      <c r="Y694" t="s">
        <v>11426</v>
      </c>
      <c r="Z694" t="s">
        <v>3778</v>
      </c>
      <c r="AA694" t="s">
        <v>11427</v>
      </c>
      <c r="AB694" t="s">
        <v>11428</v>
      </c>
      <c r="AC694" t="s">
        <v>11429</v>
      </c>
      <c r="AD694" t="s">
        <v>11430</v>
      </c>
      <c r="AE694" t="s">
        <v>11431</v>
      </c>
      <c r="AF694" t="s">
        <v>74</v>
      </c>
      <c r="AG694">
        <v>22</v>
      </c>
      <c r="AH694">
        <v>22</v>
      </c>
      <c r="AI694">
        <v>22</v>
      </c>
      <c r="AJ694">
        <v>5</v>
      </c>
      <c r="AK694">
        <v>19</v>
      </c>
      <c r="AL694" t="s">
        <v>138</v>
      </c>
      <c r="AM694" t="s">
        <v>246</v>
      </c>
      <c r="AN694" t="s">
        <v>247</v>
      </c>
      <c r="AO694" t="s">
        <v>141</v>
      </c>
      <c r="AP694" t="s">
        <v>142</v>
      </c>
      <c r="AQ694" t="s">
        <v>74</v>
      </c>
      <c r="AR694" t="s">
        <v>143</v>
      </c>
      <c r="AS694" t="s">
        <v>144</v>
      </c>
      <c r="AT694" t="s">
        <v>1076</v>
      </c>
      <c r="AU694">
        <v>2021</v>
      </c>
      <c r="AV694">
        <v>214</v>
      </c>
      <c r="AW694" t="s">
        <v>74</v>
      </c>
      <c r="AX694" t="s">
        <v>74</v>
      </c>
      <c r="AY694" t="s">
        <v>74</v>
      </c>
      <c r="AZ694" t="s">
        <v>74</v>
      </c>
      <c r="BA694" t="s">
        <v>74</v>
      </c>
      <c r="BB694" t="s">
        <v>74</v>
      </c>
      <c r="BC694" t="s">
        <v>74</v>
      </c>
      <c r="BD694">
        <v>107754</v>
      </c>
      <c r="BE694" t="s">
        <v>11432</v>
      </c>
      <c r="BF694" t="str">
        <f>HYPERLINK("http://dx.doi.org/10.1016/j.ress.2021.107754","http://dx.doi.org/10.1016/j.ress.2021.107754")</f>
        <v>http://dx.doi.org/10.1016/j.ress.2021.107754</v>
      </c>
      <c r="BG694" t="s">
        <v>74</v>
      </c>
      <c r="BH694" t="s">
        <v>1614</v>
      </c>
      <c r="BI694">
        <v>7</v>
      </c>
      <c r="BJ694" t="s">
        <v>148</v>
      </c>
      <c r="BK694" t="s">
        <v>149</v>
      </c>
      <c r="BL694" t="s">
        <v>150</v>
      </c>
      <c r="BM694" t="s">
        <v>1615</v>
      </c>
      <c r="BN694" t="s">
        <v>74</v>
      </c>
      <c r="BO694" t="s">
        <v>74</v>
      </c>
      <c r="BP694" t="s">
        <v>74</v>
      </c>
      <c r="BQ694" t="s">
        <v>74</v>
      </c>
      <c r="BR694" t="s">
        <v>104</v>
      </c>
      <c r="BS694" t="s">
        <v>11433</v>
      </c>
      <c r="BT694" t="str">
        <f>HYPERLINK("https%3A%2F%2Fwww.webofscience.com%2Fwos%2Fwoscc%2Ffull-record%2FWOS:000663912500033","View Full Record in Web of Science")</f>
        <v>View Full Record in Web of Science</v>
      </c>
    </row>
    <row r="695" spans="1:72" x14ac:dyDescent="0.25">
      <c r="A695" t="s">
        <v>72</v>
      </c>
      <c r="B695" t="s">
        <v>11434</v>
      </c>
      <c r="C695" t="s">
        <v>74</v>
      </c>
      <c r="D695" t="s">
        <v>74</v>
      </c>
      <c r="E695" t="s">
        <v>74</v>
      </c>
      <c r="F695" t="s">
        <v>11435</v>
      </c>
      <c r="G695" t="s">
        <v>74</v>
      </c>
      <c r="H695" t="s">
        <v>74</v>
      </c>
      <c r="I695" t="s">
        <v>11436</v>
      </c>
      <c r="J695" t="s">
        <v>1932</v>
      </c>
      <c r="K695" t="s">
        <v>74</v>
      </c>
      <c r="L695" t="s">
        <v>74</v>
      </c>
      <c r="M695" t="s">
        <v>78</v>
      </c>
      <c r="N695" t="s">
        <v>79</v>
      </c>
      <c r="O695" t="s">
        <v>74</v>
      </c>
      <c r="P695" t="s">
        <v>74</v>
      </c>
      <c r="Q695" t="s">
        <v>74</v>
      </c>
      <c r="R695" t="s">
        <v>74</v>
      </c>
      <c r="S695" t="s">
        <v>74</v>
      </c>
      <c r="T695" t="s">
        <v>11437</v>
      </c>
      <c r="U695" t="s">
        <v>11438</v>
      </c>
      <c r="V695" t="s">
        <v>11439</v>
      </c>
      <c r="W695" t="s">
        <v>11440</v>
      </c>
      <c r="X695" t="s">
        <v>3361</v>
      </c>
      <c r="Y695" t="s">
        <v>11441</v>
      </c>
      <c r="Z695" t="s">
        <v>11442</v>
      </c>
      <c r="AA695" t="s">
        <v>4175</v>
      </c>
      <c r="AB695" t="s">
        <v>4176</v>
      </c>
      <c r="AC695" t="s">
        <v>11443</v>
      </c>
      <c r="AD695" t="s">
        <v>482</v>
      </c>
      <c r="AE695" t="s">
        <v>11444</v>
      </c>
      <c r="AF695" t="s">
        <v>74</v>
      </c>
      <c r="AG695">
        <v>58</v>
      </c>
      <c r="AH695">
        <v>18</v>
      </c>
      <c r="AI695">
        <v>18</v>
      </c>
      <c r="AJ695">
        <v>2</v>
      </c>
      <c r="AK695">
        <v>53</v>
      </c>
      <c r="AL695" t="s">
        <v>311</v>
      </c>
      <c r="AM695" t="s">
        <v>312</v>
      </c>
      <c r="AN695" t="s">
        <v>313</v>
      </c>
      <c r="AO695" t="s">
        <v>1945</v>
      </c>
      <c r="AP695" t="s">
        <v>1946</v>
      </c>
      <c r="AQ695" t="s">
        <v>74</v>
      </c>
      <c r="AR695" t="s">
        <v>1947</v>
      </c>
      <c r="AS695" t="s">
        <v>1948</v>
      </c>
      <c r="AT695" t="s">
        <v>3367</v>
      </c>
      <c r="AU695">
        <v>2022</v>
      </c>
      <c r="AV695">
        <v>19</v>
      </c>
      <c r="AW695">
        <v>4</v>
      </c>
      <c r="AX695" t="s">
        <v>74</v>
      </c>
      <c r="AY695" t="s">
        <v>74</v>
      </c>
      <c r="AZ695" t="s">
        <v>74</v>
      </c>
      <c r="BA695" t="s">
        <v>74</v>
      </c>
      <c r="BB695">
        <v>454</v>
      </c>
      <c r="BC695">
        <v>472</v>
      </c>
      <c r="BD695" t="s">
        <v>74</v>
      </c>
      <c r="BE695" t="s">
        <v>11445</v>
      </c>
      <c r="BF695" t="str">
        <f>HYPERLINK("http://dx.doi.org/10.1080/16843703.2021.2021616","http://dx.doi.org/10.1080/16843703.2021.2021616")</f>
        <v>http://dx.doi.org/10.1080/16843703.2021.2021616</v>
      </c>
      <c r="BG695" t="s">
        <v>74</v>
      </c>
      <c r="BH695" t="s">
        <v>2468</v>
      </c>
      <c r="BI695">
        <v>19</v>
      </c>
      <c r="BJ695" t="s">
        <v>1951</v>
      </c>
      <c r="BK695" t="s">
        <v>149</v>
      </c>
      <c r="BL695" t="s">
        <v>1952</v>
      </c>
      <c r="BM695" t="s">
        <v>10010</v>
      </c>
      <c r="BN695" t="s">
        <v>74</v>
      </c>
      <c r="BO695" t="s">
        <v>74</v>
      </c>
      <c r="BP695" t="s">
        <v>74</v>
      </c>
      <c r="BQ695" t="s">
        <v>74</v>
      </c>
      <c r="BR695" t="s">
        <v>104</v>
      </c>
      <c r="BS695" t="s">
        <v>11446</v>
      </c>
      <c r="BT695" t="str">
        <f>HYPERLINK("https%3A%2F%2Fwww.webofscience.com%2Fwos%2Fwoscc%2Ffull-record%2FWOS:000743795400001","View Full Record in Web of Science")</f>
        <v>View Full Record in Web of Science</v>
      </c>
    </row>
    <row r="696" spans="1:72" x14ac:dyDescent="0.25">
      <c r="A696" t="s">
        <v>72</v>
      </c>
      <c r="B696" t="s">
        <v>11447</v>
      </c>
      <c r="C696" t="s">
        <v>74</v>
      </c>
      <c r="D696" t="s">
        <v>74</v>
      </c>
      <c r="E696" t="s">
        <v>74</v>
      </c>
      <c r="F696" t="s">
        <v>11448</v>
      </c>
      <c r="G696" t="s">
        <v>74</v>
      </c>
      <c r="H696" t="s">
        <v>74</v>
      </c>
      <c r="I696" t="s">
        <v>11449</v>
      </c>
      <c r="J696" t="s">
        <v>11450</v>
      </c>
      <c r="K696" t="s">
        <v>74</v>
      </c>
      <c r="L696" t="s">
        <v>74</v>
      </c>
      <c r="M696" t="s">
        <v>78</v>
      </c>
      <c r="N696" t="s">
        <v>79</v>
      </c>
      <c r="O696" t="s">
        <v>74</v>
      </c>
      <c r="P696" t="s">
        <v>74</v>
      </c>
      <c r="Q696" t="s">
        <v>74</v>
      </c>
      <c r="R696" t="s">
        <v>74</v>
      </c>
      <c r="S696" t="s">
        <v>74</v>
      </c>
      <c r="T696" t="s">
        <v>11451</v>
      </c>
      <c r="U696" t="s">
        <v>11452</v>
      </c>
      <c r="V696" t="s">
        <v>11453</v>
      </c>
      <c r="W696" t="s">
        <v>11454</v>
      </c>
      <c r="X696" t="s">
        <v>74</v>
      </c>
      <c r="Y696" t="s">
        <v>11455</v>
      </c>
      <c r="Z696" t="s">
        <v>11456</v>
      </c>
      <c r="AA696" t="s">
        <v>11457</v>
      </c>
      <c r="AB696" t="s">
        <v>74</v>
      </c>
      <c r="AC696" t="s">
        <v>11458</v>
      </c>
      <c r="AD696" t="s">
        <v>11459</v>
      </c>
      <c r="AE696" t="s">
        <v>11460</v>
      </c>
      <c r="AF696" t="s">
        <v>74</v>
      </c>
      <c r="AG696">
        <v>25</v>
      </c>
      <c r="AH696">
        <v>2</v>
      </c>
      <c r="AI696">
        <v>2</v>
      </c>
      <c r="AJ696">
        <v>0</v>
      </c>
      <c r="AK696">
        <v>3</v>
      </c>
      <c r="AL696" t="s">
        <v>311</v>
      </c>
      <c r="AM696" t="s">
        <v>312</v>
      </c>
      <c r="AN696" t="s">
        <v>313</v>
      </c>
      <c r="AO696" t="s">
        <v>11461</v>
      </c>
      <c r="AP696" t="s">
        <v>11462</v>
      </c>
      <c r="AQ696" t="s">
        <v>74</v>
      </c>
      <c r="AR696" t="s">
        <v>11463</v>
      </c>
      <c r="AS696" t="s">
        <v>11464</v>
      </c>
      <c r="AT696" t="s">
        <v>2796</v>
      </c>
      <c r="AU696">
        <v>2022</v>
      </c>
      <c r="AV696">
        <v>39</v>
      </c>
      <c r="AW696">
        <v>3</v>
      </c>
      <c r="AX696" t="s">
        <v>74</v>
      </c>
      <c r="AY696" t="s">
        <v>74</v>
      </c>
      <c r="AZ696" t="s">
        <v>74</v>
      </c>
      <c r="BA696" t="s">
        <v>74</v>
      </c>
      <c r="BB696">
        <v>196</v>
      </c>
      <c r="BC696">
        <v>209</v>
      </c>
      <c r="BD696" t="s">
        <v>74</v>
      </c>
      <c r="BE696" t="s">
        <v>11465</v>
      </c>
      <c r="BF696" t="str">
        <f>HYPERLINK("http://dx.doi.org/10.1080/21681015.2021.1969456","http://dx.doi.org/10.1080/21681015.2021.1969456")</f>
        <v>http://dx.doi.org/10.1080/21681015.2021.1969456</v>
      </c>
      <c r="BG696" t="s">
        <v>74</v>
      </c>
      <c r="BH696" t="s">
        <v>2573</v>
      </c>
      <c r="BI696">
        <v>14</v>
      </c>
      <c r="BJ696" t="s">
        <v>100</v>
      </c>
      <c r="BK696" t="s">
        <v>101</v>
      </c>
      <c r="BL696" t="s">
        <v>102</v>
      </c>
      <c r="BM696" t="s">
        <v>11466</v>
      </c>
      <c r="BN696" t="s">
        <v>74</v>
      </c>
      <c r="BO696" t="s">
        <v>74</v>
      </c>
      <c r="BP696" t="s">
        <v>74</v>
      </c>
      <c r="BQ696" t="s">
        <v>74</v>
      </c>
      <c r="BR696" t="s">
        <v>104</v>
      </c>
      <c r="BS696" t="s">
        <v>11467</v>
      </c>
      <c r="BT696" t="str">
        <f>HYPERLINK("https%3A%2F%2Fwww.webofscience.com%2Fwos%2Fwoscc%2Ffull-record%2FWOS:000690862600001","View Full Record in Web of Science")</f>
        <v>View Full Record in Web of Science</v>
      </c>
    </row>
    <row r="697" spans="1:72" x14ac:dyDescent="0.25">
      <c r="A697" t="s">
        <v>72</v>
      </c>
      <c r="B697" t="s">
        <v>11468</v>
      </c>
      <c r="C697" t="s">
        <v>74</v>
      </c>
      <c r="D697" t="s">
        <v>74</v>
      </c>
      <c r="E697" t="s">
        <v>74</v>
      </c>
      <c r="F697" t="s">
        <v>11469</v>
      </c>
      <c r="G697" t="s">
        <v>74</v>
      </c>
      <c r="H697" t="s">
        <v>74</v>
      </c>
      <c r="I697" t="s">
        <v>11470</v>
      </c>
      <c r="J697" t="s">
        <v>128</v>
      </c>
      <c r="K697" t="s">
        <v>74</v>
      </c>
      <c r="L697" t="s">
        <v>74</v>
      </c>
      <c r="M697" t="s">
        <v>78</v>
      </c>
      <c r="N697" t="s">
        <v>79</v>
      </c>
      <c r="O697" t="s">
        <v>74</v>
      </c>
      <c r="P697" t="s">
        <v>74</v>
      </c>
      <c r="Q697" t="s">
        <v>74</v>
      </c>
      <c r="R697" t="s">
        <v>74</v>
      </c>
      <c r="S697" t="s">
        <v>74</v>
      </c>
      <c r="T697" t="s">
        <v>11471</v>
      </c>
      <c r="U697" t="s">
        <v>11472</v>
      </c>
      <c r="V697" t="s">
        <v>11473</v>
      </c>
      <c r="W697" t="s">
        <v>11474</v>
      </c>
      <c r="X697" t="s">
        <v>11475</v>
      </c>
      <c r="Y697" t="s">
        <v>11476</v>
      </c>
      <c r="Z697" t="s">
        <v>11477</v>
      </c>
      <c r="AA697" t="s">
        <v>3149</v>
      </c>
      <c r="AB697" t="s">
        <v>4012</v>
      </c>
      <c r="AC697" t="s">
        <v>11478</v>
      </c>
      <c r="AD697" t="s">
        <v>11479</v>
      </c>
      <c r="AE697" t="s">
        <v>11480</v>
      </c>
      <c r="AF697" t="s">
        <v>74</v>
      </c>
      <c r="AG697">
        <v>31</v>
      </c>
      <c r="AH697">
        <v>30</v>
      </c>
      <c r="AI697">
        <v>32</v>
      </c>
      <c r="AJ697">
        <v>5</v>
      </c>
      <c r="AK697">
        <v>48</v>
      </c>
      <c r="AL697" t="s">
        <v>138</v>
      </c>
      <c r="AM697" t="s">
        <v>246</v>
      </c>
      <c r="AN697" t="s">
        <v>247</v>
      </c>
      <c r="AO697" t="s">
        <v>141</v>
      </c>
      <c r="AP697" t="s">
        <v>142</v>
      </c>
      <c r="AQ697" t="s">
        <v>74</v>
      </c>
      <c r="AR697" t="s">
        <v>143</v>
      </c>
      <c r="AS697" t="s">
        <v>144</v>
      </c>
      <c r="AT697" t="s">
        <v>248</v>
      </c>
      <c r="AU697">
        <v>2020</v>
      </c>
      <c r="AV697">
        <v>199</v>
      </c>
      <c r="AW697" t="s">
        <v>74</v>
      </c>
      <c r="AX697" t="s">
        <v>74</v>
      </c>
      <c r="AY697" t="s">
        <v>74</v>
      </c>
      <c r="AZ697" t="s">
        <v>74</v>
      </c>
      <c r="BA697" t="s">
        <v>74</v>
      </c>
      <c r="BB697" t="s">
        <v>74</v>
      </c>
      <c r="BC697" t="s">
        <v>74</v>
      </c>
      <c r="BD697">
        <v>106890</v>
      </c>
      <c r="BE697" t="s">
        <v>11481</v>
      </c>
      <c r="BF697" t="str">
        <f>HYPERLINK("http://dx.doi.org/10.1016/j.ress.2020.106890","http://dx.doi.org/10.1016/j.ress.2020.106890")</f>
        <v>http://dx.doi.org/10.1016/j.ress.2020.106890</v>
      </c>
      <c r="BG697" t="s">
        <v>74</v>
      </c>
      <c r="BH697" t="s">
        <v>74</v>
      </c>
      <c r="BI697">
        <v>11</v>
      </c>
      <c r="BJ697" t="s">
        <v>148</v>
      </c>
      <c r="BK697" t="s">
        <v>149</v>
      </c>
      <c r="BL697" t="s">
        <v>150</v>
      </c>
      <c r="BM697" t="s">
        <v>8300</v>
      </c>
      <c r="BN697" t="s">
        <v>74</v>
      </c>
      <c r="BO697" t="s">
        <v>74</v>
      </c>
      <c r="BP697" t="s">
        <v>74</v>
      </c>
      <c r="BQ697" t="s">
        <v>74</v>
      </c>
      <c r="BR697" t="s">
        <v>104</v>
      </c>
      <c r="BS697" t="s">
        <v>11482</v>
      </c>
      <c r="BT697" t="str">
        <f>HYPERLINK("https%3A%2F%2Fwww.webofscience.com%2Fwos%2Fwoscc%2Ffull-record%2FWOS:000534159800020","View Full Record in Web of Science")</f>
        <v>View Full Record in Web of Science</v>
      </c>
    </row>
    <row r="698" spans="1:72" x14ac:dyDescent="0.25">
      <c r="A698" t="s">
        <v>72</v>
      </c>
      <c r="B698" t="s">
        <v>11483</v>
      </c>
      <c r="C698" t="s">
        <v>74</v>
      </c>
      <c r="D698" t="s">
        <v>74</v>
      </c>
      <c r="E698" t="s">
        <v>74</v>
      </c>
      <c r="F698" t="s">
        <v>11484</v>
      </c>
      <c r="G698" t="s">
        <v>74</v>
      </c>
      <c r="H698" t="s">
        <v>74</v>
      </c>
      <c r="I698" t="s">
        <v>11485</v>
      </c>
      <c r="J698" t="s">
        <v>128</v>
      </c>
      <c r="K698" t="s">
        <v>74</v>
      </c>
      <c r="L698" t="s">
        <v>74</v>
      </c>
      <c r="M698" t="s">
        <v>78</v>
      </c>
      <c r="N698" t="s">
        <v>79</v>
      </c>
      <c r="O698" t="s">
        <v>74</v>
      </c>
      <c r="P698" t="s">
        <v>74</v>
      </c>
      <c r="Q698" t="s">
        <v>74</v>
      </c>
      <c r="R698" t="s">
        <v>74</v>
      </c>
      <c r="S698" t="s">
        <v>74</v>
      </c>
      <c r="T698" t="s">
        <v>11486</v>
      </c>
      <c r="U698" t="s">
        <v>11487</v>
      </c>
      <c r="V698" t="s">
        <v>11488</v>
      </c>
      <c r="W698" t="s">
        <v>11489</v>
      </c>
      <c r="X698" t="s">
        <v>11490</v>
      </c>
      <c r="Y698" t="s">
        <v>11491</v>
      </c>
      <c r="Z698" t="s">
        <v>11492</v>
      </c>
      <c r="AA698" t="s">
        <v>11493</v>
      </c>
      <c r="AB698" t="s">
        <v>11494</v>
      </c>
      <c r="AC698" t="s">
        <v>74</v>
      </c>
      <c r="AD698" t="s">
        <v>74</v>
      </c>
      <c r="AE698" t="s">
        <v>74</v>
      </c>
      <c r="AF698" t="s">
        <v>74</v>
      </c>
      <c r="AG698">
        <v>38</v>
      </c>
      <c r="AH698">
        <v>8</v>
      </c>
      <c r="AI698">
        <v>9</v>
      </c>
      <c r="AJ698">
        <v>8</v>
      </c>
      <c r="AK698">
        <v>27</v>
      </c>
      <c r="AL698" t="s">
        <v>138</v>
      </c>
      <c r="AM698" t="s">
        <v>139</v>
      </c>
      <c r="AN698" t="s">
        <v>140</v>
      </c>
      <c r="AO698" t="s">
        <v>141</v>
      </c>
      <c r="AP698" t="s">
        <v>142</v>
      </c>
      <c r="AQ698" t="s">
        <v>74</v>
      </c>
      <c r="AR698" t="s">
        <v>143</v>
      </c>
      <c r="AS698" t="s">
        <v>144</v>
      </c>
      <c r="AT698" t="s">
        <v>1202</v>
      </c>
      <c r="AU698">
        <v>2022</v>
      </c>
      <c r="AV698">
        <v>221</v>
      </c>
      <c r="AW698" t="s">
        <v>74</v>
      </c>
      <c r="AX698" t="s">
        <v>74</v>
      </c>
      <c r="AY698" t="s">
        <v>74</v>
      </c>
      <c r="AZ698" t="s">
        <v>74</v>
      </c>
      <c r="BA698" t="s">
        <v>74</v>
      </c>
      <c r="BB698" t="s">
        <v>74</v>
      </c>
      <c r="BC698" t="s">
        <v>74</v>
      </c>
      <c r="BD698">
        <v>108284</v>
      </c>
      <c r="BE698" t="s">
        <v>11495</v>
      </c>
      <c r="BF698" t="str">
        <f>HYPERLINK("http://dx.doi.org/10.1016/j.ress.2021.108284","http://dx.doi.org/10.1016/j.ress.2021.108284")</f>
        <v>http://dx.doi.org/10.1016/j.ress.2021.108284</v>
      </c>
      <c r="BG698" t="s">
        <v>74</v>
      </c>
      <c r="BH698" t="s">
        <v>2468</v>
      </c>
      <c r="BI698">
        <v>13</v>
      </c>
      <c r="BJ698" t="s">
        <v>148</v>
      </c>
      <c r="BK698" t="s">
        <v>149</v>
      </c>
      <c r="BL698" t="s">
        <v>150</v>
      </c>
      <c r="BM698" t="s">
        <v>4232</v>
      </c>
      <c r="BN698" t="s">
        <v>74</v>
      </c>
      <c r="BO698" t="s">
        <v>400</v>
      </c>
      <c r="BP698" t="s">
        <v>74</v>
      </c>
      <c r="BQ698" t="s">
        <v>74</v>
      </c>
      <c r="BR698" t="s">
        <v>104</v>
      </c>
      <c r="BS698" t="s">
        <v>11496</v>
      </c>
      <c r="BT698" t="str">
        <f>HYPERLINK("https%3A%2F%2Fwww.webofscience.com%2Fwos%2Fwoscc%2Ffull-record%2FWOS:000771556500004","View Full Record in Web of Science")</f>
        <v>View Full Record in Web of Science</v>
      </c>
    </row>
    <row r="699" spans="1:72" x14ac:dyDescent="0.25">
      <c r="A699" t="s">
        <v>72</v>
      </c>
      <c r="B699" t="s">
        <v>11497</v>
      </c>
      <c r="C699" t="s">
        <v>74</v>
      </c>
      <c r="D699" t="s">
        <v>74</v>
      </c>
      <c r="E699" t="s">
        <v>74</v>
      </c>
      <c r="F699" t="s">
        <v>11498</v>
      </c>
      <c r="G699" t="s">
        <v>74</v>
      </c>
      <c r="H699" t="s">
        <v>74</v>
      </c>
      <c r="I699" t="s">
        <v>11499</v>
      </c>
      <c r="J699" t="s">
        <v>128</v>
      </c>
      <c r="K699" t="s">
        <v>74</v>
      </c>
      <c r="L699" t="s">
        <v>74</v>
      </c>
      <c r="M699" t="s">
        <v>78</v>
      </c>
      <c r="N699" t="s">
        <v>79</v>
      </c>
      <c r="O699" t="s">
        <v>74</v>
      </c>
      <c r="P699" t="s">
        <v>74</v>
      </c>
      <c r="Q699" t="s">
        <v>74</v>
      </c>
      <c r="R699" t="s">
        <v>74</v>
      </c>
      <c r="S699" t="s">
        <v>74</v>
      </c>
      <c r="T699" t="s">
        <v>74</v>
      </c>
      <c r="U699" t="s">
        <v>11500</v>
      </c>
      <c r="V699" t="s">
        <v>11501</v>
      </c>
      <c r="W699" t="s">
        <v>11502</v>
      </c>
      <c r="X699" t="s">
        <v>11503</v>
      </c>
      <c r="Y699" t="s">
        <v>11504</v>
      </c>
      <c r="Z699" t="s">
        <v>11505</v>
      </c>
      <c r="AA699" t="s">
        <v>74</v>
      </c>
      <c r="AB699" t="s">
        <v>7982</v>
      </c>
      <c r="AC699" t="s">
        <v>74</v>
      </c>
      <c r="AD699" t="s">
        <v>74</v>
      </c>
      <c r="AE699" t="s">
        <v>74</v>
      </c>
      <c r="AF699" t="s">
        <v>74</v>
      </c>
      <c r="AG699">
        <v>103</v>
      </c>
      <c r="AH699">
        <v>113</v>
      </c>
      <c r="AI699">
        <v>117</v>
      </c>
      <c r="AJ699">
        <v>8</v>
      </c>
      <c r="AK699">
        <v>61</v>
      </c>
      <c r="AL699" t="s">
        <v>138</v>
      </c>
      <c r="AM699" t="s">
        <v>246</v>
      </c>
      <c r="AN699" t="s">
        <v>247</v>
      </c>
      <c r="AO699" t="s">
        <v>141</v>
      </c>
      <c r="AP699" t="s">
        <v>142</v>
      </c>
      <c r="AQ699" t="s">
        <v>74</v>
      </c>
      <c r="AR699" t="s">
        <v>143</v>
      </c>
      <c r="AS699" t="s">
        <v>144</v>
      </c>
      <c r="AT699" t="s">
        <v>145</v>
      </c>
      <c r="AU699">
        <v>2019</v>
      </c>
      <c r="AV699">
        <v>192</v>
      </c>
      <c r="AW699" t="s">
        <v>74</v>
      </c>
      <c r="AX699" t="s">
        <v>74</v>
      </c>
      <c r="AY699" t="s">
        <v>74</v>
      </c>
      <c r="AZ699" t="s">
        <v>560</v>
      </c>
      <c r="BA699" t="s">
        <v>74</v>
      </c>
      <c r="BB699" t="s">
        <v>74</v>
      </c>
      <c r="BC699" t="s">
        <v>74</v>
      </c>
      <c r="BD699">
        <v>106259</v>
      </c>
      <c r="BE699" t="s">
        <v>11506</v>
      </c>
      <c r="BF699" t="str">
        <f>HYPERLINK("http://dx.doi.org/10.1016/j.ress.2018.09.008","http://dx.doi.org/10.1016/j.ress.2018.09.008")</f>
        <v>http://dx.doi.org/10.1016/j.ress.2018.09.008</v>
      </c>
      <c r="BG699" t="s">
        <v>74</v>
      </c>
      <c r="BH699" t="s">
        <v>74</v>
      </c>
      <c r="BI699">
        <v>11</v>
      </c>
      <c r="BJ699" t="s">
        <v>148</v>
      </c>
      <c r="BK699" t="s">
        <v>149</v>
      </c>
      <c r="BL699" t="s">
        <v>150</v>
      </c>
      <c r="BM699" t="s">
        <v>11507</v>
      </c>
      <c r="BN699" t="s">
        <v>74</v>
      </c>
      <c r="BO699" t="s">
        <v>324</v>
      </c>
      <c r="BP699" t="s">
        <v>74</v>
      </c>
      <c r="BQ699" t="s">
        <v>74</v>
      </c>
      <c r="BR699" t="s">
        <v>104</v>
      </c>
      <c r="BS699" t="s">
        <v>11508</v>
      </c>
      <c r="BT699" t="str">
        <f>HYPERLINK("https%3A%2F%2Fwww.webofscience.com%2Fwos%2Fwoscc%2Ffull-record%2FWOS:000503089400002","View Full Record in Web of Science")</f>
        <v>View Full Record in Web of Science</v>
      </c>
    </row>
    <row r="700" spans="1:72" x14ac:dyDescent="0.25">
      <c r="A700" t="s">
        <v>72</v>
      </c>
      <c r="B700" t="s">
        <v>11509</v>
      </c>
      <c r="C700" t="s">
        <v>74</v>
      </c>
      <c r="D700" t="s">
        <v>74</v>
      </c>
      <c r="E700" t="s">
        <v>74</v>
      </c>
      <c r="F700" t="s">
        <v>11510</v>
      </c>
      <c r="G700" t="s">
        <v>74</v>
      </c>
      <c r="H700" t="s">
        <v>74</v>
      </c>
      <c r="I700" t="s">
        <v>11511</v>
      </c>
      <c r="J700" t="s">
        <v>1402</v>
      </c>
      <c r="K700" t="s">
        <v>74</v>
      </c>
      <c r="L700" t="s">
        <v>74</v>
      </c>
      <c r="M700" t="s">
        <v>78</v>
      </c>
      <c r="N700" t="s">
        <v>79</v>
      </c>
      <c r="O700" t="s">
        <v>74</v>
      </c>
      <c r="P700" t="s">
        <v>74</v>
      </c>
      <c r="Q700" t="s">
        <v>74</v>
      </c>
      <c r="R700" t="s">
        <v>74</v>
      </c>
      <c r="S700" t="s">
        <v>74</v>
      </c>
      <c r="T700" t="s">
        <v>11512</v>
      </c>
      <c r="U700" t="s">
        <v>11513</v>
      </c>
      <c r="V700" t="s">
        <v>11514</v>
      </c>
      <c r="W700" t="s">
        <v>11515</v>
      </c>
      <c r="X700" t="s">
        <v>4693</v>
      </c>
      <c r="Y700" t="s">
        <v>3282</v>
      </c>
      <c r="Z700" t="s">
        <v>5832</v>
      </c>
      <c r="AA700" t="s">
        <v>1965</v>
      </c>
      <c r="AB700" t="s">
        <v>3284</v>
      </c>
      <c r="AC700" t="s">
        <v>74</v>
      </c>
      <c r="AD700" t="s">
        <v>74</v>
      </c>
      <c r="AE700" t="s">
        <v>74</v>
      </c>
      <c r="AF700" t="s">
        <v>74</v>
      </c>
      <c r="AG700">
        <v>24</v>
      </c>
      <c r="AH700">
        <v>25</v>
      </c>
      <c r="AI700">
        <v>25</v>
      </c>
      <c r="AJ700">
        <v>3</v>
      </c>
      <c r="AK700">
        <v>23</v>
      </c>
      <c r="AL700" t="s">
        <v>1415</v>
      </c>
      <c r="AM700" t="s">
        <v>1416</v>
      </c>
      <c r="AN700" t="s">
        <v>1417</v>
      </c>
      <c r="AO700" t="s">
        <v>1418</v>
      </c>
      <c r="AP700" t="s">
        <v>1419</v>
      </c>
      <c r="AQ700" t="s">
        <v>74</v>
      </c>
      <c r="AR700" t="s">
        <v>1420</v>
      </c>
      <c r="AS700" t="s">
        <v>1421</v>
      </c>
      <c r="AT700" t="s">
        <v>1949</v>
      </c>
      <c r="AU700">
        <v>2020</v>
      </c>
      <c r="AV700">
        <v>52</v>
      </c>
      <c r="AW700">
        <v>3</v>
      </c>
      <c r="AX700" t="s">
        <v>74</v>
      </c>
      <c r="AY700" t="s">
        <v>74</v>
      </c>
      <c r="AZ700" t="s">
        <v>74</v>
      </c>
      <c r="BA700" t="s">
        <v>74</v>
      </c>
      <c r="BB700">
        <v>349</v>
      </c>
      <c r="BC700">
        <v>361</v>
      </c>
      <c r="BD700" t="s">
        <v>74</v>
      </c>
      <c r="BE700" t="s">
        <v>11516</v>
      </c>
      <c r="BF700" t="str">
        <f>HYPERLINK("http://dx.doi.org/10.1080/24725854.2019.1628373","http://dx.doi.org/10.1080/24725854.2019.1628373")</f>
        <v>http://dx.doi.org/10.1080/24725854.2019.1628373</v>
      </c>
      <c r="BG700" t="s">
        <v>74</v>
      </c>
      <c r="BH700" t="s">
        <v>7769</v>
      </c>
      <c r="BI700">
        <v>13</v>
      </c>
      <c r="BJ700" t="s">
        <v>148</v>
      </c>
      <c r="BK700" t="s">
        <v>149</v>
      </c>
      <c r="BL700" t="s">
        <v>150</v>
      </c>
      <c r="BM700" t="s">
        <v>11517</v>
      </c>
      <c r="BN700" t="s">
        <v>74</v>
      </c>
      <c r="BO700" t="s">
        <v>74</v>
      </c>
      <c r="BP700" t="s">
        <v>74</v>
      </c>
      <c r="BQ700" t="s">
        <v>74</v>
      </c>
      <c r="BR700" t="s">
        <v>104</v>
      </c>
      <c r="BS700" t="s">
        <v>11518</v>
      </c>
      <c r="BT700" t="str">
        <f>HYPERLINK("https%3A%2F%2Fwww.webofscience.com%2Fwos%2Fwoscc%2Ffull-record%2FWOS:000479393200001","View Full Record in Web of Science")</f>
        <v>View Full Record in Web of Science</v>
      </c>
    </row>
    <row r="701" spans="1:72" x14ac:dyDescent="0.25">
      <c r="A701" t="s">
        <v>72</v>
      </c>
      <c r="B701" t="s">
        <v>11519</v>
      </c>
      <c r="C701" t="s">
        <v>74</v>
      </c>
      <c r="D701" t="s">
        <v>74</v>
      </c>
      <c r="E701" t="s">
        <v>74</v>
      </c>
      <c r="F701" t="s">
        <v>11520</v>
      </c>
      <c r="G701" t="s">
        <v>74</v>
      </c>
      <c r="H701" t="s">
        <v>74</v>
      </c>
      <c r="I701" t="s">
        <v>11521</v>
      </c>
      <c r="J701" t="s">
        <v>128</v>
      </c>
      <c r="K701" t="s">
        <v>74</v>
      </c>
      <c r="L701" t="s">
        <v>74</v>
      </c>
      <c r="M701" t="s">
        <v>78</v>
      </c>
      <c r="N701" t="s">
        <v>79</v>
      </c>
      <c r="O701" t="s">
        <v>74</v>
      </c>
      <c r="P701" t="s">
        <v>74</v>
      </c>
      <c r="Q701" t="s">
        <v>74</v>
      </c>
      <c r="R701" t="s">
        <v>74</v>
      </c>
      <c r="S701" t="s">
        <v>74</v>
      </c>
      <c r="T701" t="s">
        <v>11522</v>
      </c>
      <c r="U701" t="s">
        <v>11523</v>
      </c>
      <c r="V701" t="s">
        <v>11524</v>
      </c>
      <c r="W701" t="s">
        <v>11525</v>
      </c>
      <c r="X701" t="s">
        <v>11475</v>
      </c>
      <c r="Y701" t="s">
        <v>11526</v>
      </c>
      <c r="Z701" t="s">
        <v>11527</v>
      </c>
      <c r="AA701" t="s">
        <v>3149</v>
      </c>
      <c r="AB701" t="s">
        <v>74</v>
      </c>
      <c r="AC701" t="s">
        <v>11528</v>
      </c>
      <c r="AD701" t="s">
        <v>11529</v>
      </c>
      <c r="AE701" t="s">
        <v>11530</v>
      </c>
      <c r="AF701" t="s">
        <v>74</v>
      </c>
      <c r="AG701">
        <v>40</v>
      </c>
      <c r="AH701">
        <v>5</v>
      </c>
      <c r="AI701">
        <v>5</v>
      </c>
      <c r="AJ701">
        <v>11</v>
      </c>
      <c r="AK701">
        <v>11</v>
      </c>
      <c r="AL701" t="s">
        <v>138</v>
      </c>
      <c r="AM701" t="s">
        <v>139</v>
      </c>
      <c r="AN701" t="s">
        <v>140</v>
      </c>
      <c r="AO701" t="s">
        <v>141</v>
      </c>
      <c r="AP701" t="s">
        <v>142</v>
      </c>
      <c r="AQ701" t="s">
        <v>74</v>
      </c>
      <c r="AR701" t="s">
        <v>143</v>
      </c>
      <c r="AS701" t="s">
        <v>144</v>
      </c>
      <c r="AT701" t="s">
        <v>2225</v>
      </c>
      <c r="AU701">
        <v>2024</v>
      </c>
      <c r="AV701">
        <v>248</v>
      </c>
      <c r="AW701" t="s">
        <v>74</v>
      </c>
      <c r="AX701" t="s">
        <v>74</v>
      </c>
      <c r="AY701" t="s">
        <v>74</v>
      </c>
      <c r="AZ701" t="s">
        <v>74</v>
      </c>
      <c r="BA701" t="s">
        <v>74</v>
      </c>
      <c r="BB701" t="s">
        <v>74</v>
      </c>
      <c r="BC701" t="s">
        <v>74</v>
      </c>
      <c r="BD701">
        <v>110142</v>
      </c>
      <c r="BE701" t="s">
        <v>11531</v>
      </c>
      <c r="BF701" t="str">
        <f>HYPERLINK("http://dx.doi.org/10.1016/j.ress.2024.110142","http://dx.doi.org/10.1016/j.ress.2024.110142")</f>
        <v>http://dx.doi.org/10.1016/j.ress.2024.110142</v>
      </c>
      <c r="BG701" t="s">
        <v>74</v>
      </c>
      <c r="BH701" t="s">
        <v>2039</v>
      </c>
      <c r="BI701">
        <v>18</v>
      </c>
      <c r="BJ701" t="s">
        <v>148</v>
      </c>
      <c r="BK701" t="s">
        <v>149</v>
      </c>
      <c r="BL701" t="s">
        <v>150</v>
      </c>
      <c r="BM701" t="s">
        <v>11532</v>
      </c>
      <c r="BN701" t="s">
        <v>74</v>
      </c>
      <c r="BO701" t="s">
        <v>74</v>
      </c>
      <c r="BP701" t="s">
        <v>74</v>
      </c>
      <c r="BQ701" t="s">
        <v>74</v>
      </c>
      <c r="BR701" t="s">
        <v>104</v>
      </c>
      <c r="BS701" t="s">
        <v>11533</v>
      </c>
      <c r="BT701" t="str">
        <f>HYPERLINK("https%3A%2F%2Fwww.webofscience.com%2Fwos%2Fwoscc%2Ffull-record%2FWOS:001325408900001","View Full Record in Web of Science")</f>
        <v>View Full Record in Web of Science</v>
      </c>
    </row>
    <row r="702" spans="1:72" x14ac:dyDescent="0.25">
      <c r="A702" t="s">
        <v>72</v>
      </c>
      <c r="B702" t="s">
        <v>11468</v>
      </c>
      <c r="C702" t="s">
        <v>74</v>
      </c>
      <c r="D702" t="s">
        <v>74</v>
      </c>
      <c r="E702" t="s">
        <v>74</v>
      </c>
      <c r="F702" t="s">
        <v>11469</v>
      </c>
      <c r="G702" t="s">
        <v>74</v>
      </c>
      <c r="H702" t="s">
        <v>74</v>
      </c>
      <c r="I702" t="s">
        <v>11534</v>
      </c>
      <c r="J702" t="s">
        <v>697</v>
      </c>
      <c r="K702" t="s">
        <v>74</v>
      </c>
      <c r="L702" t="s">
        <v>74</v>
      </c>
      <c r="M702" t="s">
        <v>78</v>
      </c>
      <c r="N702" t="s">
        <v>79</v>
      </c>
      <c r="O702" t="s">
        <v>74</v>
      </c>
      <c r="P702" t="s">
        <v>74</v>
      </c>
      <c r="Q702" t="s">
        <v>74</v>
      </c>
      <c r="R702" t="s">
        <v>74</v>
      </c>
      <c r="S702" t="s">
        <v>74</v>
      </c>
      <c r="T702" t="s">
        <v>11535</v>
      </c>
      <c r="U702" t="s">
        <v>11536</v>
      </c>
      <c r="V702" t="s">
        <v>11537</v>
      </c>
      <c r="W702" t="s">
        <v>11538</v>
      </c>
      <c r="X702" t="s">
        <v>11475</v>
      </c>
      <c r="Y702" t="s">
        <v>11526</v>
      </c>
      <c r="Z702" t="s">
        <v>11539</v>
      </c>
      <c r="AA702" t="s">
        <v>3149</v>
      </c>
      <c r="AB702" t="s">
        <v>4012</v>
      </c>
      <c r="AC702" t="s">
        <v>11540</v>
      </c>
      <c r="AD702" t="s">
        <v>11541</v>
      </c>
      <c r="AE702" t="s">
        <v>11542</v>
      </c>
      <c r="AF702" t="s">
        <v>74</v>
      </c>
      <c r="AG702">
        <v>25</v>
      </c>
      <c r="AH702">
        <v>16</v>
      </c>
      <c r="AI702">
        <v>18</v>
      </c>
      <c r="AJ702">
        <v>1</v>
      </c>
      <c r="AK702">
        <v>41</v>
      </c>
      <c r="AL702" t="s">
        <v>707</v>
      </c>
      <c r="AM702" t="s">
        <v>246</v>
      </c>
      <c r="AN702" t="s">
        <v>708</v>
      </c>
      <c r="AO702" t="s">
        <v>709</v>
      </c>
      <c r="AP702" t="s">
        <v>710</v>
      </c>
      <c r="AQ702" t="s">
        <v>74</v>
      </c>
      <c r="AR702" t="s">
        <v>711</v>
      </c>
      <c r="AS702" t="s">
        <v>712</v>
      </c>
      <c r="AT702" t="s">
        <v>248</v>
      </c>
      <c r="AU702">
        <v>2020</v>
      </c>
      <c r="AV702">
        <v>145</v>
      </c>
      <c r="AW702" t="s">
        <v>74</v>
      </c>
      <c r="AX702" t="s">
        <v>74</v>
      </c>
      <c r="AY702" t="s">
        <v>74</v>
      </c>
      <c r="AZ702" t="s">
        <v>74</v>
      </c>
      <c r="BA702" t="s">
        <v>74</v>
      </c>
      <c r="BB702" t="s">
        <v>74</v>
      </c>
      <c r="BC702" t="s">
        <v>74</v>
      </c>
      <c r="BD702">
        <v>106539</v>
      </c>
      <c r="BE702" t="s">
        <v>11543</v>
      </c>
      <c r="BF702" t="str">
        <f>HYPERLINK("http://dx.doi.org/10.1016/j.cie.2020.106539","http://dx.doi.org/10.1016/j.cie.2020.106539")</f>
        <v>http://dx.doi.org/10.1016/j.cie.2020.106539</v>
      </c>
      <c r="BG702" t="s">
        <v>74</v>
      </c>
      <c r="BH702" t="s">
        <v>74</v>
      </c>
      <c r="BI702">
        <v>9</v>
      </c>
      <c r="BJ702" t="s">
        <v>715</v>
      </c>
      <c r="BK702" t="s">
        <v>149</v>
      </c>
      <c r="BL702" t="s">
        <v>716</v>
      </c>
      <c r="BM702" t="s">
        <v>4017</v>
      </c>
      <c r="BN702" t="s">
        <v>74</v>
      </c>
      <c r="BO702" t="s">
        <v>74</v>
      </c>
      <c r="BP702" t="s">
        <v>74</v>
      </c>
      <c r="BQ702" t="s">
        <v>74</v>
      </c>
      <c r="BR702" t="s">
        <v>104</v>
      </c>
      <c r="BS702" t="s">
        <v>11544</v>
      </c>
      <c r="BT702" t="str">
        <f>HYPERLINK("https%3A%2F%2Fwww.webofscience.com%2Fwos%2Fwoscc%2Ffull-record%2FWOS:000542180000043","View Full Record in Web of Science")</f>
        <v>View Full Record in Web of Science</v>
      </c>
    </row>
    <row r="703" spans="1:72" x14ac:dyDescent="0.25">
      <c r="A703" t="s">
        <v>72</v>
      </c>
      <c r="B703" t="s">
        <v>11545</v>
      </c>
      <c r="C703" t="s">
        <v>74</v>
      </c>
      <c r="D703" t="s">
        <v>74</v>
      </c>
      <c r="E703" t="s">
        <v>74</v>
      </c>
      <c r="F703" t="s">
        <v>11546</v>
      </c>
      <c r="G703" t="s">
        <v>74</v>
      </c>
      <c r="H703" t="s">
        <v>74</v>
      </c>
      <c r="I703" t="s">
        <v>11547</v>
      </c>
      <c r="J703" t="s">
        <v>128</v>
      </c>
      <c r="K703" t="s">
        <v>74</v>
      </c>
      <c r="L703" t="s">
        <v>74</v>
      </c>
      <c r="M703" t="s">
        <v>78</v>
      </c>
      <c r="N703" t="s">
        <v>79</v>
      </c>
      <c r="O703" t="s">
        <v>74</v>
      </c>
      <c r="P703" t="s">
        <v>74</v>
      </c>
      <c r="Q703" t="s">
        <v>74</v>
      </c>
      <c r="R703" t="s">
        <v>74</v>
      </c>
      <c r="S703" t="s">
        <v>74</v>
      </c>
      <c r="T703" t="s">
        <v>11548</v>
      </c>
      <c r="U703" t="s">
        <v>11549</v>
      </c>
      <c r="V703" t="s">
        <v>11550</v>
      </c>
      <c r="W703" t="s">
        <v>11551</v>
      </c>
      <c r="X703" t="s">
        <v>11552</v>
      </c>
      <c r="Y703" t="s">
        <v>3423</v>
      </c>
      <c r="Z703" t="s">
        <v>3424</v>
      </c>
      <c r="AA703" t="s">
        <v>11553</v>
      </c>
      <c r="AB703" t="s">
        <v>74</v>
      </c>
      <c r="AC703" t="s">
        <v>11554</v>
      </c>
      <c r="AD703" t="s">
        <v>11555</v>
      </c>
      <c r="AE703" t="s">
        <v>11556</v>
      </c>
      <c r="AF703" t="s">
        <v>74</v>
      </c>
      <c r="AG703">
        <v>35</v>
      </c>
      <c r="AH703">
        <v>28</v>
      </c>
      <c r="AI703">
        <v>28</v>
      </c>
      <c r="AJ703">
        <v>10</v>
      </c>
      <c r="AK703">
        <v>49</v>
      </c>
      <c r="AL703" t="s">
        <v>138</v>
      </c>
      <c r="AM703" t="s">
        <v>246</v>
      </c>
      <c r="AN703" t="s">
        <v>247</v>
      </c>
      <c r="AO703" t="s">
        <v>141</v>
      </c>
      <c r="AP703" t="s">
        <v>142</v>
      </c>
      <c r="AQ703" t="s">
        <v>74</v>
      </c>
      <c r="AR703" t="s">
        <v>143</v>
      </c>
      <c r="AS703" t="s">
        <v>144</v>
      </c>
      <c r="AT703" t="s">
        <v>145</v>
      </c>
      <c r="AU703">
        <v>2022</v>
      </c>
      <c r="AV703">
        <v>228</v>
      </c>
      <c r="AW703" t="s">
        <v>74</v>
      </c>
      <c r="AX703" t="s">
        <v>74</v>
      </c>
      <c r="AY703" t="s">
        <v>74</v>
      </c>
      <c r="AZ703" t="s">
        <v>74</v>
      </c>
      <c r="BA703" t="s">
        <v>74</v>
      </c>
      <c r="BB703" t="s">
        <v>74</v>
      </c>
      <c r="BC703" t="s">
        <v>74</v>
      </c>
      <c r="BD703">
        <v>108776</v>
      </c>
      <c r="BE703" t="s">
        <v>11557</v>
      </c>
      <c r="BF703" t="str">
        <f>HYPERLINK("http://dx.doi.org/10.1016/j.ress.2022.108776","http://dx.doi.org/10.1016/j.ress.2022.108776")</f>
        <v>http://dx.doi.org/10.1016/j.ress.2022.108776</v>
      </c>
      <c r="BG703" t="s">
        <v>74</v>
      </c>
      <c r="BH703" t="s">
        <v>865</v>
      </c>
      <c r="BI703">
        <v>12</v>
      </c>
      <c r="BJ703" t="s">
        <v>148</v>
      </c>
      <c r="BK703" t="s">
        <v>149</v>
      </c>
      <c r="BL703" t="s">
        <v>150</v>
      </c>
      <c r="BM703" t="s">
        <v>11558</v>
      </c>
      <c r="BN703" t="s">
        <v>74</v>
      </c>
      <c r="BO703" t="s">
        <v>74</v>
      </c>
      <c r="BP703" t="s">
        <v>74</v>
      </c>
      <c r="BQ703" t="s">
        <v>74</v>
      </c>
      <c r="BR703" t="s">
        <v>104</v>
      </c>
      <c r="BS703" t="s">
        <v>11559</v>
      </c>
      <c r="BT703" t="str">
        <f>HYPERLINK("https%3A%2F%2Fwww.webofscience.com%2Fwos%2Fwoscc%2Ffull-record%2FWOS:000862540300006","View Full Record in Web of Science")</f>
        <v>View Full Record in Web of Science</v>
      </c>
    </row>
    <row r="704" spans="1:72" x14ac:dyDescent="0.25">
      <c r="A704" t="s">
        <v>72</v>
      </c>
      <c r="B704" t="s">
        <v>11560</v>
      </c>
      <c r="C704" t="s">
        <v>74</v>
      </c>
      <c r="D704" t="s">
        <v>74</v>
      </c>
      <c r="E704" t="s">
        <v>74</v>
      </c>
      <c r="F704" t="s">
        <v>11561</v>
      </c>
      <c r="G704" t="s">
        <v>74</v>
      </c>
      <c r="H704" t="s">
        <v>74</v>
      </c>
      <c r="I704" t="s">
        <v>11562</v>
      </c>
      <c r="J704" t="s">
        <v>128</v>
      </c>
      <c r="K704" t="s">
        <v>74</v>
      </c>
      <c r="L704" t="s">
        <v>74</v>
      </c>
      <c r="M704" t="s">
        <v>78</v>
      </c>
      <c r="N704" t="s">
        <v>79</v>
      </c>
      <c r="O704" t="s">
        <v>74</v>
      </c>
      <c r="P704" t="s">
        <v>74</v>
      </c>
      <c r="Q704" t="s">
        <v>74</v>
      </c>
      <c r="R704" t="s">
        <v>74</v>
      </c>
      <c r="S704" t="s">
        <v>74</v>
      </c>
      <c r="T704" t="s">
        <v>11563</v>
      </c>
      <c r="U704" t="s">
        <v>11564</v>
      </c>
      <c r="V704" t="s">
        <v>11565</v>
      </c>
      <c r="W704" t="s">
        <v>11566</v>
      </c>
      <c r="X704" t="s">
        <v>11567</v>
      </c>
      <c r="Y704" t="s">
        <v>11568</v>
      </c>
      <c r="Z704" t="s">
        <v>11569</v>
      </c>
      <c r="AA704" t="s">
        <v>11570</v>
      </c>
      <c r="AB704" t="s">
        <v>11571</v>
      </c>
      <c r="AC704" t="s">
        <v>11572</v>
      </c>
      <c r="AD704" t="s">
        <v>11573</v>
      </c>
      <c r="AE704" t="s">
        <v>11574</v>
      </c>
      <c r="AF704" t="s">
        <v>74</v>
      </c>
      <c r="AG704">
        <v>28</v>
      </c>
      <c r="AH704">
        <v>26</v>
      </c>
      <c r="AI704">
        <v>27</v>
      </c>
      <c r="AJ704">
        <v>2</v>
      </c>
      <c r="AK704">
        <v>23</v>
      </c>
      <c r="AL704" t="s">
        <v>138</v>
      </c>
      <c r="AM704" t="s">
        <v>246</v>
      </c>
      <c r="AN704" t="s">
        <v>247</v>
      </c>
      <c r="AO704" t="s">
        <v>141</v>
      </c>
      <c r="AP704" t="s">
        <v>142</v>
      </c>
      <c r="AQ704" t="s">
        <v>74</v>
      </c>
      <c r="AR704" t="s">
        <v>143</v>
      </c>
      <c r="AS704" t="s">
        <v>144</v>
      </c>
      <c r="AT704" t="s">
        <v>205</v>
      </c>
      <c r="AU704">
        <v>2019</v>
      </c>
      <c r="AV704">
        <v>189</v>
      </c>
      <c r="AW704" t="s">
        <v>74</v>
      </c>
      <c r="AX704" t="s">
        <v>74</v>
      </c>
      <c r="AY704" t="s">
        <v>74</v>
      </c>
      <c r="AZ704" t="s">
        <v>74</v>
      </c>
      <c r="BA704" t="s">
        <v>74</v>
      </c>
      <c r="BB704">
        <v>335</v>
      </c>
      <c r="BC704">
        <v>344</v>
      </c>
      <c r="BD704" t="s">
        <v>74</v>
      </c>
      <c r="BE704" t="s">
        <v>11575</v>
      </c>
      <c r="BF704" t="str">
        <f>HYPERLINK("http://dx.doi.org/10.1016/j.ress.2019.05.007","http://dx.doi.org/10.1016/j.ress.2019.05.007")</f>
        <v>http://dx.doi.org/10.1016/j.ress.2019.05.007</v>
      </c>
      <c r="BG704" t="s">
        <v>74</v>
      </c>
      <c r="BH704" t="s">
        <v>74</v>
      </c>
      <c r="BI704">
        <v>10</v>
      </c>
      <c r="BJ704" t="s">
        <v>148</v>
      </c>
      <c r="BK704" t="s">
        <v>149</v>
      </c>
      <c r="BL704" t="s">
        <v>150</v>
      </c>
      <c r="BM704" t="s">
        <v>2403</v>
      </c>
      <c r="BN704" t="s">
        <v>74</v>
      </c>
      <c r="BO704" t="s">
        <v>74</v>
      </c>
      <c r="BP704" t="s">
        <v>74</v>
      </c>
      <c r="BQ704" t="s">
        <v>74</v>
      </c>
      <c r="BR704" t="s">
        <v>104</v>
      </c>
      <c r="BS704" t="s">
        <v>11576</v>
      </c>
      <c r="BT704" t="str">
        <f>HYPERLINK("https%3A%2F%2Fwww.webofscience.com%2Fwos%2Fwoscc%2Ffull-record%2FWOS:000474493000028","View Full Record in Web of Science")</f>
        <v>View Full Record in Web of Science</v>
      </c>
    </row>
    <row r="705" spans="1:72" x14ac:dyDescent="0.25">
      <c r="A705" t="s">
        <v>72</v>
      </c>
      <c r="B705" t="s">
        <v>11577</v>
      </c>
      <c r="C705" t="s">
        <v>74</v>
      </c>
      <c r="D705" t="s">
        <v>74</v>
      </c>
      <c r="E705" t="s">
        <v>74</v>
      </c>
      <c r="F705" t="s">
        <v>9375</v>
      </c>
      <c r="G705" t="s">
        <v>74</v>
      </c>
      <c r="H705" t="s">
        <v>74</v>
      </c>
      <c r="I705" t="s">
        <v>11578</v>
      </c>
      <c r="J705" t="s">
        <v>128</v>
      </c>
      <c r="K705" t="s">
        <v>74</v>
      </c>
      <c r="L705" t="s">
        <v>74</v>
      </c>
      <c r="M705" t="s">
        <v>78</v>
      </c>
      <c r="N705" t="s">
        <v>79</v>
      </c>
      <c r="O705" t="s">
        <v>74</v>
      </c>
      <c r="P705" t="s">
        <v>74</v>
      </c>
      <c r="Q705" t="s">
        <v>74</v>
      </c>
      <c r="R705" t="s">
        <v>74</v>
      </c>
      <c r="S705" t="s">
        <v>74</v>
      </c>
      <c r="T705" t="s">
        <v>11579</v>
      </c>
      <c r="U705" t="s">
        <v>11580</v>
      </c>
      <c r="V705" t="s">
        <v>11581</v>
      </c>
      <c r="W705" t="s">
        <v>11582</v>
      </c>
      <c r="X705" t="s">
        <v>3361</v>
      </c>
      <c r="Y705" t="s">
        <v>2315</v>
      </c>
      <c r="Z705" t="s">
        <v>3363</v>
      </c>
      <c r="AA705" t="s">
        <v>3364</v>
      </c>
      <c r="AB705" t="s">
        <v>1299</v>
      </c>
      <c r="AC705" t="s">
        <v>11583</v>
      </c>
      <c r="AD705" t="s">
        <v>2774</v>
      </c>
      <c r="AE705" t="s">
        <v>11584</v>
      </c>
      <c r="AF705" t="s">
        <v>74</v>
      </c>
      <c r="AG705">
        <v>38</v>
      </c>
      <c r="AH705">
        <v>114</v>
      </c>
      <c r="AI705">
        <v>115</v>
      </c>
      <c r="AJ705">
        <v>20</v>
      </c>
      <c r="AK705">
        <v>87</v>
      </c>
      <c r="AL705" t="s">
        <v>138</v>
      </c>
      <c r="AM705" t="s">
        <v>246</v>
      </c>
      <c r="AN705" t="s">
        <v>247</v>
      </c>
      <c r="AO705" t="s">
        <v>141</v>
      </c>
      <c r="AP705" t="s">
        <v>142</v>
      </c>
      <c r="AQ705" t="s">
        <v>74</v>
      </c>
      <c r="AR705" t="s">
        <v>143</v>
      </c>
      <c r="AS705" t="s">
        <v>144</v>
      </c>
      <c r="AT705" t="s">
        <v>1076</v>
      </c>
      <c r="AU705">
        <v>2019</v>
      </c>
      <c r="AV705">
        <v>190</v>
      </c>
      <c r="AW705" t="s">
        <v>74</v>
      </c>
      <c r="AX705" t="s">
        <v>74</v>
      </c>
      <c r="AY705" t="s">
        <v>74</v>
      </c>
      <c r="AZ705" t="s">
        <v>74</v>
      </c>
      <c r="BA705" t="s">
        <v>74</v>
      </c>
      <c r="BB705" t="s">
        <v>74</v>
      </c>
      <c r="BC705" t="s">
        <v>74</v>
      </c>
      <c r="BD705">
        <v>106496</v>
      </c>
      <c r="BE705" t="s">
        <v>11585</v>
      </c>
      <c r="BF705" t="str">
        <f>HYPERLINK("http://dx.doi.org/10.1016/j.ress.2019.106496","http://dx.doi.org/10.1016/j.ress.2019.106496")</f>
        <v>http://dx.doi.org/10.1016/j.ress.2019.106496</v>
      </c>
      <c r="BG705" t="s">
        <v>74</v>
      </c>
      <c r="BH705" t="s">
        <v>74</v>
      </c>
      <c r="BI705">
        <v>9</v>
      </c>
      <c r="BJ705" t="s">
        <v>148</v>
      </c>
      <c r="BK705" t="s">
        <v>149</v>
      </c>
      <c r="BL705" t="s">
        <v>150</v>
      </c>
      <c r="BM705" t="s">
        <v>10785</v>
      </c>
      <c r="BN705" t="s">
        <v>74</v>
      </c>
      <c r="BO705" t="s">
        <v>74</v>
      </c>
      <c r="BP705" t="s">
        <v>74</v>
      </c>
      <c r="BQ705" t="s">
        <v>74</v>
      </c>
      <c r="BR705" t="s">
        <v>104</v>
      </c>
      <c r="BS705" t="s">
        <v>11586</v>
      </c>
      <c r="BT705" t="str">
        <f>HYPERLINK("https%3A%2F%2Fwww.webofscience.com%2Fwos%2Fwoscc%2Ffull-record%2FWOS:000474497100003","View Full Record in Web of Science")</f>
        <v>View Full Record in Web of Science</v>
      </c>
    </row>
    <row r="706" spans="1:72" x14ac:dyDescent="0.25">
      <c r="A706" t="s">
        <v>72</v>
      </c>
      <c r="B706" t="s">
        <v>11587</v>
      </c>
      <c r="C706" t="s">
        <v>74</v>
      </c>
      <c r="D706" t="s">
        <v>74</v>
      </c>
      <c r="E706" t="s">
        <v>74</v>
      </c>
      <c r="F706" t="s">
        <v>11588</v>
      </c>
      <c r="G706" t="s">
        <v>74</v>
      </c>
      <c r="H706" t="s">
        <v>74</v>
      </c>
      <c r="I706" t="s">
        <v>11589</v>
      </c>
      <c r="J706" t="s">
        <v>128</v>
      </c>
      <c r="K706" t="s">
        <v>74</v>
      </c>
      <c r="L706" t="s">
        <v>74</v>
      </c>
      <c r="M706" t="s">
        <v>78</v>
      </c>
      <c r="N706" t="s">
        <v>79</v>
      </c>
      <c r="O706" t="s">
        <v>74</v>
      </c>
      <c r="P706" t="s">
        <v>74</v>
      </c>
      <c r="Q706" t="s">
        <v>74</v>
      </c>
      <c r="R706" t="s">
        <v>74</v>
      </c>
      <c r="S706" t="s">
        <v>74</v>
      </c>
      <c r="T706" t="s">
        <v>11590</v>
      </c>
      <c r="U706" t="s">
        <v>11591</v>
      </c>
      <c r="V706" t="s">
        <v>11592</v>
      </c>
      <c r="W706" t="s">
        <v>11593</v>
      </c>
      <c r="X706" t="s">
        <v>8195</v>
      </c>
      <c r="Y706" t="s">
        <v>11594</v>
      </c>
      <c r="Z706" t="s">
        <v>7661</v>
      </c>
      <c r="AA706" t="s">
        <v>74</v>
      </c>
      <c r="AB706" t="s">
        <v>3858</v>
      </c>
      <c r="AC706" t="s">
        <v>11595</v>
      </c>
      <c r="AD706" t="s">
        <v>11596</v>
      </c>
      <c r="AE706" t="s">
        <v>11597</v>
      </c>
      <c r="AF706" t="s">
        <v>74</v>
      </c>
      <c r="AG706">
        <v>45</v>
      </c>
      <c r="AH706">
        <v>10</v>
      </c>
      <c r="AI706">
        <v>10</v>
      </c>
      <c r="AJ706">
        <v>26</v>
      </c>
      <c r="AK706">
        <v>66</v>
      </c>
      <c r="AL706" t="s">
        <v>138</v>
      </c>
      <c r="AM706" t="s">
        <v>139</v>
      </c>
      <c r="AN706" t="s">
        <v>140</v>
      </c>
      <c r="AO706" t="s">
        <v>141</v>
      </c>
      <c r="AP706" t="s">
        <v>142</v>
      </c>
      <c r="AQ706" t="s">
        <v>74</v>
      </c>
      <c r="AR706" t="s">
        <v>143</v>
      </c>
      <c r="AS706" t="s">
        <v>144</v>
      </c>
      <c r="AT706" t="s">
        <v>491</v>
      </c>
      <c r="AU706">
        <v>2023</v>
      </c>
      <c r="AV706">
        <v>239</v>
      </c>
      <c r="AW706" t="s">
        <v>74</v>
      </c>
      <c r="AX706" t="s">
        <v>74</v>
      </c>
      <c r="AY706" t="s">
        <v>74</v>
      </c>
      <c r="AZ706" t="s">
        <v>74</v>
      </c>
      <c r="BA706" t="s">
        <v>74</v>
      </c>
      <c r="BB706" t="s">
        <v>74</v>
      </c>
      <c r="BC706" t="s">
        <v>74</v>
      </c>
      <c r="BD706">
        <v>109508</v>
      </c>
      <c r="BE706" t="s">
        <v>11598</v>
      </c>
      <c r="BF706" t="str">
        <f>HYPERLINK("http://dx.doi.org/10.1016/j.ress.2023.109508","http://dx.doi.org/10.1016/j.ress.2023.109508")</f>
        <v>http://dx.doi.org/10.1016/j.ress.2023.109508</v>
      </c>
      <c r="BG706" t="s">
        <v>74</v>
      </c>
      <c r="BH706" t="s">
        <v>1155</v>
      </c>
      <c r="BI706">
        <v>13</v>
      </c>
      <c r="BJ706" t="s">
        <v>148</v>
      </c>
      <c r="BK706" t="s">
        <v>149</v>
      </c>
      <c r="BL706" t="s">
        <v>150</v>
      </c>
      <c r="BM706" t="s">
        <v>11599</v>
      </c>
      <c r="BN706" t="s">
        <v>74</v>
      </c>
      <c r="BO706" t="s">
        <v>74</v>
      </c>
      <c r="BP706" t="s">
        <v>74</v>
      </c>
      <c r="BQ706" t="s">
        <v>74</v>
      </c>
      <c r="BR706" t="s">
        <v>104</v>
      </c>
      <c r="BS706" t="s">
        <v>11600</v>
      </c>
      <c r="BT706" t="str">
        <f>HYPERLINK("https%3A%2F%2Fwww.webofscience.com%2Fwos%2Fwoscc%2Ffull-record%2FWOS:001051511800001","View Full Record in Web of Science")</f>
        <v>View Full Record in Web of Science</v>
      </c>
    </row>
    <row r="707" spans="1:72" x14ac:dyDescent="0.25">
      <c r="A707" t="s">
        <v>72</v>
      </c>
      <c r="B707" t="s">
        <v>9970</v>
      </c>
      <c r="C707" t="s">
        <v>74</v>
      </c>
      <c r="D707" t="s">
        <v>74</v>
      </c>
      <c r="E707" t="s">
        <v>74</v>
      </c>
      <c r="F707" t="s">
        <v>9971</v>
      </c>
      <c r="G707" t="s">
        <v>74</v>
      </c>
      <c r="H707" t="s">
        <v>74</v>
      </c>
      <c r="I707" t="s">
        <v>11601</v>
      </c>
      <c r="J707" t="s">
        <v>128</v>
      </c>
      <c r="K707" t="s">
        <v>74</v>
      </c>
      <c r="L707" t="s">
        <v>74</v>
      </c>
      <c r="M707" t="s">
        <v>78</v>
      </c>
      <c r="N707" t="s">
        <v>79</v>
      </c>
      <c r="O707" t="s">
        <v>74</v>
      </c>
      <c r="P707" t="s">
        <v>74</v>
      </c>
      <c r="Q707" t="s">
        <v>74</v>
      </c>
      <c r="R707" t="s">
        <v>74</v>
      </c>
      <c r="S707" t="s">
        <v>74</v>
      </c>
      <c r="T707" t="s">
        <v>11602</v>
      </c>
      <c r="U707" t="s">
        <v>11603</v>
      </c>
      <c r="V707" t="s">
        <v>11604</v>
      </c>
      <c r="W707" t="s">
        <v>11605</v>
      </c>
      <c r="X707" t="s">
        <v>3361</v>
      </c>
      <c r="Y707" t="s">
        <v>10779</v>
      </c>
      <c r="Z707" t="s">
        <v>9979</v>
      </c>
      <c r="AA707" t="s">
        <v>9355</v>
      </c>
      <c r="AB707" t="s">
        <v>10780</v>
      </c>
      <c r="AC707" t="s">
        <v>3365</v>
      </c>
      <c r="AD707" t="s">
        <v>482</v>
      </c>
      <c r="AE707" t="s">
        <v>11606</v>
      </c>
      <c r="AF707" t="s">
        <v>74</v>
      </c>
      <c r="AG707">
        <v>40</v>
      </c>
      <c r="AH707">
        <v>18</v>
      </c>
      <c r="AI707">
        <v>18</v>
      </c>
      <c r="AJ707">
        <v>6</v>
      </c>
      <c r="AK707">
        <v>64</v>
      </c>
      <c r="AL707" t="s">
        <v>138</v>
      </c>
      <c r="AM707" t="s">
        <v>246</v>
      </c>
      <c r="AN707" t="s">
        <v>247</v>
      </c>
      <c r="AO707" t="s">
        <v>141</v>
      </c>
      <c r="AP707" t="s">
        <v>142</v>
      </c>
      <c r="AQ707" t="s">
        <v>74</v>
      </c>
      <c r="AR707" t="s">
        <v>143</v>
      </c>
      <c r="AS707" t="s">
        <v>144</v>
      </c>
      <c r="AT707" t="s">
        <v>1076</v>
      </c>
      <c r="AU707">
        <v>2020</v>
      </c>
      <c r="AV707">
        <v>202</v>
      </c>
      <c r="AW707" t="s">
        <v>74</v>
      </c>
      <c r="AX707" t="s">
        <v>74</v>
      </c>
      <c r="AY707" t="s">
        <v>74</v>
      </c>
      <c r="AZ707" t="s">
        <v>74</v>
      </c>
      <c r="BA707" t="s">
        <v>74</v>
      </c>
      <c r="BB707" t="s">
        <v>74</v>
      </c>
      <c r="BC707" t="s">
        <v>74</v>
      </c>
      <c r="BD707">
        <v>107051</v>
      </c>
      <c r="BE707" t="s">
        <v>11607</v>
      </c>
      <c r="BF707" t="str">
        <f>HYPERLINK("http://dx.doi.org/10.1016/j.ress.2020.107051","http://dx.doi.org/10.1016/j.ress.2020.107051")</f>
        <v>http://dx.doi.org/10.1016/j.ress.2020.107051</v>
      </c>
      <c r="BG707" t="s">
        <v>74</v>
      </c>
      <c r="BH707" t="s">
        <v>74</v>
      </c>
      <c r="BI707">
        <v>9</v>
      </c>
      <c r="BJ707" t="s">
        <v>148</v>
      </c>
      <c r="BK707" t="s">
        <v>149</v>
      </c>
      <c r="BL707" t="s">
        <v>150</v>
      </c>
      <c r="BM707" t="s">
        <v>1633</v>
      </c>
      <c r="BN707" t="s">
        <v>74</v>
      </c>
      <c r="BO707" t="s">
        <v>74</v>
      </c>
      <c r="BP707" t="s">
        <v>74</v>
      </c>
      <c r="BQ707" t="s">
        <v>74</v>
      </c>
      <c r="BR707" t="s">
        <v>104</v>
      </c>
      <c r="BS707" t="s">
        <v>11608</v>
      </c>
      <c r="BT707" t="str">
        <f>HYPERLINK("https%3A%2F%2Fwww.webofscience.com%2Fwos%2Fwoscc%2Ffull-record%2FWOS:000564277900044","View Full Record in Web of Science")</f>
        <v>View Full Record in Web of Science</v>
      </c>
    </row>
    <row r="708" spans="1:72" x14ac:dyDescent="0.25">
      <c r="A708" t="s">
        <v>72</v>
      </c>
      <c r="B708" t="s">
        <v>11609</v>
      </c>
      <c r="C708" t="s">
        <v>74</v>
      </c>
      <c r="D708" t="s">
        <v>74</v>
      </c>
      <c r="E708" t="s">
        <v>74</v>
      </c>
      <c r="F708" t="s">
        <v>11610</v>
      </c>
      <c r="G708" t="s">
        <v>74</v>
      </c>
      <c r="H708" t="s">
        <v>74</v>
      </c>
      <c r="I708" t="s">
        <v>11611</v>
      </c>
      <c r="J708" t="s">
        <v>299</v>
      </c>
      <c r="K708" t="s">
        <v>74</v>
      </c>
      <c r="L708" t="s">
        <v>74</v>
      </c>
      <c r="M708" t="s">
        <v>78</v>
      </c>
      <c r="N708" t="s">
        <v>79</v>
      </c>
      <c r="O708" t="s">
        <v>74</v>
      </c>
      <c r="P708" t="s">
        <v>74</v>
      </c>
      <c r="Q708" t="s">
        <v>74</v>
      </c>
      <c r="R708" t="s">
        <v>74</v>
      </c>
      <c r="S708" t="s">
        <v>74</v>
      </c>
      <c r="T708" t="s">
        <v>11612</v>
      </c>
      <c r="U708" t="s">
        <v>11613</v>
      </c>
      <c r="V708" t="s">
        <v>11614</v>
      </c>
      <c r="W708" t="s">
        <v>11615</v>
      </c>
      <c r="X708" t="s">
        <v>2511</v>
      </c>
      <c r="Y708" t="s">
        <v>11616</v>
      </c>
      <c r="Z708" t="s">
        <v>1169</v>
      </c>
      <c r="AA708" t="s">
        <v>74</v>
      </c>
      <c r="AB708" t="s">
        <v>74</v>
      </c>
      <c r="AC708" t="s">
        <v>11617</v>
      </c>
      <c r="AD708" t="s">
        <v>11225</v>
      </c>
      <c r="AE708" t="s">
        <v>11618</v>
      </c>
      <c r="AF708" t="s">
        <v>74</v>
      </c>
      <c r="AG708">
        <v>45</v>
      </c>
      <c r="AH708">
        <v>14</v>
      </c>
      <c r="AI708">
        <v>14</v>
      </c>
      <c r="AJ708">
        <v>5</v>
      </c>
      <c r="AK708">
        <v>90</v>
      </c>
      <c r="AL708" t="s">
        <v>311</v>
      </c>
      <c r="AM708" t="s">
        <v>312</v>
      </c>
      <c r="AN708" t="s">
        <v>313</v>
      </c>
      <c r="AO708" t="s">
        <v>314</v>
      </c>
      <c r="AP708" t="s">
        <v>315</v>
      </c>
      <c r="AQ708" t="s">
        <v>74</v>
      </c>
      <c r="AR708" t="s">
        <v>316</v>
      </c>
      <c r="AS708" t="s">
        <v>317</v>
      </c>
      <c r="AT708" t="s">
        <v>11619</v>
      </c>
      <c r="AU708">
        <v>2023</v>
      </c>
      <c r="AV708">
        <v>61</v>
      </c>
      <c r="AW708">
        <v>20</v>
      </c>
      <c r="AX708" t="s">
        <v>74</v>
      </c>
      <c r="AY708" t="s">
        <v>74</v>
      </c>
      <c r="AZ708" t="s">
        <v>74</v>
      </c>
      <c r="BA708" t="s">
        <v>74</v>
      </c>
      <c r="BB708">
        <v>6772</v>
      </c>
      <c r="BC708">
        <v>6790</v>
      </c>
      <c r="BD708" t="s">
        <v>74</v>
      </c>
      <c r="BE708" t="s">
        <v>11620</v>
      </c>
      <c r="BF708" t="str">
        <f>HYPERLINK("http://dx.doi.org/10.1080/00207543.2022.2137595","http://dx.doi.org/10.1080/00207543.2022.2137595")</f>
        <v>http://dx.doi.org/10.1080/00207543.2022.2137595</v>
      </c>
      <c r="BG708" t="s">
        <v>74</v>
      </c>
      <c r="BH708" t="s">
        <v>1285</v>
      </c>
      <c r="BI708">
        <v>19</v>
      </c>
      <c r="BJ708" t="s">
        <v>321</v>
      </c>
      <c r="BK708" t="s">
        <v>149</v>
      </c>
      <c r="BL708" t="s">
        <v>150</v>
      </c>
      <c r="BM708" t="s">
        <v>11621</v>
      </c>
      <c r="BN708" t="s">
        <v>74</v>
      </c>
      <c r="BO708" t="s">
        <v>74</v>
      </c>
      <c r="BP708" t="s">
        <v>74</v>
      </c>
      <c r="BQ708" t="s">
        <v>74</v>
      </c>
      <c r="BR708" t="s">
        <v>104</v>
      </c>
      <c r="BS708" t="s">
        <v>11622</v>
      </c>
      <c r="BT708" t="str">
        <f>HYPERLINK("https%3A%2F%2Fwww.webofscience.com%2Fwos%2Fwoscc%2Ffull-record%2FWOS:000874722500001","View Full Record in Web of Science")</f>
        <v>View Full Record in Web of Science</v>
      </c>
    </row>
    <row r="709" spans="1:72" x14ac:dyDescent="0.25">
      <c r="A709" t="s">
        <v>72</v>
      </c>
      <c r="B709" t="s">
        <v>11623</v>
      </c>
      <c r="C709" t="s">
        <v>74</v>
      </c>
      <c r="D709" t="s">
        <v>74</v>
      </c>
      <c r="E709" t="s">
        <v>74</v>
      </c>
      <c r="F709" t="s">
        <v>11624</v>
      </c>
      <c r="G709" t="s">
        <v>74</v>
      </c>
      <c r="H709" t="s">
        <v>74</v>
      </c>
      <c r="I709" t="s">
        <v>11625</v>
      </c>
      <c r="J709" t="s">
        <v>128</v>
      </c>
      <c r="K709" t="s">
        <v>74</v>
      </c>
      <c r="L709" t="s">
        <v>74</v>
      </c>
      <c r="M709" t="s">
        <v>78</v>
      </c>
      <c r="N709" t="s">
        <v>79</v>
      </c>
      <c r="O709" t="s">
        <v>74</v>
      </c>
      <c r="P709" t="s">
        <v>74</v>
      </c>
      <c r="Q709" t="s">
        <v>74</v>
      </c>
      <c r="R709" t="s">
        <v>74</v>
      </c>
      <c r="S709" t="s">
        <v>74</v>
      </c>
      <c r="T709" t="s">
        <v>11626</v>
      </c>
      <c r="U709" t="s">
        <v>11627</v>
      </c>
      <c r="V709" t="s">
        <v>11628</v>
      </c>
      <c r="W709" t="s">
        <v>11629</v>
      </c>
      <c r="X709" t="s">
        <v>11630</v>
      </c>
      <c r="Y709" t="s">
        <v>5942</v>
      </c>
      <c r="Z709" t="s">
        <v>3363</v>
      </c>
      <c r="AA709" t="s">
        <v>3960</v>
      </c>
      <c r="AB709" t="s">
        <v>1299</v>
      </c>
      <c r="AC709" t="s">
        <v>11631</v>
      </c>
      <c r="AD709" t="s">
        <v>1789</v>
      </c>
      <c r="AE709" t="s">
        <v>11632</v>
      </c>
      <c r="AF709" t="s">
        <v>74</v>
      </c>
      <c r="AG709">
        <v>45</v>
      </c>
      <c r="AH709">
        <v>3</v>
      </c>
      <c r="AI709">
        <v>3</v>
      </c>
      <c r="AJ709">
        <v>12</v>
      </c>
      <c r="AK709">
        <v>46</v>
      </c>
      <c r="AL709" t="s">
        <v>138</v>
      </c>
      <c r="AM709" t="s">
        <v>139</v>
      </c>
      <c r="AN709" t="s">
        <v>140</v>
      </c>
      <c r="AO709" t="s">
        <v>141</v>
      </c>
      <c r="AP709" t="s">
        <v>142</v>
      </c>
      <c r="AQ709" t="s">
        <v>74</v>
      </c>
      <c r="AR709" t="s">
        <v>143</v>
      </c>
      <c r="AS709" t="s">
        <v>144</v>
      </c>
      <c r="AT709" t="s">
        <v>559</v>
      </c>
      <c r="AU709">
        <v>2024</v>
      </c>
      <c r="AV709">
        <v>246</v>
      </c>
      <c r="AW709" t="s">
        <v>74</v>
      </c>
      <c r="AX709" t="s">
        <v>74</v>
      </c>
      <c r="AY709" t="s">
        <v>74</v>
      </c>
      <c r="AZ709" t="s">
        <v>74</v>
      </c>
      <c r="BA709" t="s">
        <v>74</v>
      </c>
      <c r="BB709" t="s">
        <v>74</v>
      </c>
      <c r="BC709" t="s">
        <v>74</v>
      </c>
      <c r="BD709">
        <v>110056</v>
      </c>
      <c r="BE709" t="s">
        <v>11633</v>
      </c>
      <c r="BF709" t="str">
        <f>HYPERLINK("http://dx.doi.org/10.1016/j.ress.2024.110056","http://dx.doi.org/10.1016/j.ress.2024.110056")</f>
        <v>http://dx.doi.org/10.1016/j.ress.2024.110056</v>
      </c>
      <c r="BG709" t="s">
        <v>74</v>
      </c>
      <c r="BH709" t="s">
        <v>2003</v>
      </c>
      <c r="BI709">
        <v>9</v>
      </c>
      <c r="BJ709" t="s">
        <v>148</v>
      </c>
      <c r="BK709" t="s">
        <v>149</v>
      </c>
      <c r="BL709" t="s">
        <v>150</v>
      </c>
      <c r="BM709" t="s">
        <v>11634</v>
      </c>
      <c r="BN709" t="s">
        <v>74</v>
      </c>
      <c r="BO709" t="s">
        <v>74</v>
      </c>
      <c r="BP709" t="s">
        <v>74</v>
      </c>
      <c r="BQ709" t="s">
        <v>74</v>
      </c>
      <c r="BR709" t="s">
        <v>104</v>
      </c>
      <c r="BS709" t="s">
        <v>11635</v>
      </c>
      <c r="BT709" t="str">
        <f>HYPERLINK("https%3A%2F%2Fwww.webofscience.com%2Fwos%2Fwoscc%2Ffull-record%2FWOS:001211391300001","View Full Record in Web of Science")</f>
        <v>View Full Record in Web of Science</v>
      </c>
    </row>
    <row r="710" spans="1:72" x14ac:dyDescent="0.25">
      <c r="A710" t="s">
        <v>72</v>
      </c>
      <c r="B710" t="s">
        <v>11636</v>
      </c>
      <c r="C710" t="s">
        <v>74</v>
      </c>
      <c r="D710" t="s">
        <v>74</v>
      </c>
      <c r="E710" t="s">
        <v>74</v>
      </c>
      <c r="F710" t="s">
        <v>2505</v>
      </c>
      <c r="G710" t="s">
        <v>74</v>
      </c>
      <c r="H710" t="s">
        <v>74</v>
      </c>
      <c r="I710" t="s">
        <v>11637</v>
      </c>
      <c r="J710" t="s">
        <v>697</v>
      </c>
      <c r="K710" t="s">
        <v>74</v>
      </c>
      <c r="L710" t="s">
        <v>74</v>
      </c>
      <c r="M710" t="s">
        <v>78</v>
      </c>
      <c r="N710" t="s">
        <v>79</v>
      </c>
      <c r="O710" t="s">
        <v>74</v>
      </c>
      <c r="P710" t="s">
        <v>74</v>
      </c>
      <c r="Q710" t="s">
        <v>74</v>
      </c>
      <c r="R710" t="s">
        <v>74</v>
      </c>
      <c r="S710" t="s">
        <v>74</v>
      </c>
      <c r="T710" t="s">
        <v>11638</v>
      </c>
      <c r="U710" t="s">
        <v>11639</v>
      </c>
      <c r="V710" t="s">
        <v>11640</v>
      </c>
      <c r="W710" t="s">
        <v>11641</v>
      </c>
      <c r="X710" t="s">
        <v>2564</v>
      </c>
      <c r="Y710" t="s">
        <v>11616</v>
      </c>
      <c r="Z710" t="s">
        <v>1169</v>
      </c>
      <c r="AA710" t="s">
        <v>74</v>
      </c>
      <c r="AB710" t="s">
        <v>2514</v>
      </c>
      <c r="AC710" t="s">
        <v>11642</v>
      </c>
      <c r="AD710" t="s">
        <v>11225</v>
      </c>
      <c r="AE710" t="s">
        <v>11643</v>
      </c>
      <c r="AF710" t="s">
        <v>74</v>
      </c>
      <c r="AG710">
        <v>45</v>
      </c>
      <c r="AH710">
        <v>39</v>
      </c>
      <c r="AI710">
        <v>39</v>
      </c>
      <c r="AJ710">
        <v>8</v>
      </c>
      <c r="AK710">
        <v>77</v>
      </c>
      <c r="AL710" t="s">
        <v>707</v>
      </c>
      <c r="AM710" t="s">
        <v>246</v>
      </c>
      <c r="AN710" t="s">
        <v>708</v>
      </c>
      <c r="AO710" t="s">
        <v>709</v>
      </c>
      <c r="AP710" t="s">
        <v>710</v>
      </c>
      <c r="AQ710" t="s">
        <v>74</v>
      </c>
      <c r="AR710" t="s">
        <v>711</v>
      </c>
      <c r="AS710" t="s">
        <v>712</v>
      </c>
      <c r="AT710" t="s">
        <v>1867</v>
      </c>
      <c r="AU710">
        <v>2021</v>
      </c>
      <c r="AV710">
        <v>154</v>
      </c>
      <c r="AW710" t="s">
        <v>74</v>
      </c>
      <c r="AX710" t="s">
        <v>74</v>
      </c>
      <c r="AY710" t="s">
        <v>74</v>
      </c>
      <c r="AZ710" t="s">
        <v>74</v>
      </c>
      <c r="BA710" t="s">
        <v>74</v>
      </c>
      <c r="BB710" t="s">
        <v>74</v>
      </c>
      <c r="BC710" t="s">
        <v>74</v>
      </c>
      <c r="BD710">
        <v>107166</v>
      </c>
      <c r="BE710" t="s">
        <v>11644</v>
      </c>
      <c r="BF710" t="str">
        <f>HYPERLINK("http://dx.doi.org/10.1016/j.cie.2021.107166","http://dx.doi.org/10.1016/j.cie.2021.107166")</f>
        <v>http://dx.doi.org/10.1016/j.cie.2021.107166</v>
      </c>
      <c r="BG710" t="s">
        <v>74</v>
      </c>
      <c r="BH710" t="s">
        <v>639</v>
      </c>
      <c r="BI710">
        <v>10</v>
      </c>
      <c r="BJ710" t="s">
        <v>715</v>
      </c>
      <c r="BK710" t="s">
        <v>149</v>
      </c>
      <c r="BL710" t="s">
        <v>716</v>
      </c>
      <c r="BM710" t="s">
        <v>6572</v>
      </c>
      <c r="BN710" t="s">
        <v>74</v>
      </c>
      <c r="BO710" t="s">
        <v>74</v>
      </c>
      <c r="BP710" t="s">
        <v>74</v>
      </c>
      <c r="BQ710" t="s">
        <v>74</v>
      </c>
      <c r="BR710" t="s">
        <v>104</v>
      </c>
      <c r="BS710" t="s">
        <v>11645</v>
      </c>
      <c r="BT710" t="str">
        <f>HYPERLINK("https%3A%2F%2Fwww.webofscience.com%2Fwos%2Fwoscc%2Ffull-record%2FWOS:000632964300049","View Full Record in Web of Science")</f>
        <v>View Full Record in Web of Science</v>
      </c>
    </row>
    <row r="711" spans="1:72" x14ac:dyDescent="0.25">
      <c r="A711" t="s">
        <v>72</v>
      </c>
      <c r="B711" t="s">
        <v>11646</v>
      </c>
      <c r="C711" t="s">
        <v>74</v>
      </c>
      <c r="D711" t="s">
        <v>74</v>
      </c>
      <c r="E711" t="s">
        <v>74</v>
      </c>
      <c r="F711" t="s">
        <v>11647</v>
      </c>
      <c r="G711" t="s">
        <v>74</v>
      </c>
      <c r="H711" t="s">
        <v>74</v>
      </c>
      <c r="I711" t="s">
        <v>11648</v>
      </c>
      <c r="J711" t="s">
        <v>1932</v>
      </c>
      <c r="K711" t="s">
        <v>74</v>
      </c>
      <c r="L711" t="s">
        <v>74</v>
      </c>
      <c r="M711" t="s">
        <v>78</v>
      </c>
      <c r="N711" t="s">
        <v>79</v>
      </c>
      <c r="O711" t="s">
        <v>74</v>
      </c>
      <c r="P711" t="s">
        <v>74</v>
      </c>
      <c r="Q711" t="s">
        <v>74</v>
      </c>
      <c r="R711" t="s">
        <v>74</v>
      </c>
      <c r="S711" t="s">
        <v>74</v>
      </c>
      <c r="T711" t="s">
        <v>11649</v>
      </c>
      <c r="U711" t="s">
        <v>8202</v>
      </c>
      <c r="V711" t="s">
        <v>11650</v>
      </c>
      <c r="W711" t="s">
        <v>11651</v>
      </c>
      <c r="X711" t="s">
        <v>9681</v>
      </c>
      <c r="Y711" t="s">
        <v>7311</v>
      </c>
      <c r="Z711" t="s">
        <v>7312</v>
      </c>
      <c r="AA711" t="s">
        <v>74</v>
      </c>
      <c r="AB711" t="s">
        <v>74</v>
      </c>
      <c r="AC711" t="s">
        <v>11652</v>
      </c>
      <c r="AD711" t="s">
        <v>11653</v>
      </c>
      <c r="AE711" t="s">
        <v>11654</v>
      </c>
      <c r="AF711" t="s">
        <v>74</v>
      </c>
      <c r="AG711">
        <v>12</v>
      </c>
      <c r="AH711">
        <v>16</v>
      </c>
      <c r="AI711">
        <v>16</v>
      </c>
      <c r="AJ711">
        <v>1</v>
      </c>
      <c r="AK711">
        <v>12</v>
      </c>
      <c r="AL711" t="s">
        <v>1942</v>
      </c>
      <c r="AM711" t="s">
        <v>1943</v>
      </c>
      <c r="AN711" t="s">
        <v>1944</v>
      </c>
      <c r="AO711" t="s">
        <v>1945</v>
      </c>
      <c r="AP711" t="s">
        <v>1946</v>
      </c>
      <c r="AQ711" t="s">
        <v>74</v>
      </c>
      <c r="AR711" t="s">
        <v>1947</v>
      </c>
      <c r="AS711" t="s">
        <v>1948</v>
      </c>
      <c r="AT711" t="s">
        <v>6904</v>
      </c>
      <c r="AU711">
        <v>2019</v>
      </c>
      <c r="AV711">
        <v>16</v>
      </c>
      <c r="AW711">
        <v>3</v>
      </c>
      <c r="AX711" t="s">
        <v>74</v>
      </c>
      <c r="AY711" t="s">
        <v>74</v>
      </c>
      <c r="AZ711" t="s">
        <v>74</v>
      </c>
      <c r="BA711" t="s">
        <v>74</v>
      </c>
      <c r="BB711">
        <v>347</v>
      </c>
      <c r="BC711">
        <v>354</v>
      </c>
      <c r="BD711" t="s">
        <v>74</v>
      </c>
      <c r="BE711" t="s">
        <v>11655</v>
      </c>
      <c r="BF711" t="str">
        <f>HYPERLINK("http://dx.doi.org/10.1080/16843703.2017.1422218","http://dx.doi.org/10.1080/16843703.2017.1422218")</f>
        <v>http://dx.doi.org/10.1080/16843703.2017.1422218</v>
      </c>
      <c r="BG711" t="s">
        <v>74</v>
      </c>
      <c r="BH711" t="s">
        <v>74</v>
      </c>
      <c r="BI711">
        <v>8</v>
      </c>
      <c r="BJ711" t="s">
        <v>1951</v>
      </c>
      <c r="BK711" t="s">
        <v>149</v>
      </c>
      <c r="BL711" t="s">
        <v>1952</v>
      </c>
      <c r="BM711" t="s">
        <v>11656</v>
      </c>
      <c r="BN711" t="s">
        <v>74</v>
      </c>
      <c r="BO711" t="s">
        <v>74</v>
      </c>
      <c r="BP711" t="s">
        <v>74</v>
      </c>
      <c r="BQ711" t="s">
        <v>74</v>
      </c>
      <c r="BR711" t="s">
        <v>104</v>
      </c>
      <c r="BS711" t="s">
        <v>11657</v>
      </c>
      <c r="BT711" t="str">
        <f>HYPERLINK("https%3A%2F%2Fwww.webofscience.com%2Fwos%2Fwoscc%2Ffull-record%2FWOS:000466782700007","View Full Record in Web of Science")</f>
        <v>View Full Record in Web of Science</v>
      </c>
    </row>
    <row r="712" spans="1:72" x14ac:dyDescent="0.25">
      <c r="A712" t="s">
        <v>72</v>
      </c>
      <c r="B712" t="s">
        <v>11658</v>
      </c>
      <c r="C712" t="s">
        <v>74</v>
      </c>
      <c r="D712" t="s">
        <v>74</v>
      </c>
      <c r="E712" t="s">
        <v>74</v>
      </c>
      <c r="F712" t="s">
        <v>11659</v>
      </c>
      <c r="G712" t="s">
        <v>74</v>
      </c>
      <c r="H712" t="s">
        <v>74</v>
      </c>
      <c r="I712" t="s">
        <v>11660</v>
      </c>
      <c r="J712" t="s">
        <v>128</v>
      </c>
      <c r="K712" t="s">
        <v>74</v>
      </c>
      <c r="L712" t="s">
        <v>74</v>
      </c>
      <c r="M712" t="s">
        <v>78</v>
      </c>
      <c r="N712" t="s">
        <v>79</v>
      </c>
      <c r="O712" t="s">
        <v>74</v>
      </c>
      <c r="P712" t="s">
        <v>74</v>
      </c>
      <c r="Q712" t="s">
        <v>74</v>
      </c>
      <c r="R712" t="s">
        <v>74</v>
      </c>
      <c r="S712" t="s">
        <v>74</v>
      </c>
      <c r="T712" t="s">
        <v>11661</v>
      </c>
      <c r="U712" t="s">
        <v>11662</v>
      </c>
      <c r="V712" t="s">
        <v>11663</v>
      </c>
      <c r="W712" t="s">
        <v>11664</v>
      </c>
      <c r="X712" t="s">
        <v>11665</v>
      </c>
      <c r="Y712" t="s">
        <v>10052</v>
      </c>
      <c r="Z712" t="s">
        <v>10053</v>
      </c>
      <c r="AA712" t="s">
        <v>11666</v>
      </c>
      <c r="AB712" t="s">
        <v>3761</v>
      </c>
      <c r="AC712" t="s">
        <v>11667</v>
      </c>
      <c r="AD712" t="s">
        <v>11668</v>
      </c>
      <c r="AE712" t="s">
        <v>11669</v>
      </c>
      <c r="AF712" t="s">
        <v>74</v>
      </c>
      <c r="AG712">
        <v>37</v>
      </c>
      <c r="AH712">
        <v>1</v>
      </c>
      <c r="AI712">
        <v>1</v>
      </c>
      <c r="AJ712">
        <v>27</v>
      </c>
      <c r="AK712">
        <v>27</v>
      </c>
      <c r="AL712" t="s">
        <v>138</v>
      </c>
      <c r="AM712" t="s">
        <v>139</v>
      </c>
      <c r="AN712" t="s">
        <v>140</v>
      </c>
      <c r="AO712" t="s">
        <v>141</v>
      </c>
      <c r="AP712" t="s">
        <v>142</v>
      </c>
      <c r="AQ712" t="s">
        <v>74</v>
      </c>
      <c r="AR712" t="s">
        <v>143</v>
      </c>
      <c r="AS712" t="s">
        <v>144</v>
      </c>
      <c r="AT712" t="s">
        <v>1076</v>
      </c>
      <c r="AU712">
        <v>2024</v>
      </c>
      <c r="AV712">
        <v>250</v>
      </c>
      <c r="AW712" t="s">
        <v>74</v>
      </c>
      <c r="AX712" t="s">
        <v>74</v>
      </c>
      <c r="AY712" t="s">
        <v>74</v>
      </c>
      <c r="AZ712" t="s">
        <v>74</v>
      </c>
      <c r="BA712" t="s">
        <v>74</v>
      </c>
      <c r="BB712" t="s">
        <v>74</v>
      </c>
      <c r="BC712" t="s">
        <v>74</v>
      </c>
      <c r="BD712">
        <v>110282</v>
      </c>
      <c r="BE712" t="s">
        <v>11670</v>
      </c>
      <c r="BF712" t="str">
        <f>HYPERLINK("http://dx.doi.org/10.1016/j.ress.2024.110282","http://dx.doi.org/10.1016/j.ress.2024.110282")</f>
        <v>http://dx.doi.org/10.1016/j.ress.2024.110282</v>
      </c>
      <c r="BG712" t="s">
        <v>74</v>
      </c>
      <c r="BH712" t="s">
        <v>361</v>
      </c>
      <c r="BI712">
        <v>13</v>
      </c>
      <c r="BJ712" t="s">
        <v>148</v>
      </c>
      <c r="BK712" t="s">
        <v>149</v>
      </c>
      <c r="BL712" t="s">
        <v>150</v>
      </c>
      <c r="BM712" t="s">
        <v>11671</v>
      </c>
      <c r="BN712" t="s">
        <v>74</v>
      </c>
      <c r="BO712" t="s">
        <v>74</v>
      </c>
      <c r="BP712" t="s">
        <v>74</v>
      </c>
      <c r="BQ712" t="s">
        <v>74</v>
      </c>
      <c r="BR712" t="s">
        <v>104</v>
      </c>
      <c r="BS712" t="s">
        <v>11672</v>
      </c>
      <c r="BT712" t="str">
        <f>HYPERLINK("https%3A%2F%2Fwww.webofscience.com%2Fwos%2Fwoscc%2Ffull-record%2FWOS:001337760900001","View Full Record in Web of Science")</f>
        <v>View Full Record in Web of Science</v>
      </c>
    </row>
    <row r="713" spans="1:72" x14ac:dyDescent="0.25">
      <c r="A713" t="s">
        <v>72</v>
      </c>
      <c r="B713" t="s">
        <v>11673</v>
      </c>
      <c r="C713" t="s">
        <v>74</v>
      </c>
      <c r="D713" t="s">
        <v>74</v>
      </c>
      <c r="E713" t="s">
        <v>74</v>
      </c>
      <c r="F713" t="s">
        <v>11674</v>
      </c>
      <c r="G713" t="s">
        <v>74</v>
      </c>
      <c r="H713" t="s">
        <v>74</v>
      </c>
      <c r="I713" t="s">
        <v>11675</v>
      </c>
      <c r="J713" t="s">
        <v>7614</v>
      </c>
      <c r="K713" t="s">
        <v>74</v>
      </c>
      <c r="L713" t="s">
        <v>74</v>
      </c>
      <c r="M713" t="s">
        <v>78</v>
      </c>
      <c r="N713" t="s">
        <v>79</v>
      </c>
      <c r="O713" t="s">
        <v>74</v>
      </c>
      <c r="P713" t="s">
        <v>74</v>
      </c>
      <c r="Q713" t="s">
        <v>74</v>
      </c>
      <c r="R713" t="s">
        <v>74</v>
      </c>
      <c r="S713" t="s">
        <v>74</v>
      </c>
      <c r="T713" t="s">
        <v>11676</v>
      </c>
      <c r="U713" t="s">
        <v>11677</v>
      </c>
      <c r="V713" t="s">
        <v>11678</v>
      </c>
      <c r="W713" t="s">
        <v>11679</v>
      </c>
      <c r="X713" t="s">
        <v>1785</v>
      </c>
      <c r="Y713" t="s">
        <v>3148</v>
      </c>
      <c r="Z713" t="s">
        <v>3058</v>
      </c>
      <c r="AA713" t="s">
        <v>3149</v>
      </c>
      <c r="AB713" t="s">
        <v>4012</v>
      </c>
      <c r="AC713" t="s">
        <v>11680</v>
      </c>
      <c r="AD713" t="s">
        <v>11681</v>
      </c>
      <c r="AE713" t="s">
        <v>11682</v>
      </c>
      <c r="AF713" t="s">
        <v>74</v>
      </c>
      <c r="AG713">
        <v>35</v>
      </c>
      <c r="AH713">
        <v>5</v>
      </c>
      <c r="AI713">
        <v>5</v>
      </c>
      <c r="AJ713">
        <v>8</v>
      </c>
      <c r="AK713">
        <v>36</v>
      </c>
      <c r="AL713" t="s">
        <v>1415</v>
      </c>
      <c r="AM713" t="s">
        <v>1416</v>
      </c>
      <c r="AN713" t="s">
        <v>1417</v>
      </c>
      <c r="AO713" t="s">
        <v>7623</v>
      </c>
      <c r="AP713" t="s">
        <v>7624</v>
      </c>
      <c r="AQ713" t="s">
        <v>74</v>
      </c>
      <c r="AR713" t="s">
        <v>7625</v>
      </c>
      <c r="AS713" t="s">
        <v>7626</v>
      </c>
      <c r="AT713" t="s">
        <v>2816</v>
      </c>
      <c r="AU713">
        <v>2023</v>
      </c>
      <c r="AV713">
        <v>35</v>
      </c>
      <c r="AW713">
        <v>3</v>
      </c>
      <c r="AX713" t="s">
        <v>74</v>
      </c>
      <c r="AY713" t="s">
        <v>74</v>
      </c>
      <c r="AZ713" t="s">
        <v>74</v>
      </c>
      <c r="BA713" t="s">
        <v>74</v>
      </c>
      <c r="BB713">
        <v>467</v>
      </c>
      <c r="BC713">
        <v>479</v>
      </c>
      <c r="BD713" t="s">
        <v>74</v>
      </c>
      <c r="BE713" t="s">
        <v>11683</v>
      </c>
      <c r="BF713" t="str">
        <f>HYPERLINK("http://dx.doi.org/10.1080/08982112.2022.2151369","http://dx.doi.org/10.1080/08982112.2022.2151369")</f>
        <v>http://dx.doi.org/10.1080/08982112.2022.2151369</v>
      </c>
      <c r="BG713" t="s">
        <v>74</v>
      </c>
      <c r="BH713" t="s">
        <v>3031</v>
      </c>
      <c r="BI713">
        <v>13</v>
      </c>
      <c r="BJ713" t="s">
        <v>7629</v>
      </c>
      <c r="BK713" t="s">
        <v>149</v>
      </c>
      <c r="BL713" t="s">
        <v>7630</v>
      </c>
      <c r="BM713" t="s">
        <v>11684</v>
      </c>
      <c r="BN713" t="s">
        <v>74</v>
      </c>
      <c r="BO713" t="s">
        <v>74</v>
      </c>
      <c r="BP713" t="s">
        <v>74</v>
      </c>
      <c r="BQ713" t="s">
        <v>74</v>
      </c>
      <c r="BR713" t="s">
        <v>104</v>
      </c>
      <c r="BS713" t="s">
        <v>11685</v>
      </c>
      <c r="BT713" t="str">
        <f>HYPERLINK("https%3A%2F%2Fwww.webofscience.com%2Fwos%2Fwoscc%2Ffull-record%2FWOS:000893638400001","View Full Record in Web of Science")</f>
        <v>View Full Record in Web of Science</v>
      </c>
    </row>
    <row r="714" spans="1:72" x14ac:dyDescent="0.25">
      <c r="A714" t="s">
        <v>72</v>
      </c>
      <c r="B714" t="s">
        <v>11686</v>
      </c>
      <c r="C714" t="s">
        <v>74</v>
      </c>
      <c r="D714" t="s">
        <v>74</v>
      </c>
      <c r="E714" t="s">
        <v>74</v>
      </c>
      <c r="F714" t="s">
        <v>11687</v>
      </c>
      <c r="G714" t="s">
        <v>74</v>
      </c>
      <c r="H714" t="s">
        <v>74</v>
      </c>
      <c r="I714" t="s">
        <v>11688</v>
      </c>
      <c r="J714" t="s">
        <v>697</v>
      </c>
      <c r="K714" t="s">
        <v>74</v>
      </c>
      <c r="L714" t="s">
        <v>74</v>
      </c>
      <c r="M714" t="s">
        <v>78</v>
      </c>
      <c r="N714" t="s">
        <v>79</v>
      </c>
      <c r="O714" t="s">
        <v>74</v>
      </c>
      <c r="P714" t="s">
        <v>74</v>
      </c>
      <c r="Q714" t="s">
        <v>74</v>
      </c>
      <c r="R714" t="s">
        <v>74</v>
      </c>
      <c r="S714" t="s">
        <v>74</v>
      </c>
      <c r="T714" t="s">
        <v>11689</v>
      </c>
      <c r="U714" t="s">
        <v>11690</v>
      </c>
      <c r="V714" t="s">
        <v>11691</v>
      </c>
      <c r="W714" t="s">
        <v>11692</v>
      </c>
      <c r="X714" t="s">
        <v>11693</v>
      </c>
      <c r="Y714" t="s">
        <v>3423</v>
      </c>
      <c r="Z714" t="s">
        <v>3424</v>
      </c>
      <c r="AA714" t="s">
        <v>74</v>
      </c>
      <c r="AB714" t="s">
        <v>74</v>
      </c>
      <c r="AC714" t="s">
        <v>11694</v>
      </c>
      <c r="AD714" t="s">
        <v>2774</v>
      </c>
      <c r="AE714" t="s">
        <v>11695</v>
      </c>
      <c r="AF714" t="s">
        <v>74</v>
      </c>
      <c r="AG714">
        <v>32</v>
      </c>
      <c r="AH714">
        <v>28</v>
      </c>
      <c r="AI714">
        <v>28</v>
      </c>
      <c r="AJ714">
        <v>4</v>
      </c>
      <c r="AK714">
        <v>29</v>
      </c>
      <c r="AL714" t="s">
        <v>707</v>
      </c>
      <c r="AM714" t="s">
        <v>246</v>
      </c>
      <c r="AN714" t="s">
        <v>708</v>
      </c>
      <c r="AO714" t="s">
        <v>709</v>
      </c>
      <c r="AP714" t="s">
        <v>710</v>
      </c>
      <c r="AQ714" t="s">
        <v>74</v>
      </c>
      <c r="AR714" t="s">
        <v>711</v>
      </c>
      <c r="AS714" t="s">
        <v>712</v>
      </c>
      <c r="AT714" t="s">
        <v>275</v>
      </c>
      <c r="AU714">
        <v>2021</v>
      </c>
      <c r="AV714">
        <v>153</v>
      </c>
      <c r="AW714" t="s">
        <v>74</v>
      </c>
      <c r="AX714" t="s">
        <v>74</v>
      </c>
      <c r="AY714" t="s">
        <v>74</v>
      </c>
      <c r="AZ714" t="s">
        <v>74</v>
      </c>
      <c r="BA714" t="s">
        <v>74</v>
      </c>
      <c r="BB714" t="s">
        <v>74</v>
      </c>
      <c r="BC714" t="s">
        <v>74</v>
      </c>
      <c r="BD714">
        <v>107092</v>
      </c>
      <c r="BE714" t="s">
        <v>11696</v>
      </c>
      <c r="BF714" t="str">
        <f>HYPERLINK("http://dx.doi.org/10.1016/j.cie.2020.107092","http://dx.doi.org/10.1016/j.cie.2020.107092")</f>
        <v>http://dx.doi.org/10.1016/j.cie.2020.107092</v>
      </c>
      <c r="BG714" t="s">
        <v>74</v>
      </c>
      <c r="BH714" t="s">
        <v>773</v>
      </c>
      <c r="BI714">
        <v>9</v>
      </c>
      <c r="BJ714" t="s">
        <v>715</v>
      </c>
      <c r="BK714" t="s">
        <v>149</v>
      </c>
      <c r="BL714" t="s">
        <v>716</v>
      </c>
      <c r="BM714" t="s">
        <v>1335</v>
      </c>
      <c r="BN714" t="s">
        <v>74</v>
      </c>
      <c r="BO714" t="s">
        <v>74</v>
      </c>
      <c r="BP714" t="s">
        <v>74</v>
      </c>
      <c r="BQ714" t="s">
        <v>74</v>
      </c>
      <c r="BR714" t="s">
        <v>104</v>
      </c>
      <c r="BS714" t="s">
        <v>11697</v>
      </c>
      <c r="BT714" t="str">
        <f>HYPERLINK("https%3A%2F%2Fwww.webofscience.com%2Fwos%2Fwoscc%2Ffull-record%2FWOS:000632961600034","View Full Record in Web of Science")</f>
        <v>View Full Record in Web of Science</v>
      </c>
    </row>
    <row r="715" spans="1:72" x14ac:dyDescent="0.25">
      <c r="A715" t="s">
        <v>72</v>
      </c>
      <c r="B715" t="s">
        <v>11698</v>
      </c>
      <c r="C715" t="s">
        <v>74</v>
      </c>
      <c r="D715" t="s">
        <v>74</v>
      </c>
      <c r="E715" t="s">
        <v>74</v>
      </c>
      <c r="F715" t="s">
        <v>11699</v>
      </c>
      <c r="G715" t="s">
        <v>74</v>
      </c>
      <c r="H715" t="s">
        <v>74</v>
      </c>
      <c r="I715" t="s">
        <v>11700</v>
      </c>
      <c r="J715" t="s">
        <v>128</v>
      </c>
      <c r="K715" t="s">
        <v>74</v>
      </c>
      <c r="L715" t="s">
        <v>74</v>
      </c>
      <c r="M715" t="s">
        <v>78</v>
      </c>
      <c r="N715" t="s">
        <v>79</v>
      </c>
      <c r="O715" t="s">
        <v>74</v>
      </c>
      <c r="P715" t="s">
        <v>74</v>
      </c>
      <c r="Q715" t="s">
        <v>74</v>
      </c>
      <c r="R715" t="s">
        <v>74</v>
      </c>
      <c r="S715" t="s">
        <v>74</v>
      </c>
      <c r="T715" t="s">
        <v>11701</v>
      </c>
      <c r="U715" t="s">
        <v>11702</v>
      </c>
      <c r="V715" t="s">
        <v>11703</v>
      </c>
      <c r="W715" t="s">
        <v>11704</v>
      </c>
      <c r="X715" t="s">
        <v>11705</v>
      </c>
      <c r="Y715" t="s">
        <v>5657</v>
      </c>
      <c r="Z715" t="s">
        <v>5002</v>
      </c>
      <c r="AA715" t="s">
        <v>11706</v>
      </c>
      <c r="AB715" t="s">
        <v>11707</v>
      </c>
      <c r="AC715" t="s">
        <v>2533</v>
      </c>
      <c r="AD715" t="s">
        <v>482</v>
      </c>
      <c r="AE715" t="s">
        <v>2534</v>
      </c>
      <c r="AF715" t="s">
        <v>74</v>
      </c>
      <c r="AG715">
        <v>47</v>
      </c>
      <c r="AH715">
        <v>13</v>
      </c>
      <c r="AI715">
        <v>13</v>
      </c>
      <c r="AJ715">
        <v>3</v>
      </c>
      <c r="AK715">
        <v>31</v>
      </c>
      <c r="AL715" t="s">
        <v>138</v>
      </c>
      <c r="AM715" t="s">
        <v>246</v>
      </c>
      <c r="AN715" t="s">
        <v>247</v>
      </c>
      <c r="AO715" t="s">
        <v>141</v>
      </c>
      <c r="AP715" t="s">
        <v>142</v>
      </c>
      <c r="AQ715" t="s">
        <v>74</v>
      </c>
      <c r="AR715" t="s">
        <v>143</v>
      </c>
      <c r="AS715" t="s">
        <v>144</v>
      </c>
      <c r="AT715" t="s">
        <v>205</v>
      </c>
      <c r="AU715">
        <v>2019</v>
      </c>
      <c r="AV715">
        <v>189</v>
      </c>
      <c r="AW715" t="s">
        <v>74</v>
      </c>
      <c r="AX715" t="s">
        <v>74</v>
      </c>
      <c r="AY715" t="s">
        <v>74</v>
      </c>
      <c r="AZ715" t="s">
        <v>74</v>
      </c>
      <c r="BA715" t="s">
        <v>74</v>
      </c>
      <c r="BB715">
        <v>315</v>
      </c>
      <c r="BC715">
        <v>326</v>
      </c>
      <c r="BD715" t="s">
        <v>74</v>
      </c>
      <c r="BE715" t="s">
        <v>11708</v>
      </c>
      <c r="BF715" t="str">
        <f>HYPERLINK("http://dx.doi.org/10.1016/j.ress.2019.05.006","http://dx.doi.org/10.1016/j.ress.2019.05.006")</f>
        <v>http://dx.doi.org/10.1016/j.ress.2019.05.006</v>
      </c>
      <c r="BG715" t="s">
        <v>74</v>
      </c>
      <c r="BH715" t="s">
        <v>74</v>
      </c>
      <c r="BI715">
        <v>12</v>
      </c>
      <c r="BJ715" t="s">
        <v>148</v>
      </c>
      <c r="BK715" t="s">
        <v>149</v>
      </c>
      <c r="BL715" t="s">
        <v>150</v>
      </c>
      <c r="BM715" t="s">
        <v>2403</v>
      </c>
      <c r="BN715" t="s">
        <v>74</v>
      </c>
      <c r="BO715" t="s">
        <v>758</v>
      </c>
      <c r="BP715" t="s">
        <v>74</v>
      </c>
      <c r="BQ715" t="s">
        <v>74</v>
      </c>
      <c r="BR715" t="s">
        <v>104</v>
      </c>
      <c r="BS715" t="s">
        <v>11709</v>
      </c>
      <c r="BT715" t="str">
        <f>HYPERLINK("https%3A%2F%2Fwww.webofscience.com%2Fwos%2Fwoscc%2Ffull-record%2FWOS:000474493000026","View Full Record in Web of Science")</f>
        <v>View Full Record in Web of Science</v>
      </c>
    </row>
    <row r="716" spans="1:72" x14ac:dyDescent="0.25">
      <c r="A716" t="s">
        <v>72</v>
      </c>
      <c r="B716" t="s">
        <v>11710</v>
      </c>
      <c r="C716" t="s">
        <v>74</v>
      </c>
      <c r="D716" t="s">
        <v>74</v>
      </c>
      <c r="E716" t="s">
        <v>74</v>
      </c>
      <c r="F716" t="s">
        <v>11711</v>
      </c>
      <c r="G716" t="s">
        <v>74</v>
      </c>
      <c r="H716" t="s">
        <v>74</v>
      </c>
      <c r="I716" t="s">
        <v>11712</v>
      </c>
      <c r="J716" t="s">
        <v>697</v>
      </c>
      <c r="K716" t="s">
        <v>74</v>
      </c>
      <c r="L716" t="s">
        <v>74</v>
      </c>
      <c r="M716" t="s">
        <v>78</v>
      </c>
      <c r="N716" t="s">
        <v>79</v>
      </c>
      <c r="O716" t="s">
        <v>74</v>
      </c>
      <c r="P716" t="s">
        <v>74</v>
      </c>
      <c r="Q716" t="s">
        <v>74</v>
      </c>
      <c r="R716" t="s">
        <v>74</v>
      </c>
      <c r="S716" t="s">
        <v>74</v>
      </c>
      <c r="T716" t="s">
        <v>11713</v>
      </c>
      <c r="U716" t="s">
        <v>11714</v>
      </c>
      <c r="V716" t="s">
        <v>11715</v>
      </c>
      <c r="W716" t="s">
        <v>11716</v>
      </c>
      <c r="X716" t="s">
        <v>11475</v>
      </c>
      <c r="Y716" t="s">
        <v>11526</v>
      </c>
      <c r="Z716" t="s">
        <v>11717</v>
      </c>
      <c r="AA716" t="s">
        <v>11718</v>
      </c>
      <c r="AB716" t="s">
        <v>11719</v>
      </c>
      <c r="AC716" t="s">
        <v>11720</v>
      </c>
      <c r="AD716" t="s">
        <v>11721</v>
      </c>
      <c r="AE716" t="s">
        <v>11722</v>
      </c>
      <c r="AF716" t="s">
        <v>74</v>
      </c>
      <c r="AG716">
        <v>34</v>
      </c>
      <c r="AH716">
        <v>0</v>
      </c>
      <c r="AI716">
        <v>0</v>
      </c>
      <c r="AJ716">
        <v>7</v>
      </c>
      <c r="AK716">
        <v>16</v>
      </c>
      <c r="AL716" t="s">
        <v>707</v>
      </c>
      <c r="AM716" t="s">
        <v>246</v>
      </c>
      <c r="AN716" t="s">
        <v>708</v>
      </c>
      <c r="AO716" t="s">
        <v>709</v>
      </c>
      <c r="AP716" t="s">
        <v>710</v>
      </c>
      <c r="AQ716" t="s">
        <v>74</v>
      </c>
      <c r="AR716" t="s">
        <v>711</v>
      </c>
      <c r="AS716" t="s">
        <v>712</v>
      </c>
      <c r="AT716" t="s">
        <v>2225</v>
      </c>
      <c r="AU716">
        <v>2024</v>
      </c>
      <c r="AV716">
        <v>194</v>
      </c>
      <c r="AW716" t="s">
        <v>74</v>
      </c>
      <c r="AX716" t="s">
        <v>74</v>
      </c>
      <c r="AY716" t="s">
        <v>74</v>
      </c>
      <c r="AZ716" t="s">
        <v>74</v>
      </c>
      <c r="BA716" t="s">
        <v>74</v>
      </c>
      <c r="BB716" t="s">
        <v>74</v>
      </c>
      <c r="BC716" t="s">
        <v>74</v>
      </c>
      <c r="BD716">
        <v>110395</v>
      </c>
      <c r="BE716" t="s">
        <v>11723</v>
      </c>
      <c r="BF716" t="str">
        <f>HYPERLINK("http://dx.doi.org/10.1016/j.cie.2024.110395","http://dx.doi.org/10.1016/j.cie.2024.110395")</f>
        <v>http://dx.doi.org/10.1016/j.cie.2024.110395</v>
      </c>
      <c r="BG716" t="s">
        <v>74</v>
      </c>
      <c r="BH716" t="s">
        <v>493</v>
      </c>
      <c r="BI716">
        <v>12</v>
      </c>
      <c r="BJ716" t="s">
        <v>715</v>
      </c>
      <c r="BK716" t="s">
        <v>149</v>
      </c>
      <c r="BL716" t="s">
        <v>716</v>
      </c>
      <c r="BM716" t="s">
        <v>11724</v>
      </c>
      <c r="BN716" t="s">
        <v>74</v>
      </c>
      <c r="BO716" t="s">
        <v>74</v>
      </c>
      <c r="BP716" t="s">
        <v>74</v>
      </c>
      <c r="BQ716" t="s">
        <v>74</v>
      </c>
      <c r="BR716" t="s">
        <v>104</v>
      </c>
      <c r="BS716" t="s">
        <v>11725</v>
      </c>
      <c r="BT716" t="str">
        <f>HYPERLINK("https%3A%2F%2Fwww.webofscience.com%2Fwos%2Fwoscc%2Ffull-record%2FWOS:001276792200001","View Full Record in Web of Science")</f>
        <v>View Full Record in Web of Science</v>
      </c>
    </row>
    <row r="717" spans="1:72" x14ac:dyDescent="0.25">
      <c r="A717" t="s">
        <v>72</v>
      </c>
      <c r="B717" t="s">
        <v>11726</v>
      </c>
      <c r="C717" t="s">
        <v>74</v>
      </c>
      <c r="D717" t="s">
        <v>74</v>
      </c>
      <c r="E717" t="s">
        <v>74</v>
      </c>
      <c r="F717" t="s">
        <v>11727</v>
      </c>
      <c r="G717" t="s">
        <v>74</v>
      </c>
      <c r="H717" t="s">
        <v>74</v>
      </c>
      <c r="I717" t="s">
        <v>11728</v>
      </c>
      <c r="J717" t="s">
        <v>128</v>
      </c>
      <c r="K717" t="s">
        <v>74</v>
      </c>
      <c r="L717" t="s">
        <v>74</v>
      </c>
      <c r="M717" t="s">
        <v>78</v>
      </c>
      <c r="N717" t="s">
        <v>79</v>
      </c>
      <c r="O717" t="s">
        <v>74</v>
      </c>
      <c r="P717" t="s">
        <v>74</v>
      </c>
      <c r="Q717" t="s">
        <v>74</v>
      </c>
      <c r="R717" t="s">
        <v>74</v>
      </c>
      <c r="S717" t="s">
        <v>74</v>
      </c>
      <c r="T717" t="s">
        <v>11729</v>
      </c>
      <c r="U717" t="s">
        <v>11730</v>
      </c>
      <c r="V717" t="s">
        <v>11731</v>
      </c>
      <c r="W717" t="s">
        <v>11732</v>
      </c>
      <c r="X717" t="s">
        <v>11733</v>
      </c>
      <c r="Y717" t="s">
        <v>11734</v>
      </c>
      <c r="Z717" t="s">
        <v>11735</v>
      </c>
      <c r="AA717" t="s">
        <v>11736</v>
      </c>
      <c r="AB717" t="s">
        <v>74</v>
      </c>
      <c r="AC717" t="s">
        <v>11737</v>
      </c>
      <c r="AD717" t="s">
        <v>11738</v>
      </c>
      <c r="AE717" t="s">
        <v>11739</v>
      </c>
      <c r="AF717" t="s">
        <v>74</v>
      </c>
      <c r="AG717">
        <v>45</v>
      </c>
      <c r="AH717">
        <v>33</v>
      </c>
      <c r="AI717">
        <v>34</v>
      </c>
      <c r="AJ717">
        <v>7</v>
      </c>
      <c r="AK717">
        <v>50</v>
      </c>
      <c r="AL717" t="s">
        <v>138</v>
      </c>
      <c r="AM717" t="s">
        <v>246</v>
      </c>
      <c r="AN717" t="s">
        <v>247</v>
      </c>
      <c r="AO717" t="s">
        <v>141</v>
      </c>
      <c r="AP717" t="s">
        <v>142</v>
      </c>
      <c r="AQ717" t="s">
        <v>74</v>
      </c>
      <c r="AR717" t="s">
        <v>143</v>
      </c>
      <c r="AS717" t="s">
        <v>144</v>
      </c>
      <c r="AT717" t="s">
        <v>145</v>
      </c>
      <c r="AU717">
        <v>2020</v>
      </c>
      <c r="AV717">
        <v>204</v>
      </c>
      <c r="AW717" t="s">
        <v>74</v>
      </c>
      <c r="AX717" t="s">
        <v>74</v>
      </c>
      <c r="AY717" t="s">
        <v>74</v>
      </c>
      <c r="AZ717" t="s">
        <v>74</v>
      </c>
      <c r="BA717" t="s">
        <v>74</v>
      </c>
      <c r="BB717" t="s">
        <v>74</v>
      </c>
      <c r="BC717" t="s">
        <v>74</v>
      </c>
      <c r="BD717">
        <v>107139</v>
      </c>
      <c r="BE717" t="s">
        <v>11740</v>
      </c>
      <c r="BF717" t="str">
        <f>HYPERLINK("http://dx.doi.org/10.1016/j.ress.2020.107139","http://dx.doi.org/10.1016/j.ress.2020.107139")</f>
        <v>http://dx.doi.org/10.1016/j.ress.2020.107139</v>
      </c>
      <c r="BG717" t="s">
        <v>74</v>
      </c>
      <c r="BH717" t="s">
        <v>74</v>
      </c>
      <c r="BI717">
        <v>12</v>
      </c>
      <c r="BJ717" t="s">
        <v>148</v>
      </c>
      <c r="BK717" t="s">
        <v>149</v>
      </c>
      <c r="BL717" t="s">
        <v>150</v>
      </c>
      <c r="BM717" t="s">
        <v>4651</v>
      </c>
      <c r="BN717" t="s">
        <v>74</v>
      </c>
      <c r="BO717" t="s">
        <v>74</v>
      </c>
      <c r="BP717" t="s">
        <v>74</v>
      </c>
      <c r="BQ717" t="s">
        <v>74</v>
      </c>
      <c r="BR717" t="s">
        <v>104</v>
      </c>
      <c r="BS717" t="s">
        <v>11741</v>
      </c>
      <c r="BT717" t="str">
        <f>HYPERLINK("https%3A%2F%2Fwww.webofscience.com%2Fwos%2Fwoscc%2Ffull-record%2FWOS:000583913400027","View Full Record in Web of Science")</f>
        <v>View Full Record in Web of Science</v>
      </c>
    </row>
    <row r="718" spans="1:72" x14ac:dyDescent="0.25">
      <c r="A718" t="s">
        <v>72</v>
      </c>
      <c r="B718" t="s">
        <v>11742</v>
      </c>
      <c r="C718" t="s">
        <v>74</v>
      </c>
      <c r="D718" t="s">
        <v>74</v>
      </c>
      <c r="E718" t="s">
        <v>74</v>
      </c>
      <c r="F718" t="s">
        <v>11743</v>
      </c>
      <c r="G718" t="s">
        <v>74</v>
      </c>
      <c r="H718" t="s">
        <v>74</v>
      </c>
      <c r="I718" t="s">
        <v>11744</v>
      </c>
      <c r="J718" t="s">
        <v>2160</v>
      </c>
      <c r="K718" t="s">
        <v>74</v>
      </c>
      <c r="L718" t="s">
        <v>74</v>
      </c>
      <c r="M718" t="s">
        <v>78</v>
      </c>
      <c r="N718" t="s">
        <v>79</v>
      </c>
      <c r="O718" t="s">
        <v>74</v>
      </c>
      <c r="P718" t="s">
        <v>74</v>
      </c>
      <c r="Q718" t="s">
        <v>74</v>
      </c>
      <c r="R718" t="s">
        <v>74</v>
      </c>
      <c r="S718" t="s">
        <v>74</v>
      </c>
      <c r="T718" t="s">
        <v>11745</v>
      </c>
      <c r="U718" t="s">
        <v>11746</v>
      </c>
      <c r="V718" t="s">
        <v>11747</v>
      </c>
      <c r="W718" t="s">
        <v>11748</v>
      </c>
      <c r="X718" t="s">
        <v>11749</v>
      </c>
      <c r="Y718" t="s">
        <v>11750</v>
      </c>
      <c r="Z718" t="s">
        <v>11751</v>
      </c>
      <c r="AA718" t="s">
        <v>11752</v>
      </c>
      <c r="AB718" t="s">
        <v>6019</v>
      </c>
      <c r="AC718" t="s">
        <v>11753</v>
      </c>
      <c r="AD718" t="s">
        <v>11754</v>
      </c>
      <c r="AE718" t="s">
        <v>11755</v>
      </c>
      <c r="AF718" t="s">
        <v>74</v>
      </c>
      <c r="AG718">
        <v>23</v>
      </c>
      <c r="AH718">
        <v>83</v>
      </c>
      <c r="AI718">
        <v>86</v>
      </c>
      <c r="AJ718">
        <v>15</v>
      </c>
      <c r="AK718">
        <v>63</v>
      </c>
      <c r="AL718" t="s">
        <v>220</v>
      </c>
      <c r="AM718" t="s">
        <v>221</v>
      </c>
      <c r="AN718" t="s">
        <v>222</v>
      </c>
      <c r="AO718" t="s">
        <v>2172</v>
      </c>
      <c r="AP718" t="s">
        <v>2173</v>
      </c>
      <c r="AQ718" t="s">
        <v>74</v>
      </c>
      <c r="AR718" t="s">
        <v>2174</v>
      </c>
      <c r="AS718" t="s">
        <v>2175</v>
      </c>
      <c r="AT718" t="s">
        <v>1008</v>
      </c>
      <c r="AU718">
        <v>2020</v>
      </c>
      <c r="AV718">
        <v>16</v>
      </c>
      <c r="AW718">
        <v>1</v>
      </c>
      <c r="AX718" t="s">
        <v>74</v>
      </c>
      <c r="AY718" t="s">
        <v>74</v>
      </c>
      <c r="AZ718" t="s">
        <v>74</v>
      </c>
      <c r="BA718" t="s">
        <v>74</v>
      </c>
      <c r="BB718">
        <v>277</v>
      </c>
      <c r="BC718">
        <v>287</v>
      </c>
      <c r="BD718" t="s">
        <v>74</v>
      </c>
      <c r="BE718" t="s">
        <v>11756</v>
      </c>
      <c r="BF718" t="str">
        <f>HYPERLINK("http://dx.doi.org/10.1109/TII.2019.2912427","http://dx.doi.org/10.1109/TII.2019.2912427")</f>
        <v>http://dx.doi.org/10.1109/TII.2019.2912427</v>
      </c>
      <c r="BG718" t="s">
        <v>74</v>
      </c>
      <c r="BH718" t="s">
        <v>74</v>
      </c>
      <c r="BI718">
        <v>11</v>
      </c>
      <c r="BJ718" t="s">
        <v>2177</v>
      </c>
      <c r="BK718" t="s">
        <v>149</v>
      </c>
      <c r="BL718" t="s">
        <v>1157</v>
      </c>
      <c r="BM718" t="s">
        <v>11757</v>
      </c>
      <c r="BN718" t="s">
        <v>74</v>
      </c>
      <c r="BO718" t="s">
        <v>74</v>
      </c>
      <c r="BP718" t="s">
        <v>74</v>
      </c>
      <c r="BQ718" t="s">
        <v>74</v>
      </c>
      <c r="BR718" t="s">
        <v>104</v>
      </c>
      <c r="BS718" t="s">
        <v>11758</v>
      </c>
      <c r="BT718" t="str">
        <f>HYPERLINK("https%3A%2F%2Fwww.webofscience.com%2Fwos%2Fwoscc%2Ffull-record%2FWOS:000508428900026","View Full Record in Web of Science")</f>
        <v>View Full Record in Web of Science</v>
      </c>
    </row>
    <row r="719" spans="1:72" x14ac:dyDescent="0.25">
      <c r="A719" t="s">
        <v>72</v>
      </c>
      <c r="B719" t="s">
        <v>11759</v>
      </c>
      <c r="C719" t="s">
        <v>74</v>
      </c>
      <c r="D719" t="s">
        <v>74</v>
      </c>
      <c r="E719" t="s">
        <v>74</v>
      </c>
      <c r="F719" t="s">
        <v>11760</v>
      </c>
      <c r="G719" t="s">
        <v>74</v>
      </c>
      <c r="H719" t="s">
        <v>74</v>
      </c>
      <c r="I719" t="s">
        <v>11761</v>
      </c>
      <c r="J719" t="s">
        <v>128</v>
      </c>
      <c r="K719" t="s">
        <v>74</v>
      </c>
      <c r="L719" t="s">
        <v>74</v>
      </c>
      <c r="M719" t="s">
        <v>78</v>
      </c>
      <c r="N719" t="s">
        <v>79</v>
      </c>
      <c r="O719" t="s">
        <v>74</v>
      </c>
      <c r="P719" t="s">
        <v>74</v>
      </c>
      <c r="Q719" t="s">
        <v>74</v>
      </c>
      <c r="R719" t="s">
        <v>74</v>
      </c>
      <c r="S719" t="s">
        <v>74</v>
      </c>
      <c r="T719" t="s">
        <v>11762</v>
      </c>
      <c r="U719" t="s">
        <v>11763</v>
      </c>
      <c r="V719" t="s">
        <v>11764</v>
      </c>
      <c r="W719" t="s">
        <v>11765</v>
      </c>
      <c r="X719" t="s">
        <v>8195</v>
      </c>
      <c r="Y719" t="s">
        <v>3423</v>
      </c>
      <c r="Z719" t="s">
        <v>3424</v>
      </c>
      <c r="AA719" t="s">
        <v>3857</v>
      </c>
      <c r="AB719" t="s">
        <v>74</v>
      </c>
      <c r="AC719" t="s">
        <v>11766</v>
      </c>
      <c r="AD719" t="s">
        <v>11767</v>
      </c>
      <c r="AE719" t="s">
        <v>11768</v>
      </c>
      <c r="AF719" t="s">
        <v>74</v>
      </c>
      <c r="AG719">
        <v>41</v>
      </c>
      <c r="AH719">
        <v>25</v>
      </c>
      <c r="AI719">
        <v>25</v>
      </c>
      <c r="AJ719">
        <v>10</v>
      </c>
      <c r="AK719">
        <v>49</v>
      </c>
      <c r="AL719" t="s">
        <v>138</v>
      </c>
      <c r="AM719" t="s">
        <v>246</v>
      </c>
      <c r="AN719" t="s">
        <v>247</v>
      </c>
      <c r="AO719" t="s">
        <v>141</v>
      </c>
      <c r="AP719" t="s">
        <v>142</v>
      </c>
      <c r="AQ719" t="s">
        <v>74</v>
      </c>
      <c r="AR719" t="s">
        <v>143</v>
      </c>
      <c r="AS719" t="s">
        <v>144</v>
      </c>
      <c r="AT719" t="s">
        <v>491</v>
      </c>
      <c r="AU719">
        <v>2021</v>
      </c>
      <c r="AV719">
        <v>215</v>
      </c>
      <c r="AW719" t="s">
        <v>74</v>
      </c>
      <c r="AX719" t="s">
        <v>74</v>
      </c>
      <c r="AY719" t="s">
        <v>74</v>
      </c>
      <c r="AZ719" t="s">
        <v>74</v>
      </c>
      <c r="BA719" t="s">
        <v>74</v>
      </c>
      <c r="BB719" t="s">
        <v>74</v>
      </c>
      <c r="BC719" t="s">
        <v>74</v>
      </c>
      <c r="BD719">
        <v>107865</v>
      </c>
      <c r="BE719" t="s">
        <v>11769</v>
      </c>
      <c r="BF719" t="str">
        <f>HYPERLINK("http://dx.doi.org/10.1016/j.ress.2021.107865","http://dx.doi.org/10.1016/j.ress.2021.107865")</f>
        <v>http://dx.doi.org/10.1016/j.ress.2021.107865</v>
      </c>
      <c r="BG719" t="s">
        <v>74</v>
      </c>
      <c r="BH719" t="s">
        <v>1771</v>
      </c>
      <c r="BI719">
        <v>11</v>
      </c>
      <c r="BJ719" t="s">
        <v>148</v>
      </c>
      <c r="BK719" t="s">
        <v>149</v>
      </c>
      <c r="BL719" t="s">
        <v>150</v>
      </c>
      <c r="BM719" t="s">
        <v>2260</v>
      </c>
      <c r="BN719" t="s">
        <v>74</v>
      </c>
      <c r="BO719" t="s">
        <v>74</v>
      </c>
      <c r="BP719" t="s">
        <v>74</v>
      </c>
      <c r="BQ719" t="s">
        <v>74</v>
      </c>
      <c r="BR719" t="s">
        <v>104</v>
      </c>
      <c r="BS719" t="s">
        <v>11770</v>
      </c>
      <c r="BT719" t="str">
        <f>HYPERLINK("https%3A%2F%2Fwww.webofscience.com%2Fwos%2Fwoscc%2Ffull-record%2FWOS:000690283800052","View Full Record in Web of Science")</f>
        <v>View Full Record in Web of Science</v>
      </c>
    </row>
    <row r="720" spans="1:72" x14ac:dyDescent="0.25">
      <c r="A720" t="s">
        <v>72</v>
      </c>
      <c r="B720" t="s">
        <v>11771</v>
      </c>
      <c r="C720" t="s">
        <v>74</v>
      </c>
      <c r="D720" t="s">
        <v>74</v>
      </c>
      <c r="E720" t="s">
        <v>74</v>
      </c>
      <c r="F720" t="s">
        <v>11772</v>
      </c>
      <c r="G720" t="s">
        <v>74</v>
      </c>
      <c r="H720" t="s">
        <v>74</v>
      </c>
      <c r="I720" t="s">
        <v>11773</v>
      </c>
      <c r="J720" t="s">
        <v>128</v>
      </c>
      <c r="K720" t="s">
        <v>74</v>
      </c>
      <c r="L720" t="s">
        <v>74</v>
      </c>
      <c r="M720" t="s">
        <v>78</v>
      </c>
      <c r="N720" t="s">
        <v>79</v>
      </c>
      <c r="O720" t="s">
        <v>74</v>
      </c>
      <c r="P720" t="s">
        <v>74</v>
      </c>
      <c r="Q720" t="s">
        <v>74</v>
      </c>
      <c r="R720" t="s">
        <v>74</v>
      </c>
      <c r="S720" t="s">
        <v>74</v>
      </c>
      <c r="T720" t="s">
        <v>11774</v>
      </c>
      <c r="U720" t="s">
        <v>11775</v>
      </c>
      <c r="V720" t="s">
        <v>11776</v>
      </c>
      <c r="W720" t="s">
        <v>11777</v>
      </c>
      <c r="X720" t="s">
        <v>11778</v>
      </c>
      <c r="Y720" t="s">
        <v>11779</v>
      </c>
      <c r="Z720" t="s">
        <v>3440</v>
      </c>
      <c r="AA720" t="s">
        <v>74</v>
      </c>
      <c r="AB720" t="s">
        <v>74</v>
      </c>
      <c r="AC720" t="s">
        <v>74</v>
      </c>
      <c r="AD720" t="s">
        <v>74</v>
      </c>
      <c r="AE720" t="s">
        <v>74</v>
      </c>
      <c r="AF720" t="s">
        <v>74</v>
      </c>
      <c r="AG720">
        <v>40</v>
      </c>
      <c r="AH720">
        <v>7</v>
      </c>
      <c r="AI720">
        <v>7</v>
      </c>
      <c r="AJ720">
        <v>3</v>
      </c>
      <c r="AK720">
        <v>32</v>
      </c>
      <c r="AL720" t="s">
        <v>138</v>
      </c>
      <c r="AM720" t="s">
        <v>246</v>
      </c>
      <c r="AN720" t="s">
        <v>247</v>
      </c>
      <c r="AO720" t="s">
        <v>141</v>
      </c>
      <c r="AP720" t="s">
        <v>142</v>
      </c>
      <c r="AQ720" t="s">
        <v>74</v>
      </c>
      <c r="AR720" t="s">
        <v>143</v>
      </c>
      <c r="AS720" t="s">
        <v>144</v>
      </c>
      <c r="AT720" t="s">
        <v>145</v>
      </c>
      <c r="AU720">
        <v>2021</v>
      </c>
      <c r="AV720">
        <v>216</v>
      </c>
      <c r="AW720" t="s">
        <v>74</v>
      </c>
      <c r="AX720" t="s">
        <v>74</v>
      </c>
      <c r="AY720" t="s">
        <v>74</v>
      </c>
      <c r="AZ720" t="s">
        <v>74</v>
      </c>
      <c r="BA720" t="s">
        <v>74</v>
      </c>
      <c r="BB720" t="s">
        <v>74</v>
      </c>
      <c r="BC720" t="s">
        <v>74</v>
      </c>
      <c r="BD720">
        <v>108015</v>
      </c>
      <c r="BE720" t="s">
        <v>11780</v>
      </c>
      <c r="BF720" t="str">
        <f>HYPERLINK("http://dx.doi.org/10.1016/j.ress.2021.108015","http://dx.doi.org/10.1016/j.ress.2021.108015")</f>
        <v>http://dx.doi.org/10.1016/j.ress.2021.108015</v>
      </c>
      <c r="BG720" t="s">
        <v>74</v>
      </c>
      <c r="BH720" t="s">
        <v>2089</v>
      </c>
      <c r="BI720">
        <v>11</v>
      </c>
      <c r="BJ720" t="s">
        <v>148</v>
      </c>
      <c r="BK720" t="s">
        <v>149</v>
      </c>
      <c r="BL720" t="s">
        <v>150</v>
      </c>
      <c r="BM720" t="s">
        <v>2090</v>
      </c>
      <c r="BN720" t="s">
        <v>74</v>
      </c>
      <c r="BO720" t="s">
        <v>74</v>
      </c>
      <c r="BP720" t="s">
        <v>74</v>
      </c>
      <c r="BQ720" t="s">
        <v>74</v>
      </c>
      <c r="BR720" t="s">
        <v>104</v>
      </c>
      <c r="BS720" t="s">
        <v>11781</v>
      </c>
      <c r="BT720" t="str">
        <f>HYPERLINK("https%3A%2F%2Fwww.webofscience.com%2Fwos%2Fwoscc%2Ffull-record%2FWOS:000702351700081","View Full Record in Web of Science")</f>
        <v>View Full Record in Web of Science</v>
      </c>
    </row>
    <row r="721" spans="1:72" x14ac:dyDescent="0.25">
      <c r="A721" t="s">
        <v>72</v>
      </c>
      <c r="B721" t="s">
        <v>11782</v>
      </c>
      <c r="C721" t="s">
        <v>74</v>
      </c>
      <c r="D721" t="s">
        <v>74</v>
      </c>
      <c r="E721" t="s">
        <v>74</v>
      </c>
      <c r="F721" t="s">
        <v>11783</v>
      </c>
      <c r="G721" t="s">
        <v>74</v>
      </c>
      <c r="H721" t="s">
        <v>74</v>
      </c>
      <c r="I721" t="s">
        <v>11784</v>
      </c>
      <c r="J721" t="s">
        <v>128</v>
      </c>
      <c r="K721" t="s">
        <v>74</v>
      </c>
      <c r="L721" t="s">
        <v>74</v>
      </c>
      <c r="M721" t="s">
        <v>78</v>
      </c>
      <c r="N721" t="s">
        <v>79</v>
      </c>
      <c r="O721" t="s">
        <v>74</v>
      </c>
      <c r="P721" t="s">
        <v>74</v>
      </c>
      <c r="Q721" t="s">
        <v>74</v>
      </c>
      <c r="R721" t="s">
        <v>74</v>
      </c>
      <c r="S721" t="s">
        <v>74</v>
      </c>
      <c r="T721" t="s">
        <v>11785</v>
      </c>
      <c r="U721" t="s">
        <v>11786</v>
      </c>
      <c r="V721" t="s">
        <v>11787</v>
      </c>
      <c r="W721" t="s">
        <v>11788</v>
      </c>
      <c r="X721" t="s">
        <v>11789</v>
      </c>
      <c r="Y721" t="s">
        <v>10087</v>
      </c>
      <c r="Z721" t="s">
        <v>806</v>
      </c>
      <c r="AA721" t="s">
        <v>74</v>
      </c>
      <c r="AB721" t="s">
        <v>1483</v>
      </c>
      <c r="AC721" t="s">
        <v>11790</v>
      </c>
      <c r="AD721" t="s">
        <v>11791</v>
      </c>
      <c r="AE721" t="s">
        <v>11792</v>
      </c>
      <c r="AF721" t="s">
        <v>74</v>
      </c>
      <c r="AG721">
        <v>26</v>
      </c>
      <c r="AH721">
        <v>21</v>
      </c>
      <c r="AI721">
        <v>23</v>
      </c>
      <c r="AJ721">
        <v>7</v>
      </c>
      <c r="AK721">
        <v>73</v>
      </c>
      <c r="AL721" t="s">
        <v>138</v>
      </c>
      <c r="AM721" t="s">
        <v>246</v>
      </c>
      <c r="AN721" t="s">
        <v>247</v>
      </c>
      <c r="AO721" t="s">
        <v>141</v>
      </c>
      <c r="AP721" t="s">
        <v>142</v>
      </c>
      <c r="AQ721" t="s">
        <v>74</v>
      </c>
      <c r="AR721" t="s">
        <v>143</v>
      </c>
      <c r="AS721" t="s">
        <v>144</v>
      </c>
      <c r="AT721" t="s">
        <v>1076</v>
      </c>
      <c r="AU721">
        <v>2020</v>
      </c>
      <c r="AV721">
        <v>202</v>
      </c>
      <c r="AW721" t="s">
        <v>74</v>
      </c>
      <c r="AX721" t="s">
        <v>74</v>
      </c>
      <c r="AY721" t="s">
        <v>74</v>
      </c>
      <c r="AZ721" t="s">
        <v>74</v>
      </c>
      <c r="BA721" t="s">
        <v>74</v>
      </c>
      <c r="BB721" t="s">
        <v>74</v>
      </c>
      <c r="BC721" t="s">
        <v>74</v>
      </c>
      <c r="BD721">
        <v>106963</v>
      </c>
      <c r="BE721" t="s">
        <v>11793</v>
      </c>
      <c r="BF721" t="str">
        <f>HYPERLINK("http://dx.doi.org/10.1016/j.ress.2020.106963","http://dx.doi.org/10.1016/j.ress.2020.106963")</f>
        <v>http://dx.doi.org/10.1016/j.ress.2020.106963</v>
      </c>
      <c r="BG721" t="s">
        <v>74</v>
      </c>
      <c r="BH721" t="s">
        <v>74</v>
      </c>
      <c r="BI721">
        <v>17</v>
      </c>
      <c r="BJ721" t="s">
        <v>148</v>
      </c>
      <c r="BK721" t="s">
        <v>149</v>
      </c>
      <c r="BL721" t="s">
        <v>150</v>
      </c>
      <c r="BM721" t="s">
        <v>1633</v>
      </c>
      <c r="BN721" t="s">
        <v>74</v>
      </c>
      <c r="BO721" t="s">
        <v>74</v>
      </c>
      <c r="BP721" t="s">
        <v>74</v>
      </c>
      <c r="BQ721" t="s">
        <v>74</v>
      </c>
      <c r="BR721" t="s">
        <v>104</v>
      </c>
      <c r="BS721" t="s">
        <v>11794</v>
      </c>
      <c r="BT721" t="str">
        <f>HYPERLINK("https%3A%2F%2Fwww.webofscience.com%2Fwos%2Fwoscc%2Ffull-record%2FWOS:000564277900001","View Full Record in Web of Science")</f>
        <v>View Full Record in Web of Science</v>
      </c>
    </row>
    <row r="722" spans="1:72" x14ac:dyDescent="0.25">
      <c r="A722" t="s">
        <v>72</v>
      </c>
      <c r="B722" t="s">
        <v>11795</v>
      </c>
      <c r="C722" t="s">
        <v>74</v>
      </c>
      <c r="D722" t="s">
        <v>74</v>
      </c>
      <c r="E722" t="s">
        <v>74</v>
      </c>
      <c r="F722" t="s">
        <v>11796</v>
      </c>
      <c r="G722" t="s">
        <v>74</v>
      </c>
      <c r="H722" t="s">
        <v>74</v>
      </c>
      <c r="I722" t="s">
        <v>11797</v>
      </c>
      <c r="J722" t="s">
        <v>128</v>
      </c>
      <c r="K722" t="s">
        <v>74</v>
      </c>
      <c r="L722" t="s">
        <v>74</v>
      </c>
      <c r="M722" t="s">
        <v>78</v>
      </c>
      <c r="N722" t="s">
        <v>79</v>
      </c>
      <c r="O722" t="s">
        <v>74</v>
      </c>
      <c r="P722" t="s">
        <v>74</v>
      </c>
      <c r="Q722" t="s">
        <v>74</v>
      </c>
      <c r="R722" t="s">
        <v>74</v>
      </c>
      <c r="S722" t="s">
        <v>74</v>
      </c>
      <c r="T722" t="s">
        <v>11798</v>
      </c>
      <c r="U722" t="s">
        <v>11799</v>
      </c>
      <c r="V722" t="s">
        <v>11800</v>
      </c>
      <c r="W722" t="s">
        <v>11801</v>
      </c>
      <c r="X722" t="s">
        <v>11802</v>
      </c>
      <c r="Y722" t="s">
        <v>11803</v>
      </c>
      <c r="Z722" t="s">
        <v>11804</v>
      </c>
      <c r="AA722" t="s">
        <v>11805</v>
      </c>
      <c r="AB722" t="s">
        <v>706</v>
      </c>
      <c r="AC722" t="s">
        <v>11806</v>
      </c>
      <c r="AD722" t="s">
        <v>3878</v>
      </c>
      <c r="AE722" t="s">
        <v>11807</v>
      </c>
      <c r="AF722" t="s">
        <v>74</v>
      </c>
      <c r="AG722">
        <v>39</v>
      </c>
      <c r="AH722">
        <v>27</v>
      </c>
      <c r="AI722">
        <v>27</v>
      </c>
      <c r="AJ722">
        <v>5</v>
      </c>
      <c r="AK722">
        <v>39</v>
      </c>
      <c r="AL722" t="s">
        <v>138</v>
      </c>
      <c r="AM722" t="s">
        <v>246</v>
      </c>
      <c r="AN722" t="s">
        <v>247</v>
      </c>
      <c r="AO722" t="s">
        <v>141</v>
      </c>
      <c r="AP722" t="s">
        <v>142</v>
      </c>
      <c r="AQ722" t="s">
        <v>74</v>
      </c>
      <c r="AR722" t="s">
        <v>143</v>
      </c>
      <c r="AS722" t="s">
        <v>144</v>
      </c>
      <c r="AT722" t="s">
        <v>1008</v>
      </c>
      <c r="AU722">
        <v>2020</v>
      </c>
      <c r="AV722">
        <v>193</v>
      </c>
      <c r="AW722" t="s">
        <v>74</v>
      </c>
      <c r="AX722" t="s">
        <v>74</v>
      </c>
      <c r="AY722" t="s">
        <v>74</v>
      </c>
      <c r="AZ722" t="s">
        <v>74</v>
      </c>
      <c r="BA722" t="s">
        <v>74</v>
      </c>
      <c r="BB722" t="s">
        <v>74</v>
      </c>
      <c r="BC722" t="s">
        <v>74</v>
      </c>
      <c r="BD722">
        <v>106613</v>
      </c>
      <c r="BE722" t="s">
        <v>11808</v>
      </c>
      <c r="BF722" t="str">
        <f>HYPERLINK("http://dx.doi.org/10.1016/j.ress.2019.106613","http://dx.doi.org/10.1016/j.ress.2019.106613")</f>
        <v>http://dx.doi.org/10.1016/j.ress.2019.106613</v>
      </c>
      <c r="BG722" t="s">
        <v>74</v>
      </c>
      <c r="BH722" t="s">
        <v>74</v>
      </c>
      <c r="BI722">
        <v>10</v>
      </c>
      <c r="BJ722" t="s">
        <v>148</v>
      </c>
      <c r="BK722" t="s">
        <v>322</v>
      </c>
      <c r="BL722" t="s">
        <v>150</v>
      </c>
      <c r="BM722" t="s">
        <v>3881</v>
      </c>
      <c r="BN722" t="s">
        <v>74</v>
      </c>
      <c r="BO722" t="s">
        <v>400</v>
      </c>
      <c r="BP722" t="s">
        <v>74</v>
      </c>
      <c r="BQ722" t="s">
        <v>74</v>
      </c>
      <c r="BR722" t="s">
        <v>104</v>
      </c>
      <c r="BS722" t="s">
        <v>11809</v>
      </c>
      <c r="BT722" t="str">
        <f>HYPERLINK("https%3A%2F%2Fwww.webofscience.com%2Fwos%2Fwoscc%2Ffull-record%2FWOS:000501641400019","View Full Record in Web of Science")</f>
        <v>View Full Record in Web of Science</v>
      </c>
    </row>
    <row r="723" spans="1:72" x14ac:dyDescent="0.25">
      <c r="A723" t="s">
        <v>72</v>
      </c>
      <c r="B723" t="s">
        <v>11810</v>
      </c>
      <c r="C723" t="s">
        <v>74</v>
      </c>
      <c r="D723" t="s">
        <v>74</v>
      </c>
      <c r="E723" t="s">
        <v>74</v>
      </c>
      <c r="F723" t="s">
        <v>11811</v>
      </c>
      <c r="G723" t="s">
        <v>74</v>
      </c>
      <c r="H723" t="s">
        <v>74</v>
      </c>
      <c r="I723" t="s">
        <v>11812</v>
      </c>
      <c r="J723" t="s">
        <v>128</v>
      </c>
      <c r="K723" t="s">
        <v>74</v>
      </c>
      <c r="L723" t="s">
        <v>74</v>
      </c>
      <c r="M723" t="s">
        <v>78</v>
      </c>
      <c r="N723" t="s">
        <v>79</v>
      </c>
      <c r="O723" t="s">
        <v>74</v>
      </c>
      <c r="P723" t="s">
        <v>74</v>
      </c>
      <c r="Q723" t="s">
        <v>74</v>
      </c>
      <c r="R723" t="s">
        <v>74</v>
      </c>
      <c r="S723" t="s">
        <v>74</v>
      </c>
      <c r="T723" t="s">
        <v>11813</v>
      </c>
      <c r="U723" t="s">
        <v>11814</v>
      </c>
      <c r="V723" t="s">
        <v>11815</v>
      </c>
      <c r="W723" t="s">
        <v>11816</v>
      </c>
      <c r="X723" t="s">
        <v>11817</v>
      </c>
      <c r="Y723" t="s">
        <v>11818</v>
      </c>
      <c r="Z723" t="s">
        <v>11819</v>
      </c>
      <c r="AA723" t="s">
        <v>11820</v>
      </c>
      <c r="AB723" t="s">
        <v>11821</v>
      </c>
      <c r="AC723" t="s">
        <v>11822</v>
      </c>
      <c r="AD723" t="s">
        <v>11823</v>
      </c>
      <c r="AE723" t="s">
        <v>11824</v>
      </c>
      <c r="AF723" t="s">
        <v>74</v>
      </c>
      <c r="AG723">
        <v>46</v>
      </c>
      <c r="AH723">
        <v>16</v>
      </c>
      <c r="AI723">
        <v>16</v>
      </c>
      <c r="AJ723">
        <v>17</v>
      </c>
      <c r="AK723">
        <v>53</v>
      </c>
      <c r="AL723" t="s">
        <v>138</v>
      </c>
      <c r="AM723" t="s">
        <v>139</v>
      </c>
      <c r="AN723" t="s">
        <v>140</v>
      </c>
      <c r="AO723" t="s">
        <v>141</v>
      </c>
      <c r="AP723" t="s">
        <v>142</v>
      </c>
      <c r="AQ723" t="s">
        <v>74</v>
      </c>
      <c r="AR723" t="s">
        <v>143</v>
      </c>
      <c r="AS723" t="s">
        <v>144</v>
      </c>
      <c r="AT723" t="s">
        <v>1008</v>
      </c>
      <c r="AU723">
        <v>2024</v>
      </c>
      <c r="AV723">
        <v>241</v>
      </c>
      <c r="AW723" t="s">
        <v>74</v>
      </c>
      <c r="AX723" t="s">
        <v>74</v>
      </c>
      <c r="AY723" t="s">
        <v>74</v>
      </c>
      <c r="AZ723" t="s">
        <v>74</v>
      </c>
      <c r="BA723" t="s">
        <v>74</v>
      </c>
      <c r="BB723" t="s">
        <v>74</v>
      </c>
      <c r="BC723" t="s">
        <v>74</v>
      </c>
      <c r="BD723">
        <v>109671</v>
      </c>
      <c r="BE723" t="s">
        <v>11825</v>
      </c>
      <c r="BF723" t="str">
        <f>HYPERLINK("http://dx.doi.org/10.1016/j.ress.2023.109671","http://dx.doi.org/10.1016/j.ress.2023.109671")</f>
        <v>http://dx.doi.org/10.1016/j.ress.2023.109671</v>
      </c>
      <c r="BG723" t="s">
        <v>74</v>
      </c>
      <c r="BH723" t="s">
        <v>147</v>
      </c>
      <c r="BI723">
        <v>12</v>
      </c>
      <c r="BJ723" t="s">
        <v>148</v>
      </c>
      <c r="BK723" t="s">
        <v>149</v>
      </c>
      <c r="BL723" t="s">
        <v>150</v>
      </c>
      <c r="BM723" t="s">
        <v>11826</v>
      </c>
      <c r="BN723" t="s">
        <v>74</v>
      </c>
      <c r="BO723" t="s">
        <v>74</v>
      </c>
      <c r="BP723" t="s">
        <v>74</v>
      </c>
      <c r="BQ723" t="s">
        <v>74</v>
      </c>
      <c r="BR723" t="s">
        <v>104</v>
      </c>
      <c r="BS723" t="s">
        <v>11827</v>
      </c>
      <c r="BT723" t="str">
        <f>HYPERLINK("https%3A%2F%2Fwww.webofscience.com%2Fwos%2Fwoscc%2Ffull-record%2FWOS:001097218100001","View Full Record in Web of Science")</f>
        <v>View Full Record in Web of Science</v>
      </c>
    </row>
    <row r="724" spans="1:72" x14ac:dyDescent="0.25">
      <c r="A724" t="s">
        <v>72</v>
      </c>
      <c r="B724" t="s">
        <v>11828</v>
      </c>
      <c r="C724" t="s">
        <v>74</v>
      </c>
      <c r="D724" t="s">
        <v>74</v>
      </c>
      <c r="E724" t="s">
        <v>74</v>
      </c>
      <c r="F724" t="s">
        <v>11829</v>
      </c>
      <c r="G724" t="s">
        <v>74</v>
      </c>
      <c r="H724" t="s">
        <v>74</v>
      </c>
      <c r="I724" t="s">
        <v>11830</v>
      </c>
      <c r="J724" t="s">
        <v>6076</v>
      </c>
      <c r="K724" t="s">
        <v>74</v>
      </c>
      <c r="L724" t="s">
        <v>74</v>
      </c>
      <c r="M724" t="s">
        <v>78</v>
      </c>
      <c r="N724" t="s">
        <v>79</v>
      </c>
      <c r="O724" t="s">
        <v>74</v>
      </c>
      <c r="P724" t="s">
        <v>74</v>
      </c>
      <c r="Q724" t="s">
        <v>74</v>
      </c>
      <c r="R724" t="s">
        <v>74</v>
      </c>
      <c r="S724" t="s">
        <v>74</v>
      </c>
      <c r="T724" t="s">
        <v>11831</v>
      </c>
      <c r="U724" t="s">
        <v>11832</v>
      </c>
      <c r="V724" t="s">
        <v>11833</v>
      </c>
      <c r="W724" t="s">
        <v>11834</v>
      </c>
      <c r="X724" t="s">
        <v>11835</v>
      </c>
      <c r="Y724" t="s">
        <v>11836</v>
      </c>
      <c r="Z724" t="s">
        <v>11837</v>
      </c>
      <c r="AA724" t="s">
        <v>11838</v>
      </c>
      <c r="AB724" t="s">
        <v>11839</v>
      </c>
      <c r="AC724" t="s">
        <v>11840</v>
      </c>
      <c r="AD724" t="s">
        <v>11841</v>
      </c>
      <c r="AE724" t="s">
        <v>11842</v>
      </c>
      <c r="AF724" t="s">
        <v>74</v>
      </c>
      <c r="AG724">
        <v>41</v>
      </c>
      <c r="AH724">
        <v>10</v>
      </c>
      <c r="AI724">
        <v>11</v>
      </c>
      <c r="AJ724">
        <v>5</v>
      </c>
      <c r="AK724">
        <v>25</v>
      </c>
      <c r="AL724" t="s">
        <v>6088</v>
      </c>
      <c r="AM724" t="s">
        <v>510</v>
      </c>
      <c r="AN724" t="s">
        <v>6089</v>
      </c>
      <c r="AO724" t="s">
        <v>6090</v>
      </c>
      <c r="AP724" t="s">
        <v>6091</v>
      </c>
      <c r="AQ724" t="s">
        <v>74</v>
      </c>
      <c r="AR724" t="s">
        <v>6092</v>
      </c>
      <c r="AS724" t="s">
        <v>6093</v>
      </c>
      <c r="AT724" t="s">
        <v>74</v>
      </c>
      <c r="AU724">
        <v>2020</v>
      </c>
      <c r="AV724">
        <v>39</v>
      </c>
      <c r="AW724">
        <v>3</v>
      </c>
      <c r="AX724" t="s">
        <v>74</v>
      </c>
      <c r="AY724" t="s">
        <v>74</v>
      </c>
      <c r="AZ724" t="s">
        <v>74</v>
      </c>
      <c r="BA724" t="s">
        <v>74</v>
      </c>
      <c r="BB724">
        <v>4331</v>
      </c>
      <c r="BC724">
        <v>4339</v>
      </c>
      <c r="BD724" t="s">
        <v>74</v>
      </c>
      <c r="BE724" t="s">
        <v>11843</v>
      </c>
      <c r="BF724" t="str">
        <f>HYPERLINK("http://dx.doi.org/10.3233/JIFS-200343","http://dx.doi.org/10.3233/JIFS-200343")</f>
        <v>http://dx.doi.org/10.3233/JIFS-200343</v>
      </c>
      <c r="BG724" t="s">
        <v>74</v>
      </c>
      <c r="BH724" t="s">
        <v>74</v>
      </c>
      <c r="BI724">
        <v>9</v>
      </c>
      <c r="BJ724" t="s">
        <v>1267</v>
      </c>
      <c r="BK724" t="s">
        <v>149</v>
      </c>
      <c r="BL724" t="s">
        <v>1228</v>
      </c>
      <c r="BM724" t="s">
        <v>11844</v>
      </c>
      <c r="BN724" t="s">
        <v>74</v>
      </c>
      <c r="BO724" t="s">
        <v>74</v>
      </c>
      <c r="BP724" t="s">
        <v>74</v>
      </c>
      <c r="BQ724" t="s">
        <v>74</v>
      </c>
      <c r="BR724" t="s">
        <v>104</v>
      </c>
      <c r="BS724" t="s">
        <v>11845</v>
      </c>
      <c r="BT724" t="str">
        <f>HYPERLINK("https%3A%2F%2Fwww.webofscience.com%2Fwos%2Fwoscc%2Ffull-record%2FWOS:000582721200085","View Full Record in Web of Science")</f>
        <v>View Full Record in Web of Science</v>
      </c>
    </row>
    <row r="725" spans="1:72" x14ac:dyDescent="0.25">
      <c r="A725" t="s">
        <v>72</v>
      </c>
      <c r="B725" t="s">
        <v>11846</v>
      </c>
      <c r="C725" t="s">
        <v>74</v>
      </c>
      <c r="D725" t="s">
        <v>74</v>
      </c>
      <c r="E725" t="s">
        <v>74</v>
      </c>
      <c r="F725" t="s">
        <v>11847</v>
      </c>
      <c r="G725" t="s">
        <v>74</v>
      </c>
      <c r="H725" t="s">
        <v>74</v>
      </c>
      <c r="I725" t="s">
        <v>11848</v>
      </c>
      <c r="J725" t="s">
        <v>128</v>
      </c>
      <c r="K725" t="s">
        <v>74</v>
      </c>
      <c r="L725" t="s">
        <v>74</v>
      </c>
      <c r="M725" t="s">
        <v>78</v>
      </c>
      <c r="N725" t="s">
        <v>79</v>
      </c>
      <c r="O725" t="s">
        <v>74</v>
      </c>
      <c r="P725" t="s">
        <v>74</v>
      </c>
      <c r="Q725" t="s">
        <v>74</v>
      </c>
      <c r="R725" t="s">
        <v>74</v>
      </c>
      <c r="S725" t="s">
        <v>74</v>
      </c>
      <c r="T725" t="s">
        <v>11849</v>
      </c>
      <c r="U725" t="s">
        <v>11850</v>
      </c>
      <c r="V725" t="s">
        <v>11851</v>
      </c>
      <c r="W725" t="s">
        <v>11852</v>
      </c>
      <c r="X725" t="s">
        <v>8195</v>
      </c>
      <c r="Y725" t="s">
        <v>3423</v>
      </c>
      <c r="Z725" t="s">
        <v>3424</v>
      </c>
      <c r="AA725" t="s">
        <v>3857</v>
      </c>
      <c r="AB725" t="s">
        <v>3858</v>
      </c>
      <c r="AC725" t="s">
        <v>11853</v>
      </c>
      <c r="AD725" t="s">
        <v>482</v>
      </c>
      <c r="AE725" t="s">
        <v>11854</v>
      </c>
      <c r="AF725" t="s">
        <v>74</v>
      </c>
      <c r="AG725">
        <v>35</v>
      </c>
      <c r="AH725">
        <v>75</v>
      </c>
      <c r="AI725">
        <v>77</v>
      </c>
      <c r="AJ725">
        <v>7</v>
      </c>
      <c r="AK725">
        <v>60</v>
      </c>
      <c r="AL725" t="s">
        <v>138</v>
      </c>
      <c r="AM725" t="s">
        <v>246</v>
      </c>
      <c r="AN725" t="s">
        <v>247</v>
      </c>
      <c r="AO725" t="s">
        <v>141</v>
      </c>
      <c r="AP725" t="s">
        <v>142</v>
      </c>
      <c r="AQ725" t="s">
        <v>74</v>
      </c>
      <c r="AR725" t="s">
        <v>143</v>
      </c>
      <c r="AS725" t="s">
        <v>144</v>
      </c>
      <c r="AT725" t="s">
        <v>1008</v>
      </c>
      <c r="AU725">
        <v>2020</v>
      </c>
      <c r="AV725">
        <v>193</v>
      </c>
      <c r="AW725" t="s">
        <v>74</v>
      </c>
      <c r="AX725" t="s">
        <v>74</v>
      </c>
      <c r="AY725" t="s">
        <v>74</v>
      </c>
      <c r="AZ725" t="s">
        <v>74</v>
      </c>
      <c r="BA725" t="s">
        <v>74</v>
      </c>
      <c r="BB725" t="s">
        <v>74</v>
      </c>
      <c r="BC725" t="s">
        <v>74</v>
      </c>
      <c r="BD725">
        <v>106592</v>
      </c>
      <c r="BE725" t="s">
        <v>11855</v>
      </c>
      <c r="BF725" t="str">
        <f>HYPERLINK("http://dx.doi.org/10.1016/j.ress.2019.106592","http://dx.doi.org/10.1016/j.ress.2019.106592")</f>
        <v>http://dx.doi.org/10.1016/j.ress.2019.106592</v>
      </c>
      <c r="BG725" t="s">
        <v>74</v>
      </c>
      <c r="BH725" t="s">
        <v>74</v>
      </c>
      <c r="BI725">
        <v>13</v>
      </c>
      <c r="BJ725" t="s">
        <v>148</v>
      </c>
      <c r="BK725" t="s">
        <v>149</v>
      </c>
      <c r="BL725" t="s">
        <v>150</v>
      </c>
      <c r="BM725" t="s">
        <v>3881</v>
      </c>
      <c r="BN725" t="s">
        <v>74</v>
      </c>
      <c r="BO725" t="s">
        <v>74</v>
      </c>
      <c r="BP725" t="s">
        <v>74</v>
      </c>
      <c r="BQ725" t="s">
        <v>74</v>
      </c>
      <c r="BR725" t="s">
        <v>104</v>
      </c>
      <c r="BS725" t="s">
        <v>11856</v>
      </c>
      <c r="BT725" t="str">
        <f>HYPERLINK("https%3A%2F%2Fwww.webofscience.com%2Fwos%2Fwoscc%2Ffull-record%2FWOS:000501641400005","View Full Record in Web of Science")</f>
        <v>View Full Record in Web of Science</v>
      </c>
    </row>
    <row r="726" spans="1:72" x14ac:dyDescent="0.25">
      <c r="A726" t="s">
        <v>72</v>
      </c>
      <c r="B726" t="s">
        <v>11857</v>
      </c>
      <c r="C726" t="s">
        <v>74</v>
      </c>
      <c r="D726" t="s">
        <v>74</v>
      </c>
      <c r="E726" t="s">
        <v>74</v>
      </c>
      <c r="F726" t="s">
        <v>11858</v>
      </c>
      <c r="G726" t="s">
        <v>74</v>
      </c>
      <c r="H726" t="s">
        <v>74</v>
      </c>
      <c r="I726" t="s">
        <v>11859</v>
      </c>
      <c r="J726" t="s">
        <v>542</v>
      </c>
      <c r="K726" t="s">
        <v>74</v>
      </c>
      <c r="L726" t="s">
        <v>74</v>
      </c>
      <c r="M726" t="s">
        <v>78</v>
      </c>
      <c r="N726" t="s">
        <v>79</v>
      </c>
      <c r="O726" t="s">
        <v>74</v>
      </c>
      <c r="P726" t="s">
        <v>74</v>
      </c>
      <c r="Q726" t="s">
        <v>74</v>
      </c>
      <c r="R726" t="s">
        <v>74</v>
      </c>
      <c r="S726" t="s">
        <v>74</v>
      </c>
      <c r="T726" t="s">
        <v>11860</v>
      </c>
      <c r="U726" t="s">
        <v>11861</v>
      </c>
      <c r="V726" t="s">
        <v>11862</v>
      </c>
      <c r="W726" t="s">
        <v>11863</v>
      </c>
      <c r="X726" t="s">
        <v>11864</v>
      </c>
      <c r="Y726" t="s">
        <v>11865</v>
      </c>
      <c r="Z726" t="s">
        <v>3363</v>
      </c>
      <c r="AA726" t="s">
        <v>3960</v>
      </c>
      <c r="AB726" t="s">
        <v>1299</v>
      </c>
      <c r="AC726" t="s">
        <v>11866</v>
      </c>
      <c r="AD726" t="s">
        <v>11867</v>
      </c>
      <c r="AE726" t="s">
        <v>11868</v>
      </c>
      <c r="AF726" t="s">
        <v>74</v>
      </c>
      <c r="AG726">
        <v>46</v>
      </c>
      <c r="AH726">
        <v>2</v>
      </c>
      <c r="AI726">
        <v>2</v>
      </c>
      <c r="AJ726">
        <v>15</v>
      </c>
      <c r="AK726">
        <v>24</v>
      </c>
      <c r="AL726" t="s">
        <v>552</v>
      </c>
      <c r="AM726" t="s">
        <v>553</v>
      </c>
      <c r="AN726" t="s">
        <v>554</v>
      </c>
      <c r="AO726" t="s">
        <v>555</v>
      </c>
      <c r="AP726" t="s">
        <v>556</v>
      </c>
      <c r="AQ726" t="s">
        <v>74</v>
      </c>
      <c r="AR726" t="s">
        <v>557</v>
      </c>
      <c r="AS726" t="s">
        <v>558</v>
      </c>
      <c r="AT726" t="s">
        <v>533</v>
      </c>
      <c r="AU726">
        <v>2025</v>
      </c>
      <c r="AV726">
        <v>239</v>
      </c>
      <c r="AW726">
        <v>1</v>
      </c>
      <c r="AX726" t="s">
        <v>74</v>
      </c>
      <c r="AY726" t="s">
        <v>74</v>
      </c>
      <c r="AZ726" t="s">
        <v>74</v>
      </c>
      <c r="BA726" t="s">
        <v>74</v>
      </c>
      <c r="BB726">
        <v>107</v>
      </c>
      <c r="BC726">
        <v>121</v>
      </c>
      <c r="BD726" t="s">
        <v>74</v>
      </c>
      <c r="BE726" t="s">
        <v>11869</v>
      </c>
      <c r="BF726" t="str">
        <f>HYPERLINK("http://dx.doi.org/10.1177/1748006X231215830","http://dx.doi.org/10.1177/1748006X231215830")</f>
        <v>http://dx.doi.org/10.1177/1748006X231215830</v>
      </c>
      <c r="BG726" t="s">
        <v>74</v>
      </c>
      <c r="BH726" t="s">
        <v>449</v>
      </c>
      <c r="BI726">
        <v>15</v>
      </c>
      <c r="BJ726" t="s">
        <v>494</v>
      </c>
      <c r="BK726" t="s">
        <v>149</v>
      </c>
      <c r="BL726" t="s">
        <v>150</v>
      </c>
      <c r="BM726" t="s">
        <v>3895</v>
      </c>
      <c r="BN726" t="s">
        <v>74</v>
      </c>
      <c r="BO726" t="s">
        <v>74</v>
      </c>
      <c r="BP726" t="s">
        <v>74</v>
      </c>
      <c r="BQ726" t="s">
        <v>74</v>
      </c>
      <c r="BR726" t="s">
        <v>104</v>
      </c>
      <c r="BS726" t="s">
        <v>11870</v>
      </c>
      <c r="BT726" t="str">
        <f>HYPERLINK("https%3A%2F%2Fwww.webofscience.com%2Fwos%2Fwoscc%2Ffull-record%2FWOS:001118469300001","View Full Record in Web of Science")</f>
        <v>View Full Record in Web of Science</v>
      </c>
    </row>
    <row r="727" spans="1:72" x14ac:dyDescent="0.25">
      <c r="A727" t="s">
        <v>72</v>
      </c>
      <c r="B727" t="s">
        <v>5967</v>
      </c>
      <c r="C727" t="s">
        <v>74</v>
      </c>
      <c r="D727" t="s">
        <v>74</v>
      </c>
      <c r="E727" t="s">
        <v>74</v>
      </c>
      <c r="F727" t="s">
        <v>5968</v>
      </c>
      <c r="G727" t="s">
        <v>74</v>
      </c>
      <c r="H727" t="s">
        <v>74</v>
      </c>
      <c r="I727" t="s">
        <v>11871</v>
      </c>
      <c r="J727" t="s">
        <v>11872</v>
      </c>
      <c r="K727" t="s">
        <v>74</v>
      </c>
      <c r="L727" t="s">
        <v>74</v>
      </c>
      <c r="M727" t="s">
        <v>78</v>
      </c>
      <c r="N727" t="s">
        <v>79</v>
      </c>
      <c r="O727" t="s">
        <v>74</v>
      </c>
      <c r="P727" t="s">
        <v>74</v>
      </c>
      <c r="Q727" t="s">
        <v>74</v>
      </c>
      <c r="R727" t="s">
        <v>74</v>
      </c>
      <c r="S727" t="s">
        <v>74</v>
      </c>
      <c r="T727" t="s">
        <v>11873</v>
      </c>
      <c r="U727" t="s">
        <v>11874</v>
      </c>
      <c r="V727" t="s">
        <v>11875</v>
      </c>
      <c r="W727" t="s">
        <v>11876</v>
      </c>
      <c r="X727" t="s">
        <v>5973</v>
      </c>
      <c r="Y727" t="s">
        <v>5736</v>
      </c>
      <c r="Z727" t="s">
        <v>5737</v>
      </c>
      <c r="AA727" t="s">
        <v>5738</v>
      </c>
      <c r="AB727" t="s">
        <v>5974</v>
      </c>
      <c r="AC727" t="s">
        <v>5740</v>
      </c>
      <c r="AD727" t="s">
        <v>5741</v>
      </c>
      <c r="AE727" t="s">
        <v>11877</v>
      </c>
      <c r="AF727" t="s">
        <v>74</v>
      </c>
      <c r="AG727">
        <v>16</v>
      </c>
      <c r="AH727">
        <v>1</v>
      </c>
      <c r="AI727">
        <v>1</v>
      </c>
      <c r="AJ727">
        <v>1</v>
      </c>
      <c r="AK727">
        <v>2</v>
      </c>
      <c r="AL727" t="s">
        <v>8444</v>
      </c>
      <c r="AM727" t="s">
        <v>6513</v>
      </c>
      <c r="AN727" t="s">
        <v>8445</v>
      </c>
      <c r="AO727" t="s">
        <v>11878</v>
      </c>
      <c r="AP727" t="s">
        <v>11879</v>
      </c>
      <c r="AQ727" t="s">
        <v>74</v>
      </c>
      <c r="AR727" t="s">
        <v>11880</v>
      </c>
      <c r="AS727" t="s">
        <v>11881</v>
      </c>
      <c r="AT727" t="s">
        <v>1867</v>
      </c>
      <c r="AU727">
        <v>2024</v>
      </c>
      <c r="AV727">
        <v>38</v>
      </c>
      <c r="AW727">
        <v>2</v>
      </c>
      <c r="AX727" t="s">
        <v>74</v>
      </c>
      <c r="AY727" t="s">
        <v>74</v>
      </c>
      <c r="AZ727" t="s">
        <v>74</v>
      </c>
      <c r="BA727" t="s">
        <v>74</v>
      </c>
      <c r="BB727">
        <v>341</v>
      </c>
      <c r="BC727">
        <v>354</v>
      </c>
      <c r="BD727" t="s">
        <v>74</v>
      </c>
      <c r="BE727" t="s">
        <v>11882</v>
      </c>
      <c r="BF727" t="str">
        <f>HYPERLINK("http://dx.doi.org/10.1017/S0269964823000177","http://dx.doi.org/10.1017/S0269964823000177")</f>
        <v>http://dx.doi.org/10.1017/S0269964823000177</v>
      </c>
      <c r="BG727" t="s">
        <v>74</v>
      </c>
      <c r="BH727" t="s">
        <v>147</v>
      </c>
      <c r="BI727">
        <v>14</v>
      </c>
      <c r="BJ727" t="s">
        <v>1951</v>
      </c>
      <c r="BK727" t="s">
        <v>149</v>
      </c>
      <c r="BL727" t="s">
        <v>1952</v>
      </c>
      <c r="BM727" t="s">
        <v>11883</v>
      </c>
      <c r="BN727" t="s">
        <v>74</v>
      </c>
      <c r="BO727" t="s">
        <v>2337</v>
      </c>
      <c r="BP727" t="s">
        <v>74</v>
      </c>
      <c r="BQ727" t="s">
        <v>74</v>
      </c>
      <c r="BR727" t="s">
        <v>104</v>
      </c>
      <c r="BS727" t="s">
        <v>11884</v>
      </c>
      <c r="BT727" t="str">
        <f>HYPERLINK("https%3A%2F%2Fwww.webofscience.com%2Fwos%2Fwoscc%2Ffull-record%2FWOS:001091310900001","View Full Record in Web of Science")</f>
        <v>View Full Record in Web of Science</v>
      </c>
    </row>
    <row r="728" spans="1:72" x14ac:dyDescent="0.25">
      <c r="A728" t="s">
        <v>72</v>
      </c>
      <c r="B728" t="s">
        <v>11885</v>
      </c>
      <c r="C728" t="s">
        <v>74</v>
      </c>
      <c r="D728" t="s">
        <v>74</v>
      </c>
      <c r="E728" t="s">
        <v>74</v>
      </c>
      <c r="F728" t="s">
        <v>11886</v>
      </c>
      <c r="G728" t="s">
        <v>74</v>
      </c>
      <c r="H728" t="s">
        <v>74</v>
      </c>
      <c r="I728" t="s">
        <v>11887</v>
      </c>
      <c r="J728" t="s">
        <v>128</v>
      </c>
      <c r="K728" t="s">
        <v>74</v>
      </c>
      <c r="L728" t="s">
        <v>74</v>
      </c>
      <c r="M728" t="s">
        <v>78</v>
      </c>
      <c r="N728" t="s">
        <v>79</v>
      </c>
      <c r="O728" t="s">
        <v>74</v>
      </c>
      <c r="P728" t="s">
        <v>74</v>
      </c>
      <c r="Q728" t="s">
        <v>74</v>
      </c>
      <c r="R728" t="s">
        <v>74</v>
      </c>
      <c r="S728" t="s">
        <v>74</v>
      </c>
      <c r="T728" t="s">
        <v>11888</v>
      </c>
      <c r="U728" t="s">
        <v>11889</v>
      </c>
      <c r="V728" t="s">
        <v>11890</v>
      </c>
      <c r="W728" t="s">
        <v>11891</v>
      </c>
      <c r="X728" t="s">
        <v>11892</v>
      </c>
      <c r="Y728" t="s">
        <v>11893</v>
      </c>
      <c r="Z728" t="s">
        <v>11894</v>
      </c>
      <c r="AA728" t="s">
        <v>11895</v>
      </c>
      <c r="AB728" t="s">
        <v>74</v>
      </c>
      <c r="AC728" t="s">
        <v>11896</v>
      </c>
      <c r="AD728" t="s">
        <v>11897</v>
      </c>
      <c r="AE728" t="s">
        <v>11898</v>
      </c>
      <c r="AF728" t="s">
        <v>74</v>
      </c>
      <c r="AG728">
        <v>57</v>
      </c>
      <c r="AH728">
        <v>7</v>
      </c>
      <c r="AI728">
        <v>7</v>
      </c>
      <c r="AJ728">
        <v>12</v>
      </c>
      <c r="AK728">
        <v>29</v>
      </c>
      <c r="AL728" t="s">
        <v>138</v>
      </c>
      <c r="AM728" t="s">
        <v>139</v>
      </c>
      <c r="AN728" t="s">
        <v>140</v>
      </c>
      <c r="AO728" t="s">
        <v>141</v>
      </c>
      <c r="AP728" t="s">
        <v>142</v>
      </c>
      <c r="AQ728" t="s">
        <v>74</v>
      </c>
      <c r="AR728" t="s">
        <v>143</v>
      </c>
      <c r="AS728" t="s">
        <v>144</v>
      </c>
      <c r="AT728" t="s">
        <v>145</v>
      </c>
      <c r="AU728">
        <v>2023</v>
      </c>
      <c r="AV728">
        <v>240</v>
      </c>
      <c r="AW728" t="s">
        <v>74</v>
      </c>
      <c r="AX728" t="s">
        <v>74</v>
      </c>
      <c r="AY728" t="s">
        <v>74</v>
      </c>
      <c r="AZ728" t="s">
        <v>74</v>
      </c>
      <c r="BA728" t="s">
        <v>74</v>
      </c>
      <c r="BB728" t="s">
        <v>74</v>
      </c>
      <c r="BC728" t="s">
        <v>74</v>
      </c>
      <c r="BD728">
        <v>109598</v>
      </c>
      <c r="BE728" t="s">
        <v>11899</v>
      </c>
      <c r="BF728" t="str">
        <f>HYPERLINK("http://dx.doi.org/10.1016/j.ress.2023.109598","http://dx.doi.org/10.1016/j.ress.2023.109598")</f>
        <v>http://dx.doi.org/10.1016/j.ress.2023.109598</v>
      </c>
      <c r="BG728" t="s">
        <v>74</v>
      </c>
      <c r="BH728" t="s">
        <v>147</v>
      </c>
      <c r="BI728">
        <v>13</v>
      </c>
      <c r="BJ728" t="s">
        <v>148</v>
      </c>
      <c r="BK728" t="s">
        <v>149</v>
      </c>
      <c r="BL728" t="s">
        <v>150</v>
      </c>
      <c r="BM728" t="s">
        <v>11900</v>
      </c>
      <c r="BN728" t="s">
        <v>74</v>
      </c>
      <c r="BO728" t="s">
        <v>74</v>
      </c>
      <c r="BP728" t="s">
        <v>74</v>
      </c>
      <c r="BQ728" t="s">
        <v>74</v>
      </c>
      <c r="BR728" t="s">
        <v>104</v>
      </c>
      <c r="BS728" t="s">
        <v>11901</v>
      </c>
      <c r="BT728" t="str">
        <f>HYPERLINK("https%3A%2F%2Fwww.webofscience.com%2Fwos%2Fwoscc%2Ffull-record%2FWOS:001091359900001","View Full Record in Web of Science")</f>
        <v>View Full Record in Web of Science</v>
      </c>
    </row>
    <row r="729" spans="1:72" x14ac:dyDescent="0.25">
      <c r="A729" t="s">
        <v>72</v>
      </c>
      <c r="B729" t="s">
        <v>11902</v>
      </c>
      <c r="C729" t="s">
        <v>74</v>
      </c>
      <c r="D729" t="s">
        <v>74</v>
      </c>
      <c r="E729" t="s">
        <v>74</v>
      </c>
      <c r="F729" t="s">
        <v>11903</v>
      </c>
      <c r="G729" t="s">
        <v>74</v>
      </c>
      <c r="H729" t="s">
        <v>74</v>
      </c>
      <c r="I729" t="s">
        <v>11904</v>
      </c>
      <c r="J729" t="s">
        <v>128</v>
      </c>
      <c r="K729" t="s">
        <v>74</v>
      </c>
      <c r="L729" t="s">
        <v>74</v>
      </c>
      <c r="M729" t="s">
        <v>78</v>
      </c>
      <c r="N729" t="s">
        <v>79</v>
      </c>
      <c r="O729" t="s">
        <v>74</v>
      </c>
      <c r="P729" t="s">
        <v>74</v>
      </c>
      <c r="Q729" t="s">
        <v>74</v>
      </c>
      <c r="R729" t="s">
        <v>74</v>
      </c>
      <c r="S729" t="s">
        <v>74</v>
      </c>
      <c r="T729" t="s">
        <v>11905</v>
      </c>
      <c r="U729" t="s">
        <v>11906</v>
      </c>
      <c r="V729" t="s">
        <v>11907</v>
      </c>
      <c r="W729" t="s">
        <v>11908</v>
      </c>
      <c r="X729" t="s">
        <v>3233</v>
      </c>
      <c r="Y729" t="s">
        <v>11909</v>
      </c>
      <c r="Z729" t="s">
        <v>11910</v>
      </c>
      <c r="AA729" t="s">
        <v>8326</v>
      </c>
      <c r="AB729" t="s">
        <v>11911</v>
      </c>
      <c r="AC729" t="s">
        <v>11912</v>
      </c>
      <c r="AD729" t="s">
        <v>11913</v>
      </c>
      <c r="AE729" t="s">
        <v>11914</v>
      </c>
      <c r="AF729" t="s">
        <v>74</v>
      </c>
      <c r="AG729">
        <v>65</v>
      </c>
      <c r="AH729">
        <v>6</v>
      </c>
      <c r="AI729">
        <v>6</v>
      </c>
      <c r="AJ729">
        <v>5</v>
      </c>
      <c r="AK729">
        <v>6</v>
      </c>
      <c r="AL729" t="s">
        <v>138</v>
      </c>
      <c r="AM729" t="s">
        <v>139</v>
      </c>
      <c r="AN729" t="s">
        <v>140</v>
      </c>
      <c r="AO729" t="s">
        <v>141</v>
      </c>
      <c r="AP729" t="s">
        <v>142</v>
      </c>
      <c r="AQ729" t="s">
        <v>74</v>
      </c>
      <c r="AR729" t="s">
        <v>143</v>
      </c>
      <c r="AS729" t="s">
        <v>144</v>
      </c>
      <c r="AT729" t="s">
        <v>1008</v>
      </c>
      <c r="AU729">
        <v>2024</v>
      </c>
      <c r="AV729">
        <v>241</v>
      </c>
      <c r="AW729" t="s">
        <v>74</v>
      </c>
      <c r="AX729" t="s">
        <v>74</v>
      </c>
      <c r="AY729" t="s">
        <v>74</v>
      </c>
      <c r="AZ729" t="s">
        <v>74</v>
      </c>
      <c r="BA729" t="s">
        <v>74</v>
      </c>
      <c r="BB729" t="s">
        <v>74</v>
      </c>
      <c r="BC729" t="s">
        <v>74</v>
      </c>
      <c r="BD729">
        <v>109632</v>
      </c>
      <c r="BE729" t="s">
        <v>11915</v>
      </c>
      <c r="BF729" t="str">
        <f>HYPERLINK("http://dx.doi.org/10.1016/j.ress.2023.109632","http://dx.doi.org/10.1016/j.ress.2023.109632")</f>
        <v>http://dx.doi.org/10.1016/j.ress.2023.109632</v>
      </c>
      <c r="BG729" t="s">
        <v>74</v>
      </c>
      <c r="BH729" t="s">
        <v>74</v>
      </c>
      <c r="BI729">
        <v>17</v>
      </c>
      <c r="BJ729" t="s">
        <v>148</v>
      </c>
      <c r="BK729" t="s">
        <v>149</v>
      </c>
      <c r="BL729" t="s">
        <v>150</v>
      </c>
      <c r="BM729" t="s">
        <v>11916</v>
      </c>
      <c r="BN729" t="s">
        <v>74</v>
      </c>
      <c r="BO729" t="s">
        <v>74</v>
      </c>
      <c r="BP729" t="s">
        <v>74</v>
      </c>
      <c r="BQ729" t="s">
        <v>74</v>
      </c>
      <c r="BR729" t="s">
        <v>104</v>
      </c>
      <c r="BS729" t="s">
        <v>11917</v>
      </c>
      <c r="BT729" t="str">
        <f>HYPERLINK("https%3A%2F%2Fwww.webofscience.com%2Fwos%2Fwoscc%2Ffull-record%2FWOS:001300857700001","View Full Record in Web of Science")</f>
        <v>View Full Record in Web of Science</v>
      </c>
    </row>
    <row r="730" spans="1:72" x14ac:dyDescent="0.25">
      <c r="A730" t="s">
        <v>72</v>
      </c>
      <c r="B730" t="s">
        <v>11918</v>
      </c>
      <c r="C730" t="s">
        <v>74</v>
      </c>
      <c r="D730" t="s">
        <v>74</v>
      </c>
      <c r="E730" t="s">
        <v>74</v>
      </c>
      <c r="F730" t="s">
        <v>11919</v>
      </c>
      <c r="G730" t="s">
        <v>74</v>
      </c>
      <c r="H730" t="s">
        <v>74</v>
      </c>
      <c r="I730" t="s">
        <v>11920</v>
      </c>
      <c r="J730" t="s">
        <v>128</v>
      </c>
      <c r="K730" t="s">
        <v>74</v>
      </c>
      <c r="L730" t="s">
        <v>74</v>
      </c>
      <c r="M730" t="s">
        <v>78</v>
      </c>
      <c r="N730" t="s">
        <v>79</v>
      </c>
      <c r="O730" t="s">
        <v>74</v>
      </c>
      <c r="P730" t="s">
        <v>74</v>
      </c>
      <c r="Q730" t="s">
        <v>74</v>
      </c>
      <c r="R730" t="s">
        <v>74</v>
      </c>
      <c r="S730" t="s">
        <v>74</v>
      </c>
      <c r="T730" t="s">
        <v>11921</v>
      </c>
      <c r="U730" t="s">
        <v>11922</v>
      </c>
      <c r="V730" t="s">
        <v>11923</v>
      </c>
      <c r="W730" t="s">
        <v>11924</v>
      </c>
      <c r="X730" t="s">
        <v>11925</v>
      </c>
      <c r="Y730" t="s">
        <v>11926</v>
      </c>
      <c r="Z730" t="s">
        <v>11927</v>
      </c>
      <c r="AA730" t="s">
        <v>9196</v>
      </c>
      <c r="AB730" t="s">
        <v>74</v>
      </c>
      <c r="AC730" t="s">
        <v>11928</v>
      </c>
      <c r="AD730" t="s">
        <v>11929</v>
      </c>
      <c r="AE730" t="s">
        <v>11930</v>
      </c>
      <c r="AF730" t="s">
        <v>74</v>
      </c>
      <c r="AG730">
        <v>28</v>
      </c>
      <c r="AH730">
        <v>1</v>
      </c>
      <c r="AI730">
        <v>1</v>
      </c>
      <c r="AJ730">
        <v>9</v>
      </c>
      <c r="AK730">
        <v>9</v>
      </c>
      <c r="AL730" t="s">
        <v>138</v>
      </c>
      <c r="AM730" t="s">
        <v>139</v>
      </c>
      <c r="AN730" t="s">
        <v>140</v>
      </c>
      <c r="AO730" t="s">
        <v>141</v>
      </c>
      <c r="AP730" t="s">
        <v>142</v>
      </c>
      <c r="AQ730" t="s">
        <v>74</v>
      </c>
      <c r="AR730" t="s">
        <v>143</v>
      </c>
      <c r="AS730" t="s">
        <v>144</v>
      </c>
      <c r="AT730" t="s">
        <v>533</v>
      </c>
      <c r="AU730">
        <v>2025</v>
      </c>
      <c r="AV730">
        <v>254</v>
      </c>
      <c r="AW730" t="s">
        <v>74</v>
      </c>
      <c r="AX730" t="s">
        <v>534</v>
      </c>
      <c r="AY730" t="s">
        <v>74</v>
      </c>
      <c r="AZ730" t="s">
        <v>74</v>
      </c>
      <c r="BA730" t="s">
        <v>74</v>
      </c>
      <c r="BB730" t="s">
        <v>74</v>
      </c>
      <c r="BC730" t="s">
        <v>74</v>
      </c>
      <c r="BD730">
        <v>110625</v>
      </c>
      <c r="BE730" t="s">
        <v>11931</v>
      </c>
      <c r="BF730" t="str">
        <f>HYPERLINK("http://dx.doi.org/10.1016/j.ress.2024.110625","http://dx.doi.org/10.1016/j.ress.2024.110625")</f>
        <v>http://dx.doi.org/10.1016/j.ress.2024.110625</v>
      </c>
      <c r="BG730" t="s">
        <v>74</v>
      </c>
      <c r="BH730" t="s">
        <v>1174</v>
      </c>
      <c r="BI730">
        <v>13</v>
      </c>
      <c r="BJ730" t="s">
        <v>148</v>
      </c>
      <c r="BK730" t="s">
        <v>149</v>
      </c>
      <c r="BL730" t="s">
        <v>150</v>
      </c>
      <c r="BM730" t="s">
        <v>11932</v>
      </c>
      <c r="BN730" t="s">
        <v>74</v>
      </c>
      <c r="BO730" t="s">
        <v>74</v>
      </c>
      <c r="BP730" t="s">
        <v>74</v>
      </c>
      <c r="BQ730" t="s">
        <v>74</v>
      </c>
      <c r="BR730" t="s">
        <v>104</v>
      </c>
      <c r="BS730" t="s">
        <v>11933</v>
      </c>
      <c r="BT730" t="str">
        <f>HYPERLINK("https%3A%2F%2Fwww.webofscience.com%2Fwos%2Fwoscc%2Ffull-record%2FWOS:001357437500001","View Full Record in Web of Science")</f>
        <v>View Full Record in Web of Science</v>
      </c>
    </row>
    <row r="731" spans="1:72" x14ac:dyDescent="0.25">
      <c r="A731" t="s">
        <v>72</v>
      </c>
      <c r="B731" t="s">
        <v>11934</v>
      </c>
      <c r="C731" t="s">
        <v>74</v>
      </c>
      <c r="D731" t="s">
        <v>74</v>
      </c>
      <c r="E731" t="s">
        <v>74</v>
      </c>
      <c r="F731" t="s">
        <v>11935</v>
      </c>
      <c r="G731" t="s">
        <v>74</v>
      </c>
      <c r="H731" t="s">
        <v>74</v>
      </c>
      <c r="I731" t="s">
        <v>11936</v>
      </c>
      <c r="J731" t="s">
        <v>128</v>
      </c>
      <c r="K731" t="s">
        <v>74</v>
      </c>
      <c r="L731" t="s">
        <v>74</v>
      </c>
      <c r="M731" t="s">
        <v>78</v>
      </c>
      <c r="N731" t="s">
        <v>79</v>
      </c>
      <c r="O731" t="s">
        <v>74</v>
      </c>
      <c r="P731" t="s">
        <v>74</v>
      </c>
      <c r="Q731" t="s">
        <v>74</v>
      </c>
      <c r="R731" t="s">
        <v>74</v>
      </c>
      <c r="S731" t="s">
        <v>74</v>
      </c>
      <c r="T731" t="s">
        <v>11937</v>
      </c>
      <c r="U731" t="s">
        <v>11938</v>
      </c>
      <c r="V731" t="s">
        <v>11939</v>
      </c>
      <c r="W731" t="s">
        <v>11940</v>
      </c>
      <c r="X731" t="s">
        <v>6340</v>
      </c>
      <c r="Y731" t="s">
        <v>11941</v>
      </c>
      <c r="Z731" t="s">
        <v>11942</v>
      </c>
      <c r="AA731" t="s">
        <v>807</v>
      </c>
      <c r="AB731" t="s">
        <v>74</v>
      </c>
      <c r="AC731" t="s">
        <v>74</v>
      </c>
      <c r="AD731" t="s">
        <v>74</v>
      </c>
      <c r="AE731" t="s">
        <v>74</v>
      </c>
      <c r="AF731" t="s">
        <v>74</v>
      </c>
      <c r="AG731">
        <v>37</v>
      </c>
      <c r="AH731">
        <v>7</v>
      </c>
      <c r="AI731">
        <v>7</v>
      </c>
      <c r="AJ731">
        <v>2</v>
      </c>
      <c r="AK731">
        <v>15</v>
      </c>
      <c r="AL731" t="s">
        <v>138</v>
      </c>
      <c r="AM731" t="s">
        <v>246</v>
      </c>
      <c r="AN731" t="s">
        <v>247</v>
      </c>
      <c r="AO731" t="s">
        <v>141</v>
      </c>
      <c r="AP731" t="s">
        <v>142</v>
      </c>
      <c r="AQ731" t="s">
        <v>74</v>
      </c>
      <c r="AR731" t="s">
        <v>143</v>
      </c>
      <c r="AS731" t="s">
        <v>144</v>
      </c>
      <c r="AT731" t="s">
        <v>2225</v>
      </c>
      <c r="AU731">
        <v>2021</v>
      </c>
      <c r="AV731">
        <v>212</v>
      </c>
      <c r="AW731" t="s">
        <v>74</v>
      </c>
      <c r="AX731" t="s">
        <v>74</v>
      </c>
      <c r="AY731" t="s">
        <v>74</v>
      </c>
      <c r="AZ731" t="s">
        <v>74</v>
      </c>
      <c r="BA731" t="s">
        <v>74</v>
      </c>
      <c r="BB731" t="s">
        <v>74</v>
      </c>
      <c r="BC731" t="s">
        <v>74</v>
      </c>
      <c r="BD731">
        <v>107581</v>
      </c>
      <c r="BE731" t="s">
        <v>11943</v>
      </c>
      <c r="BF731" t="str">
        <f>HYPERLINK("http://dx.doi.org/10.1016/j.ress.2021.107581","http://dx.doi.org/10.1016/j.ress.2021.107581")</f>
        <v>http://dx.doi.org/10.1016/j.ress.2021.107581</v>
      </c>
      <c r="BG731" t="s">
        <v>74</v>
      </c>
      <c r="BH731" t="s">
        <v>756</v>
      </c>
      <c r="BI731">
        <v>9</v>
      </c>
      <c r="BJ731" t="s">
        <v>148</v>
      </c>
      <c r="BK731" t="s">
        <v>149</v>
      </c>
      <c r="BL731" t="s">
        <v>150</v>
      </c>
      <c r="BM731" t="s">
        <v>6246</v>
      </c>
      <c r="BN731" t="s">
        <v>74</v>
      </c>
      <c r="BO731" t="s">
        <v>74</v>
      </c>
      <c r="BP731" t="s">
        <v>74</v>
      </c>
      <c r="BQ731" t="s">
        <v>74</v>
      </c>
      <c r="BR731" t="s">
        <v>104</v>
      </c>
      <c r="BS731" t="s">
        <v>11944</v>
      </c>
      <c r="BT731" t="str">
        <f>HYPERLINK("https%3A%2F%2Fwww.webofscience.com%2Fwos%2Fwoscc%2Ffull-record%2FWOS:000663910000011","View Full Record in Web of Science")</f>
        <v>View Full Record in Web of Science</v>
      </c>
    </row>
    <row r="732" spans="1:72" x14ac:dyDescent="0.25">
      <c r="A732" t="s">
        <v>72</v>
      </c>
      <c r="B732" t="s">
        <v>11945</v>
      </c>
      <c r="C732" t="s">
        <v>74</v>
      </c>
      <c r="D732" t="s">
        <v>74</v>
      </c>
      <c r="E732" t="s">
        <v>74</v>
      </c>
      <c r="F732" t="s">
        <v>11946</v>
      </c>
      <c r="G732" t="s">
        <v>74</v>
      </c>
      <c r="H732" t="s">
        <v>74</v>
      </c>
      <c r="I732" t="s">
        <v>11947</v>
      </c>
      <c r="J732" t="s">
        <v>128</v>
      </c>
      <c r="K732" t="s">
        <v>74</v>
      </c>
      <c r="L732" t="s">
        <v>74</v>
      </c>
      <c r="M732" t="s">
        <v>78</v>
      </c>
      <c r="N732" t="s">
        <v>79</v>
      </c>
      <c r="O732" t="s">
        <v>74</v>
      </c>
      <c r="P732" t="s">
        <v>74</v>
      </c>
      <c r="Q732" t="s">
        <v>74</v>
      </c>
      <c r="R732" t="s">
        <v>74</v>
      </c>
      <c r="S732" t="s">
        <v>74</v>
      </c>
      <c r="T732" t="s">
        <v>11948</v>
      </c>
      <c r="U732" t="s">
        <v>11949</v>
      </c>
      <c r="V732" t="s">
        <v>11950</v>
      </c>
      <c r="W732" t="s">
        <v>11951</v>
      </c>
      <c r="X732" t="s">
        <v>11952</v>
      </c>
      <c r="Y732" t="s">
        <v>11953</v>
      </c>
      <c r="Z732" t="s">
        <v>5104</v>
      </c>
      <c r="AA732" t="s">
        <v>5738</v>
      </c>
      <c r="AB732" t="s">
        <v>74</v>
      </c>
      <c r="AC732" t="s">
        <v>11954</v>
      </c>
      <c r="AD732" t="s">
        <v>11955</v>
      </c>
      <c r="AE732" t="s">
        <v>11956</v>
      </c>
      <c r="AF732" t="s">
        <v>74</v>
      </c>
      <c r="AG732">
        <v>31</v>
      </c>
      <c r="AH732">
        <v>14</v>
      </c>
      <c r="AI732">
        <v>14</v>
      </c>
      <c r="AJ732">
        <v>1</v>
      </c>
      <c r="AK732">
        <v>14</v>
      </c>
      <c r="AL732" t="s">
        <v>138</v>
      </c>
      <c r="AM732" t="s">
        <v>139</v>
      </c>
      <c r="AN732" t="s">
        <v>140</v>
      </c>
      <c r="AO732" t="s">
        <v>141</v>
      </c>
      <c r="AP732" t="s">
        <v>142</v>
      </c>
      <c r="AQ732" t="s">
        <v>74</v>
      </c>
      <c r="AR732" t="s">
        <v>143</v>
      </c>
      <c r="AS732" t="s">
        <v>144</v>
      </c>
      <c r="AT732" t="s">
        <v>559</v>
      </c>
      <c r="AU732">
        <v>2021</v>
      </c>
      <c r="AV732">
        <v>210</v>
      </c>
      <c r="AW732" t="s">
        <v>74</v>
      </c>
      <c r="AX732" t="s">
        <v>74</v>
      </c>
      <c r="AY732" t="s">
        <v>74</v>
      </c>
      <c r="AZ732" t="s">
        <v>74</v>
      </c>
      <c r="BA732" t="s">
        <v>74</v>
      </c>
      <c r="BB732" t="s">
        <v>74</v>
      </c>
      <c r="BC732" t="s">
        <v>74</v>
      </c>
      <c r="BD732">
        <v>107517</v>
      </c>
      <c r="BE732" t="s">
        <v>11957</v>
      </c>
      <c r="BF732" t="str">
        <f>HYPERLINK("http://dx.doi.org/10.1016/j.ress.2021.107517","http://dx.doi.org/10.1016/j.ress.2021.107517")</f>
        <v>http://dx.doi.org/10.1016/j.ress.2021.107517</v>
      </c>
      <c r="BG732" t="s">
        <v>74</v>
      </c>
      <c r="BH732" t="s">
        <v>639</v>
      </c>
      <c r="BI732">
        <v>8</v>
      </c>
      <c r="BJ732" t="s">
        <v>148</v>
      </c>
      <c r="BK732" t="s">
        <v>149</v>
      </c>
      <c r="BL732" t="s">
        <v>150</v>
      </c>
      <c r="BM732" t="s">
        <v>640</v>
      </c>
      <c r="BN732" t="s">
        <v>74</v>
      </c>
      <c r="BO732" t="s">
        <v>74</v>
      </c>
      <c r="BP732" t="s">
        <v>74</v>
      </c>
      <c r="BQ732" t="s">
        <v>74</v>
      </c>
      <c r="BR732" t="s">
        <v>104</v>
      </c>
      <c r="BS732" t="s">
        <v>11958</v>
      </c>
      <c r="BT732" t="str">
        <f>HYPERLINK("https%3A%2F%2Fwww.webofscience.com%2Fwos%2Fwoscc%2Ffull-record%2FWOS:000663909400024","View Full Record in Web of Science")</f>
        <v>View Full Record in Web of Science</v>
      </c>
    </row>
    <row r="733" spans="1:72" x14ac:dyDescent="0.25">
      <c r="A733" t="s">
        <v>72</v>
      </c>
      <c r="B733" t="s">
        <v>11959</v>
      </c>
      <c r="C733" t="s">
        <v>74</v>
      </c>
      <c r="D733" t="s">
        <v>74</v>
      </c>
      <c r="E733" t="s">
        <v>74</v>
      </c>
      <c r="F733" t="s">
        <v>11960</v>
      </c>
      <c r="G733" t="s">
        <v>74</v>
      </c>
      <c r="H733" t="s">
        <v>74</v>
      </c>
      <c r="I733" t="s">
        <v>11961</v>
      </c>
      <c r="J733" t="s">
        <v>299</v>
      </c>
      <c r="K733" t="s">
        <v>74</v>
      </c>
      <c r="L733" t="s">
        <v>74</v>
      </c>
      <c r="M733" t="s">
        <v>78</v>
      </c>
      <c r="N733" t="s">
        <v>79</v>
      </c>
      <c r="O733" t="s">
        <v>74</v>
      </c>
      <c r="P733" t="s">
        <v>74</v>
      </c>
      <c r="Q733" t="s">
        <v>74</v>
      </c>
      <c r="R733" t="s">
        <v>74</v>
      </c>
      <c r="S733" t="s">
        <v>74</v>
      </c>
      <c r="T733" t="s">
        <v>11962</v>
      </c>
      <c r="U733" t="s">
        <v>11963</v>
      </c>
      <c r="V733" t="s">
        <v>11964</v>
      </c>
      <c r="W733" t="s">
        <v>11965</v>
      </c>
      <c r="X733" t="s">
        <v>11966</v>
      </c>
      <c r="Y733" t="s">
        <v>11967</v>
      </c>
      <c r="Z733" t="s">
        <v>11968</v>
      </c>
      <c r="AA733" t="s">
        <v>11969</v>
      </c>
      <c r="AB733" t="s">
        <v>74</v>
      </c>
      <c r="AC733" t="s">
        <v>74</v>
      </c>
      <c r="AD733" t="s">
        <v>74</v>
      </c>
      <c r="AE733" t="s">
        <v>74</v>
      </c>
      <c r="AF733" t="s">
        <v>74</v>
      </c>
      <c r="AG733">
        <v>37</v>
      </c>
      <c r="AH733">
        <v>0</v>
      </c>
      <c r="AI733">
        <v>0</v>
      </c>
      <c r="AJ733">
        <v>6</v>
      </c>
      <c r="AK733">
        <v>12</v>
      </c>
      <c r="AL733" t="s">
        <v>311</v>
      </c>
      <c r="AM733" t="s">
        <v>312</v>
      </c>
      <c r="AN733" t="s">
        <v>313</v>
      </c>
      <c r="AO733" t="s">
        <v>314</v>
      </c>
      <c r="AP733" t="s">
        <v>315</v>
      </c>
      <c r="AQ733" t="s">
        <v>74</v>
      </c>
      <c r="AR733" t="s">
        <v>316</v>
      </c>
      <c r="AS733" t="s">
        <v>317</v>
      </c>
      <c r="AT733" t="s">
        <v>5303</v>
      </c>
      <c r="AU733">
        <v>2024</v>
      </c>
      <c r="AV733">
        <v>62</v>
      </c>
      <c r="AW733">
        <v>9</v>
      </c>
      <c r="AX733" t="s">
        <v>74</v>
      </c>
      <c r="AY733" t="s">
        <v>74</v>
      </c>
      <c r="AZ733" t="s">
        <v>74</v>
      </c>
      <c r="BA733" t="s">
        <v>74</v>
      </c>
      <c r="BB733">
        <v>3084</v>
      </c>
      <c r="BC733">
        <v>3098</v>
      </c>
      <c r="BD733" t="s">
        <v>74</v>
      </c>
      <c r="BE733" t="s">
        <v>11970</v>
      </c>
      <c r="BF733" t="str">
        <f>HYPERLINK("http://dx.doi.org/10.1080/00207543.2023.2217300","http://dx.doi.org/10.1080/00207543.2023.2217300")</f>
        <v>http://dx.doi.org/10.1080/00207543.2023.2217300</v>
      </c>
      <c r="BG733" t="s">
        <v>74</v>
      </c>
      <c r="BH733" t="s">
        <v>1042</v>
      </c>
      <c r="BI733">
        <v>15</v>
      </c>
      <c r="BJ733" t="s">
        <v>321</v>
      </c>
      <c r="BK733" t="s">
        <v>149</v>
      </c>
      <c r="BL733" t="s">
        <v>150</v>
      </c>
      <c r="BM733" t="s">
        <v>11971</v>
      </c>
      <c r="BN733" t="s">
        <v>74</v>
      </c>
      <c r="BO733" t="s">
        <v>74</v>
      </c>
      <c r="BP733" t="s">
        <v>74</v>
      </c>
      <c r="BQ733" t="s">
        <v>74</v>
      </c>
      <c r="BR733" t="s">
        <v>104</v>
      </c>
      <c r="BS733" t="s">
        <v>11972</v>
      </c>
      <c r="BT733" t="str">
        <f>HYPERLINK("https%3A%2F%2Fwww.webofscience.com%2Fwos%2Fwoscc%2Ffull-record%2FWOS:000999998400001","View Full Record in Web of Science")</f>
        <v>View Full Record in Web of Science</v>
      </c>
    </row>
    <row r="734" spans="1:72" x14ac:dyDescent="0.25">
      <c r="A734" t="s">
        <v>72</v>
      </c>
      <c r="B734" t="s">
        <v>11973</v>
      </c>
      <c r="C734" t="s">
        <v>74</v>
      </c>
      <c r="D734" t="s">
        <v>74</v>
      </c>
      <c r="E734" t="s">
        <v>74</v>
      </c>
      <c r="F734" t="s">
        <v>11974</v>
      </c>
      <c r="G734" t="s">
        <v>74</v>
      </c>
      <c r="H734" t="s">
        <v>74</v>
      </c>
      <c r="I734" t="s">
        <v>11975</v>
      </c>
      <c r="J734" t="s">
        <v>128</v>
      </c>
      <c r="K734" t="s">
        <v>74</v>
      </c>
      <c r="L734" t="s">
        <v>74</v>
      </c>
      <c r="M734" t="s">
        <v>78</v>
      </c>
      <c r="N734" t="s">
        <v>79</v>
      </c>
      <c r="O734" t="s">
        <v>74</v>
      </c>
      <c r="P734" t="s">
        <v>74</v>
      </c>
      <c r="Q734" t="s">
        <v>74</v>
      </c>
      <c r="R734" t="s">
        <v>74</v>
      </c>
      <c r="S734" t="s">
        <v>74</v>
      </c>
      <c r="T734" t="s">
        <v>11976</v>
      </c>
      <c r="U734" t="s">
        <v>11977</v>
      </c>
      <c r="V734" t="s">
        <v>11978</v>
      </c>
      <c r="W734" t="s">
        <v>11979</v>
      </c>
      <c r="X734" t="s">
        <v>11980</v>
      </c>
      <c r="Y734" t="s">
        <v>11981</v>
      </c>
      <c r="Z734" t="s">
        <v>11982</v>
      </c>
      <c r="AA734" t="s">
        <v>11983</v>
      </c>
      <c r="AB734" t="s">
        <v>11984</v>
      </c>
      <c r="AC734" t="s">
        <v>74</v>
      </c>
      <c r="AD734" t="s">
        <v>74</v>
      </c>
      <c r="AE734" t="s">
        <v>74</v>
      </c>
      <c r="AF734" t="s">
        <v>74</v>
      </c>
      <c r="AG734">
        <v>62</v>
      </c>
      <c r="AH734">
        <v>31</v>
      </c>
      <c r="AI734">
        <v>31</v>
      </c>
      <c r="AJ734">
        <v>3</v>
      </c>
      <c r="AK734">
        <v>18</v>
      </c>
      <c r="AL734" t="s">
        <v>138</v>
      </c>
      <c r="AM734" t="s">
        <v>246</v>
      </c>
      <c r="AN734" t="s">
        <v>247</v>
      </c>
      <c r="AO734" t="s">
        <v>141</v>
      </c>
      <c r="AP734" t="s">
        <v>142</v>
      </c>
      <c r="AQ734" t="s">
        <v>74</v>
      </c>
      <c r="AR734" t="s">
        <v>143</v>
      </c>
      <c r="AS734" t="s">
        <v>144</v>
      </c>
      <c r="AT734" t="s">
        <v>559</v>
      </c>
      <c r="AU734">
        <v>2022</v>
      </c>
      <c r="AV734">
        <v>222</v>
      </c>
      <c r="AW734" t="s">
        <v>74</v>
      </c>
      <c r="AX734" t="s">
        <v>74</v>
      </c>
      <c r="AY734" t="s">
        <v>74</v>
      </c>
      <c r="AZ734" t="s">
        <v>74</v>
      </c>
      <c r="BA734" t="s">
        <v>74</v>
      </c>
      <c r="BB734" t="s">
        <v>74</v>
      </c>
      <c r="BC734" t="s">
        <v>74</v>
      </c>
      <c r="BD734">
        <v>108394</v>
      </c>
      <c r="BE734" t="s">
        <v>11985</v>
      </c>
      <c r="BF734" t="str">
        <f>HYPERLINK("http://dx.doi.org/10.1016/j.ress.2022.108394","http://dx.doi.org/10.1016/j.ress.2022.108394")</f>
        <v>http://dx.doi.org/10.1016/j.ress.2022.108394</v>
      </c>
      <c r="BG734" t="s">
        <v>74</v>
      </c>
      <c r="BH734" t="s">
        <v>1971</v>
      </c>
      <c r="BI734">
        <v>20</v>
      </c>
      <c r="BJ734" t="s">
        <v>148</v>
      </c>
      <c r="BK734" t="s">
        <v>149</v>
      </c>
      <c r="BL734" t="s">
        <v>150</v>
      </c>
      <c r="BM734" t="s">
        <v>814</v>
      </c>
      <c r="BN734" t="s">
        <v>74</v>
      </c>
      <c r="BO734" t="s">
        <v>74</v>
      </c>
      <c r="BP734" t="s">
        <v>74</v>
      </c>
      <c r="BQ734" t="s">
        <v>74</v>
      </c>
      <c r="BR734" t="s">
        <v>104</v>
      </c>
      <c r="BS734" t="s">
        <v>11986</v>
      </c>
      <c r="BT734" t="str">
        <f>HYPERLINK("https%3A%2F%2Fwww.webofscience.com%2Fwos%2Fwoscc%2Ffull-record%2FWOS:000771562000015","View Full Record in Web of Science")</f>
        <v>View Full Record in Web of Science</v>
      </c>
    </row>
    <row r="735" spans="1:72" x14ac:dyDescent="0.25">
      <c r="A735" t="s">
        <v>72</v>
      </c>
      <c r="B735" t="s">
        <v>11987</v>
      </c>
      <c r="C735" t="s">
        <v>74</v>
      </c>
      <c r="D735" t="s">
        <v>74</v>
      </c>
      <c r="E735" t="s">
        <v>74</v>
      </c>
      <c r="F735" t="s">
        <v>6233</v>
      </c>
      <c r="G735" t="s">
        <v>74</v>
      </c>
      <c r="H735" t="s">
        <v>74</v>
      </c>
      <c r="I735" t="s">
        <v>11988</v>
      </c>
      <c r="J735" t="s">
        <v>697</v>
      </c>
      <c r="K735" t="s">
        <v>74</v>
      </c>
      <c r="L735" t="s">
        <v>74</v>
      </c>
      <c r="M735" t="s">
        <v>78</v>
      </c>
      <c r="N735" t="s">
        <v>79</v>
      </c>
      <c r="O735" t="s">
        <v>74</v>
      </c>
      <c r="P735" t="s">
        <v>74</v>
      </c>
      <c r="Q735" t="s">
        <v>74</v>
      </c>
      <c r="R735" t="s">
        <v>74</v>
      </c>
      <c r="S735" t="s">
        <v>74</v>
      </c>
      <c r="T735" t="s">
        <v>11989</v>
      </c>
      <c r="U735" t="s">
        <v>11990</v>
      </c>
      <c r="V735" t="s">
        <v>11991</v>
      </c>
      <c r="W735" t="s">
        <v>6238</v>
      </c>
      <c r="X735" t="s">
        <v>6239</v>
      </c>
      <c r="Y735" t="s">
        <v>11992</v>
      </c>
      <c r="Z735" t="s">
        <v>6241</v>
      </c>
      <c r="AA735" t="s">
        <v>74</v>
      </c>
      <c r="AB735" t="s">
        <v>74</v>
      </c>
      <c r="AC735" t="s">
        <v>11993</v>
      </c>
      <c r="AD735" t="s">
        <v>11994</v>
      </c>
      <c r="AE735" t="s">
        <v>11995</v>
      </c>
      <c r="AF735" t="s">
        <v>74</v>
      </c>
      <c r="AG735">
        <v>43</v>
      </c>
      <c r="AH735">
        <v>10</v>
      </c>
      <c r="AI735">
        <v>10</v>
      </c>
      <c r="AJ735">
        <v>2</v>
      </c>
      <c r="AK735">
        <v>27</v>
      </c>
      <c r="AL735" t="s">
        <v>707</v>
      </c>
      <c r="AM735" t="s">
        <v>246</v>
      </c>
      <c r="AN735" t="s">
        <v>708</v>
      </c>
      <c r="AO735" t="s">
        <v>709</v>
      </c>
      <c r="AP735" t="s">
        <v>710</v>
      </c>
      <c r="AQ735" t="s">
        <v>74</v>
      </c>
      <c r="AR735" t="s">
        <v>711</v>
      </c>
      <c r="AS735" t="s">
        <v>712</v>
      </c>
      <c r="AT735" t="s">
        <v>205</v>
      </c>
      <c r="AU735">
        <v>2022</v>
      </c>
      <c r="AV735">
        <v>171</v>
      </c>
      <c r="AW735" t="s">
        <v>74</v>
      </c>
      <c r="AX735" t="s">
        <v>74</v>
      </c>
      <c r="AY735" t="s">
        <v>74</v>
      </c>
      <c r="AZ735" t="s">
        <v>74</v>
      </c>
      <c r="BA735" t="s">
        <v>74</v>
      </c>
      <c r="BB735" t="s">
        <v>74</v>
      </c>
      <c r="BC735" t="s">
        <v>74</v>
      </c>
      <c r="BD735">
        <v>108478</v>
      </c>
      <c r="BE735" t="s">
        <v>11996</v>
      </c>
      <c r="BF735" t="str">
        <f>HYPERLINK("http://dx.doi.org/10.1016/j.cie.2022.108478","http://dx.doi.org/10.1016/j.cie.2022.108478")</f>
        <v>http://dx.doi.org/10.1016/j.cie.2022.108478</v>
      </c>
      <c r="BG735" t="s">
        <v>74</v>
      </c>
      <c r="BH735" t="s">
        <v>3597</v>
      </c>
      <c r="BI735">
        <v>13</v>
      </c>
      <c r="BJ735" t="s">
        <v>715</v>
      </c>
      <c r="BK735" t="s">
        <v>149</v>
      </c>
      <c r="BL735" t="s">
        <v>716</v>
      </c>
      <c r="BM735" t="s">
        <v>11997</v>
      </c>
      <c r="BN735" t="s">
        <v>74</v>
      </c>
      <c r="BO735" t="s">
        <v>74</v>
      </c>
      <c r="BP735" t="s">
        <v>74</v>
      </c>
      <c r="BQ735" t="s">
        <v>74</v>
      </c>
      <c r="BR735" t="s">
        <v>104</v>
      </c>
      <c r="BS735" t="s">
        <v>11998</v>
      </c>
      <c r="BT735" t="str">
        <f>HYPERLINK("https%3A%2F%2Fwww.webofscience.com%2Fwos%2Fwoscc%2Ffull-record%2FWOS:000838886700006","View Full Record in Web of Science")</f>
        <v>View Full Record in Web of Science</v>
      </c>
    </row>
    <row r="736" spans="1:72" x14ac:dyDescent="0.25">
      <c r="A736" t="s">
        <v>72</v>
      </c>
      <c r="B736" t="s">
        <v>11577</v>
      </c>
      <c r="C736" t="s">
        <v>74</v>
      </c>
      <c r="D736" t="s">
        <v>74</v>
      </c>
      <c r="E736" t="s">
        <v>74</v>
      </c>
      <c r="F736" t="s">
        <v>11999</v>
      </c>
      <c r="G736" t="s">
        <v>74</v>
      </c>
      <c r="H736" t="s">
        <v>74</v>
      </c>
      <c r="I736" t="s">
        <v>12000</v>
      </c>
      <c r="J736" t="s">
        <v>128</v>
      </c>
      <c r="K736" t="s">
        <v>74</v>
      </c>
      <c r="L736" t="s">
        <v>74</v>
      </c>
      <c r="M736" t="s">
        <v>78</v>
      </c>
      <c r="N736" t="s">
        <v>79</v>
      </c>
      <c r="O736" t="s">
        <v>74</v>
      </c>
      <c r="P736" t="s">
        <v>74</v>
      </c>
      <c r="Q736" t="s">
        <v>74</v>
      </c>
      <c r="R736" t="s">
        <v>74</v>
      </c>
      <c r="S736" t="s">
        <v>74</v>
      </c>
      <c r="T736" t="s">
        <v>12001</v>
      </c>
      <c r="U736" t="s">
        <v>12002</v>
      </c>
      <c r="V736" t="s">
        <v>12003</v>
      </c>
      <c r="W736" t="s">
        <v>12004</v>
      </c>
      <c r="X736" t="s">
        <v>3361</v>
      </c>
      <c r="Y736" t="s">
        <v>2315</v>
      </c>
      <c r="Z736" t="s">
        <v>3363</v>
      </c>
      <c r="AA736" t="s">
        <v>3364</v>
      </c>
      <c r="AB736" t="s">
        <v>1299</v>
      </c>
      <c r="AC736" t="s">
        <v>11583</v>
      </c>
      <c r="AD736" t="s">
        <v>2774</v>
      </c>
      <c r="AE736" t="s">
        <v>12005</v>
      </c>
      <c r="AF736" t="s">
        <v>74</v>
      </c>
      <c r="AG736">
        <v>38</v>
      </c>
      <c r="AH736">
        <v>121</v>
      </c>
      <c r="AI736">
        <v>121</v>
      </c>
      <c r="AJ736">
        <v>3</v>
      </c>
      <c r="AK736">
        <v>58</v>
      </c>
      <c r="AL736" t="s">
        <v>138</v>
      </c>
      <c r="AM736" t="s">
        <v>246</v>
      </c>
      <c r="AN736" t="s">
        <v>247</v>
      </c>
      <c r="AO736" t="s">
        <v>141</v>
      </c>
      <c r="AP736" t="s">
        <v>142</v>
      </c>
      <c r="AQ736" t="s">
        <v>74</v>
      </c>
      <c r="AR736" t="s">
        <v>143</v>
      </c>
      <c r="AS736" t="s">
        <v>144</v>
      </c>
      <c r="AT736" t="s">
        <v>205</v>
      </c>
      <c r="AU736">
        <v>2019</v>
      </c>
      <c r="AV736">
        <v>189</v>
      </c>
      <c r="AW736" t="s">
        <v>74</v>
      </c>
      <c r="AX736" t="s">
        <v>74</v>
      </c>
      <c r="AY736" t="s">
        <v>74</v>
      </c>
      <c r="AZ736" t="s">
        <v>74</v>
      </c>
      <c r="BA736" t="s">
        <v>74</v>
      </c>
      <c r="BB736">
        <v>11</v>
      </c>
      <c r="BC736">
        <v>20</v>
      </c>
      <c r="BD736" t="s">
        <v>74</v>
      </c>
      <c r="BE736" t="s">
        <v>12006</v>
      </c>
      <c r="BF736" t="str">
        <f>HYPERLINK("http://dx.doi.org/10.1016/j.ress.2019.04.010","http://dx.doi.org/10.1016/j.ress.2019.04.010")</f>
        <v>http://dx.doi.org/10.1016/j.ress.2019.04.010</v>
      </c>
      <c r="BG736" t="s">
        <v>74</v>
      </c>
      <c r="BH736" t="s">
        <v>74</v>
      </c>
      <c r="BI736">
        <v>10</v>
      </c>
      <c r="BJ736" t="s">
        <v>148</v>
      </c>
      <c r="BK736" t="s">
        <v>322</v>
      </c>
      <c r="BL736" t="s">
        <v>150</v>
      </c>
      <c r="BM736" t="s">
        <v>2403</v>
      </c>
      <c r="BN736" t="s">
        <v>74</v>
      </c>
      <c r="BO736" t="s">
        <v>74</v>
      </c>
      <c r="BP736" t="s">
        <v>74</v>
      </c>
      <c r="BQ736" t="s">
        <v>74</v>
      </c>
      <c r="BR736" t="s">
        <v>104</v>
      </c>
      <c r="BS736" t="s">
        <v>12007</v>
      </c>
      <c r="BT736" t="str">
        <f>HYPERLINK("https%3A%2F%2Fwww.webofscience.com%2Fwos%2Fwoscc%2Ffull-record%2FWOS:000474493000002","View Full Record in Web of Science")</f>
        <v>View Full Record in Web of Science</v>
      </c>
    </row>
    <row r="737" spans="1:72" x14ac:dyDescent="0.25">
      <c r="A737" t="s">
        <v>72</v>
      </c>
      <c r="B737" t="s">
        <v>12008</v>
      </c>
      <c r="C737" t="s">
        <v>74</v>
      </c>
      <c r="D737" t="s">
        <v>74</v>
      </c>
      <c r="E737" t="s">
        <v>74</v>
      </c>
      <c r="F737" t="s">
        <v>12009</v>
      </c>
      <c r="G737" t="s">
        <v>74</v>
      </c>
      <c r="H737" t="s">
        <v>74</v>
      </c>
      <c r="I737" t="s">
        <v>12010</v>
      </c>
      <c r="J737" t="s">
        <v>697</v>
      </c>
      <c r="K737" t="s">
        <v>74</v>
      </c>
      <c r="L737" t="s">
        <v>74</v>
      </c>
      <c r="M737" t="s">
        <v>78</v>
      </c>
      <c r="N737" t="s">
        <v>79</v>
      </c>
      <c r="O737" t="s">
        <v>74</v>
      </c>
      <c r="P737" t="s">
        <v>74</v>
      </c>
      <c r="Q737" t="s">
        <v>74</v>
      </c>
      <c r="R737" t="s">
        <v>74</v>
      </c>
      <c r="S737" t="s">
        <v>74</v>
      </c>
      <c r="T737" t="s">
        <v>12011</v>
      </c>
      <c r="U737" t="s">
        <v>12012</v>
      </c>
      <c r="V737" t="s">
        <v>12013</v>
      </c>
      <c r="W737" t="s">
        <v>12014</v>
      </c>
      <c r="X737" t="s">
        <v>4223</v>
      </c>
      <c r="Y737" t="s">
        <v>4094</v>
      </c>
      <c r="Z737" t="s">
        <v>806</v>
      </c>
      <c r="AA737" t="s">
        <v>705</v>
      </c>
      <c r="AB737" t="s">
        <v>1483</v>
      </c>
      <c r="AC737" t="s">
        <v>12015</v>
      </c>
      <c r="AD737" t="s">
        <v>12016</v>
      </c>
      <c r="AE737" t="s">
        <v>12017</v>
      </c>
      <c r="AF737" t="s">
        <v>74</v>
      </c>
      <c r="AG737">
        <v>45</v>
      </c>
      <c r="AH737">
        <v>15</v>
      </c>
      <c r="AI737">
        <v>15</v>
      </c>
      <c r="AJ737">
        <v>3</v>
      </c>
      <c r="AK737">
        <v>49</v>
      </c>
      <c r="AL737" t="s">
        <v>707</v>
      </c>
      <c r="AM737" t="s">
        <v>246</v>
      </c>
      <c r="AN737" t="s">
        <v>708</v>
      </c>
      <c r="AO737" t="s">
        <v>709</v>
      </c>
      <c r="AP737" t="s">
        <v>710</v>
      </c>
      <c r="AQ737" t="s">
        <v>74</v>
      </c>
      <c r="AR737" t="s">
        <v>711</v>
      </c>
      <c r="AS737" t="s">
        <v>712</v>
      </c>
      <c r="AT737" t="s">
        <v>1202</v>
      </c>
      <c r="AU737">
        <v>2023</v>
      </c>
      <c r="AV737">
        <v>179</v>
      </c>
      <c r="AW737" t="s">
        <v>74</v>
      </c>
      <c r="AX737" t="s">
        <v>74</v>
      </c>
      <c r="AY737" t="s">
        <v>74</v>
      </c>
      <c r="AZ737" t="s">
        <v>74</v>
      </c>
      <c r="BA737" t="s">
        <v>74</v>
      </c>
      <c r="BB737" t="s">
        <v>74</v>
      </c>
      <c r="BC737" t="s">
        <v>74</v>
      </c>
      <c r="BD737">
        <v>109158</v>
      </c>
      <c r="BE737" t="s">
        <v>12018</v>
      </c>
      <c r="BF737" t="str">
        <f>HYPERLINK("http://dx.doi.org/10.1016/j.cie.2023.109158","http://dx.doi.org/10.1016/j.cie.2023.109158")</f>
        <v>http://dx.doi.org/10.1016/j.cie.2023.109158</v>
      </c>
      <c r="BG737" t="s">
        <v>74</v>
      </c>
      <c r="BH737" t="s">
        <v>1685</v>
      </c>
      <c r="BI737">
        <v>14</v>
      </c>
      <c r="BJ737" t="s">
        <v>715</v>
      </c>
      <c r="BK737" t="s">
        <v>149</v>
      </c>
      <c r="BL737" t="s">
        <v>716</v>
      </c>
      <c r="BM737" t="s">
        <v>12019</v>
      </c>
      <c r="BN737">
        <v>36960126</v>
      </c>
      <c r="BO737" t="s">
        <v>4652</v>
      </c>
      <c r="BP737" t="s">
        <v>74</v>
      </c>
      <c r="BQ737" t="s">
        <v>74</v>
      </c>
      <c r="BR737" t="s">
        <v>104</v>
      </c>
      <c r="BS737" t="s">
        <v>12020</v>
      </c>
      <c r="BT737" t="str">
        <f>HYPERLINK("https%3A%2F%2Fwww.webofscience.com%2Fwos%2Fwoscc%2Ffull-record%2FWOS:001053965200001","View Full Record in Web of Science")</f>
        <v>View Full Record in Web of Science</v>
      </c>
    </row>
    <row r="738" spans="1:72" x14ac:dyDescent="0.25">
      <c r="A738" t="s">
        <v>72</v>
      </c>
      <c r="B738" t="s">
        <v>12021</v>
      </c>
      <c r="C738" t="s">
        <v>74</v>
      </c>
      <c r="D738" t="s">
        <v>74</v>
      </c>
      <c r="E738" t="s">
        <v>74</v>
      </c>
      <c r="F738" t="s">
        <v>12022</v>
      </c>
      <c r="G738" t="s">
        <v>74</v>
      </c>
      <c r="H738" t="s">
        <v>74</v>
      </c>
      <c r="I738" t="s">
        <v>12023</v>
      </c>
      <c r="J738" t="s">
        <v>542</v>
      </c>
      <c r="K738" t="s">
        <v>74</v>
      </c>
      <c r="L738" t="s">
        <v>74</v>
      </c>
      <c r="M738" t="s">
        <v>78</v>
      </c>
      <c r="N738" t="s">
        <v>79</v>
      </c>
      <c r="O738" t="s">
        <v>74</v>
      </c>
      <c r="P738" t="s">
        <v>74</v>
      </c>
      <c r="Q738" t="s">
        <v>74</v>
      </c>
      <c r="R738" t="s">
        <v>74</v>
      </c>
      <c r="S738" t="s">
        <v>74</v>
      </c>
      <c r="T738" t="s">
        <v>12024</v>
      </c>
      <c r="U738" t="s">
        <v>12025</v>
      </c>
      <c r="V738" t="s">
        <v>12026</v>
      </c>
      <c r="W738" t="s">
        <v>12027</v>
      </c>
      <c r="X738" t="s">
        <v>12028</v>
      </c>
      <c r="Y738" t="s">
        <v>12029</v>
      </c>
      <c r="Z738" t="s">
        <v>5737</v>
      </c>
      <c r="AA738" t="s">
        <v>5738</v>
      </c>
      <c r="AB738" t="s">
        <v>8206</v>
      </c>
      <c r="AC738" t="s">
        <v>5740</v>
      </c>
      <c r="AD738" t="s">
        <v>5741</v>
      </c>
      <c r="AE738" t="s">
        <v>12030</v>
      </c>
      <c r="AF738" t="s">
        <v>74</v>
      </c>
      <c r="AG738">
        <v>26</v>
      </c>
      <c r="AH738">
        <v>1</v>
      </c>
      <c r="AI738">
        <v>1</v>
      </c>
      <c r="AJ738">
        <v>2</v>
      </c>
      <c r="AK738">
        <v>4</v>
      </c>
      <c r="AL738" t="s">
        <v>552</v>
      </c>
      <c r="AM738" t="s">
        <v>553</v>
      </c>
      <c r="AN738" t="s">
        <v>554</v>
      </c>
      <c r="AO738" t="s">
        <v>555</v>
      </c>
      <c r="AP738" t="s">
        <v>556</v>
      </c>
      <c r="AQ738" t="s">
        <v>74</v>
      </c>
      <c r="AR738" t="s">
        <v>557</v>
      </c>
      <c r="AS738" t="s">
        <v>558</v>
      </c>
      <c r="AT738" t="s">
        <v>145</v>
      </c>
      <c r="AU738">
        <v>2024</v>
      </c>
      <c r="AV738">
        <v>238</v>
      </c>
      <c r="AW738">
        <v>6</v>
      </c>
      <c r="AX738" t="s">
        <v>74</v>
      </c>
      <c r="AY738" t="s">
        <v>74</v>
      </c>
      <c r="AZ738" t="s">
        <v>74</v>
      </c>
      <c r="BA738" t="s">
        <v>74</v>
      </c>
      <c r="BB738">
        <v>1184</v>
      </c>
      <c r="BC738">
        <v>1194</v>
      </c>
      <c r="BD738" t="s">
        <v>74</v>
      </c>
      <c r="BE738" t="s">
        <v>12031</v>
      </c>
      <c r="BF738" t="str">
        <f>HYPERLINK("http://dx.doi.org/10.1177/1748006X231205903","http://dx.doi.org/10.1177/1748006X231205903")</f>
        <v>http://dx.doi.org/10.1177/1748006X231205903</v>
      </c>
      <c r="BG738" t="s">
        <v>74</v>
      </c>
      <c r="BH738" t="s">
        <v>449</v>
      </c>
      <c r="BI738">
        <v>11</v>
      </c>
      <c r="BJ738" t="s">
        <v>494</v>
      </c>
      <c r="BK738" t="s">
        <v>149</v>
      </c>
      <c r="BL738" t="s">
        <v>150</v>
      </c>
      <c r="BM738" t="s">
        <v>8575</v>
      </c>
      <c r="BN738" t="s">
        <v>74</v>
      </c>
      <c r="BO738" t="s">
        <v>400</v>
      </c>
      <c r="BP738" t="s">
        <v>74</v>
      </c>
      <c r="BQ738" t="s">
        <v>74</v>
      </c>
      <c r="BR738" t="s">
        <v>104</v>
      </c>
      <c r="BS738" t="s">
        <v>12032</v>
      </c>
      <c r="BT738" t="str">
        <f>HYPERLINK("https%3A%2F%2Fwww.webofscience.com%2Fwos%2Fwoscc%2Ffull-record%2FWOS:001113058700001","View Full Record in Web of Science")</f>
        <v>View Full Record in Web of Science</v>
      </c>
    </row>
    <row r="739" spans="1:72" x14ac:dyDescent="0.25">
      <c r="A739" t="s">
        <v>72</v>
      </c>
      <c r="B739" t="s">
        <v>12033</v>
      </c>
      <c r="C739" t="s">
        <v>74</v>
      </c>
      <c r="D739" t="s">
        <v>74</v>
      </c>
      <c r="E739" t="s">
        <v>74</v>
      </c>
      <c r="F739" t="s">
        <v>12034</v>
      </c>
      <c r="G739" t="s">
        <v>74</v>
      </c>
      <c r="H739" t="s">
        <v>74</v>
      </c>
      <c r="I739" t="s">
        <v>12035</v>
      </c>
      <c r="J739" t="s">
        <v>1402</v>
      </c>
      <c r="K739" t="s">
        <v>74</v>
      </c>
      <c r="L739" t="s">
        <v>74</v>
      </c>
      <c r="M739" t="s">
        <v>78</v>
      </c>
      <c r="N739" t="s">
        <v>79</v>
      </c>
      <c r="O739" t="s">
        <v>74</v>
      </c>
      <c r="P739" t="s">
        <v>74</v>
      </c>
      <c r="Q739" t="s">
        <v>74</v>
      </c>
      <c r="R739" t="s">
        <v>74</v>
      </c>
      <c r="S739" t="s">
        <v>74</v>
      </c>
      <c r="T739" t="s">
        <v>12036</v>
      </c>
      <c r="U739" t="s">
        <v>12037</v>
      </c>
      <c r="V739" t="s">
        <v>12038</v>
      </c>
      <c r="W739" t="s">
        <v>12039</v>
      </c>
      <c r="X739" t="s">
        <v>11693</v>
      </c>
      <c r="Y739" t="s">
        <v>12040</v>
      </c>
      <c r="Z739" t="s">
        <v>3424</v>
      </c>
      <c r="AA739" t="s">
        <v>74</v>
      </c>
      <c r="AB739" t="s">
        <v>74</v>
      </c>
      <c r="AC739" t="s">
        <v>12041</v>
      </c>
      <c r="AD739" t="s">
        <v>2774</v>
      </c>
      <c r="AE739" t="s">
        <v>12042</v>
      </c>
      <c r="AF739" t="s">
        <v>74</v>
      </c>
      <c r="AG739">
        <v>36</v>
      </c>
      <c r="AH739">
        <v>27</v>
      </c>
      <c r="AI739">
        <v>27</v>
      </c>
      <c r="AJ739">
        <v>15</v>
      </c>
      <c r="AK739">
        <v>59</v>
      </c>
      <c r="AL739" t="s">
        <v>1415</v>
      </c>
      <c r="AM739" t="s">
        <v>1416</v>
      </c>
      <c r="AN739" t="s">
        <v>1417</v>
      </c>
      <c r="AO739" t="s">
        <v>1418</v>
      </c>
      <c r="AP739" t="s">
        <v>1419</v>
      </c>
      <c r="AQ739" t="s">
        <v>74</v>
      </c>
      <c r="AR739" t="s">
        <v>1420</v>
      </c>
      <c r="AS739" t="s">
        <v>1421</v>
      </c>
      <c r="AT739" t="s">
        <v>3765</v>
      </c>
      <c r="AU739">
        <v>2022</v>
      </c>
      <c r="AV739">
        <v>54</v>
      </c>
      <c r="AW739">
        <v>11</v>
      </c>
      <c r="AX739" t="s">
        <v>74</v>
      </c>
      <c r="AY739" t="s">
        <v>74</v>
      </c>
      <c r="AZ739" t="s">
        <v>74</v>
      </c>
      <c r="BA739" t="s">
        <v>74</v>
      </c>
      <c r="BB739">
        <v>1060</v>
      </c>
      <c r="BC739">
        <v>1071</v>
      </c>
      <c r="BD739" t="s">
        <v>74</v>
      </c>
      <c r="BE739" t="s">
        <v>12043</v>
      </c>
      <c r="BF739" t="str">
        <f>HYPERLINK("http://dx.doi.org/10.1080/24725854.2021.1972184","http://dx.doi.org/10.1080/24725854.2021.1972184")</f>
        <v>http://dx.doi.org/10.1080/24725854.2021.1972184</v>
      </c>
      <c r="BG739" t="s">
        <v>74</v>
      </c>
      <c r="BH739" t="s">
        <v>2089</v>
      </c>
      <c r="BI739">
        <v>12</v>
      </c>
      <c r="BJ739" t="s">
        <v>148</v>
      </c>
      <c r="BK739" t="s">
        <v>149</v>
      </c>
      <c r="BL739" t="s">
        <v>150</v>
      </c>
      <c r="BM739" t="s">
        <v>4667</v>
      </c>
      <c r="BN739" t="s">
        <v>74</v>
      </c>
      <c r="BO739" t="s">
        <v>74</v>
      </c>
      <c r="BP739" t="s">
        <v>74</v>
      </c>
      <c r="BQ739" t="s">
        <v>74</v>
      </c>
      <c r="BR739" t="s">
        <v>104</v>
      </c>
      <c r="BS739" t="s">
        <v>12044</v>
      </c>
      <c r="BT739" t="str">
        <f>HYPERLINK("https%3A%2F%2Fwww.webofscience.com%2Fwos%2Fwoscc%2Ffull-record%2FWOS:000709768900001","View Full Record in Web of Science")</f>
        <v>View Full Record in Web of Science</v>
      </c>
    </row>
    <row r="740" spans="1:72" x14ac:dyDescent="0.25">
      <c r="A740" t="s">
        <v>72</v>
      </c>
      <c r="B740" t="s">
        <v>12045</v>
      </c>
      <c r="C740" t="s">
        <v>74</v>
      </c>
      <c r="D740" t="s">
        <v>74</v>
      </c>
      <c r="E740" t="s">
        <v>74</v>
      </c>
      <c r="F740" t="s">
        <v>12046</v>
      </c>
      <c r="G740" t="s">
        <v>74</v>
      </c>
      <c r="H740" t="s">
        <v>74</v>
      </c>
      <c r="I740" t="s">
        <v>12047</v>
      </c>
      <c r="J740" t="s">
        <v>542</v>
      </c>
      <c r="K740" t="s">
        <v>74</v>
      </c>
      <c r="L740" t="s">
        <v>74</v>
      </c>
      <c r="M740" t="s">
        <v>78</v>
      </c>
      <c r="N740" t="s">
        <v>79</v>
      </c>
      <c r="O740" t="s">
        <v>74</v>
      </c>
      <c r="P740" t="s">
        <v>74</v>
      </c>
      <c r="Q740" t="s">
        <v>74</v>
      </c>
      <c r="R740" t="s">
        <v>74</v>
      </c>
      <c r="S740" t="s">
        <v>74</v>
      </c>
      <c r="T740" t="s">
        <v>12048</v>
      </c>
      <c r="U740" t="s">
        <v>12049</v>
      </c>
      <c r="V740" t="s">
        <v>12050</v>
      </c>
      <c r="W740" t="s">
        <v>12051</v>
      </c>
      <c r="X740" t="s">
        <v>74</v>
      </c>
      <c r="Y740" t="s">
        <v>12052</v>
      </c>
      <c r="Z740" t="s">
        <v>12053</v>
      </c>
      <c r="AA740" t="s">
        <v>74</v>
      </c>
      <c r="AB740" t="s">
        <v>74</v>
      </c>
      <c r="AC740" t="s">
        <v>12054</v>
      </c>
      <c r="AD740" t="s">
        <v>12055</v>
      </c>
      <c r="AE740" t="s">
        <v>12056</v>
      </c>
      <c r="AF740" t="s">
        <v>74</v>
      </c>
      <c r="AG740">
        <v>34</v>
      </c>
      <c r="AH740">
        <v>2</v>
      </c>
      <c r="AI740">
        <v>2</v>
      </c>
      <c r="AJ740">
        <v>1</v>
      </c>
      <c r="AK740">
        <v>24</v>
      </c>
      <c r="AL740" t="s">
        <v>552</v>
      </c>
      <c r="AM740" t="s">
        <v>553</v>
      </c>
      <c r="AN740" t="s">
        <v>554</v>
      </c>
      <c r="AO740" t="s">
        <v>555</v>
      </c>
      <c r="AP740" t="s">
        <v>556</v>
      </c>
      <c r="AQ740" t="s">
        <v>74</v>
      </c>
      <c r="AR740" t="s">
        <v>557</v>
      </c>
      <c r="AS740" t="s">
        <v>558</v>
      </c>
      <c r="AT740" t="s">
        <v>1867</v>
      </c>
      <c r="AU740">
        <v>2022</v>
      </c>
      <c r="AV740">
        <v>236</v>
      </c>
      <c r="AW740">
        <v>2</v>
      </c>
      <c r="AX740" t="s">
        <v>74</v>
      </c>
      <c r="AY740" t="s">
        <v>74</v>
      </c>
      <c r="AZ740" t="s">
        <v>560</v>
      </c>
      <c r="BA740" t="s">
        <v>74</v>
      </c>
      <c r="BB740">
        <v>256</v>
      </c>
      <c r="BC740">
        <v>265</v>
      </c>
      <c r="BD740" t="s">
        <v>12057</v>
      </c>
      <c r="BE740" t="s">
        <v>12058</v>
      </c>
      <c r="BF740" t="str">
        <f>HYPERLINK("http://dx.doi.org/10.1177/1748006X20974475","http://dx.doi.org/10.1177/1748006X20974475")</f>
        <v>http://dx.doi.org/10.1177/1748006X20974475</v>
      </c>
      <c r="BG740" t="s">
        <v>74</v>
      </c>
      <c r="BH740" t="s">
        <v>434</v>
      </c>
      <c r="BI740">
        <v>10</v>
      </c>
      <c r="BJ740" t="s">
        <v>494</v>
      </c>
      <c r="BK740" t="s">
        <v>149</v>
      </c>
      <c r="BL740" t="s">
        <v>150</v>
      </c>
      <c r="BM740" t="s">
        <v>7816</v>
      </c>
      <c r="BN740" t="s">
        <v>74</v>
      </c>
      <c r="BO740" t="s">
        <v>74</v>
      </c>
      <c r="BP740" t="s">
        <v>74</v>
      </c>
      <c r="BQ740" t="s">
        <v>74</v>
      </c>
      <c r="BR740" t="s">
        <v>104</v>
      </c>
      <c r="BS740" t="s">
        <v>12059</v>
      </c>
      <c r="BT740" t="str">
        <f>HYPERLINK("https%3A%2F%2Fwww.webofscience.com%2Fwos%2Fwoscc%2Ffull-record%2FWOS:000641099900001","View Full Record in Web of Science")</f>
        <v>View Full Record in Web of Science</v>
      </c>
    </row>
    <row r="741" spans="1:72" x14ac:dyDescent="0.25">
      <c r="A741" t="s">
        <v>72</v>
      </c>
      <c r="B741" t="s">
        <v>12060</v>
      </c>
      <c r="C741" t="s">
        <v>74</v>
      </c>
      <c r="D741" t="s">
        <v>74</v>
      </c>
      <c r="E741" t="s">
        <v>74</v>
      </c>
      <c r="F741" t="s">
        <v>12061</v>
      </c>
      <c r="G741" t="s">
        <v>74</v>
      </c>
      <c r="H741" t="s">
        <v>74</v>
      </c>
      <c r="I741" t="s">
        <v>12062</v>
      </c>
      <c r="J741" t="s">
        <v>128</v>
      </c>
      <c r="K741" t="s">
        <v>74</v>
      </c>
      <c r="L741" t="s">
        <v>74</v>
      </c>
      <c r="M741" t="s">
        <v>78</v>
      </c>
      <c r="N741" t="s">
        <v>79</v>
      </c>
      <c r="O741" t="s">
        <v>74</v>
      </c>
      <c r="P741" t="s">
        <v>74</v>
      </c>
      <c r="Q741" t="s">
        <v>74</v>
      </c>
      <c r="R741" t="s">
        <v>74</v>
      </c>
      <c r="S741" t="s">
        <v>74</v>
      </c>
      <c r="T741" t="s">
        <v>12063</v>
      </c>
      <c r="U741" t="s">
        <v>12064</v>
      </c>
      <c r="V741" t="s">
        <v>12065</v>
      </c>
      <c r="W741" t="s">
        <v>12066</v>
      </c>
      <c r="X741" t="s">
        <v>12067</v>
      </c>
      <c r="Y741" t="s">
        <v>3198</v>
      </c>
      <c r="Z741" t="s">
        <v>3892</v>
      </c>
      <c r="AA741" t="s">
        <v>3200</v>
      </c>
      <c r="AB741" t="s">
        <v>12068</v>
      </c>
      <c r="AC741" t="s">
        <v>12069</v>
      </c>
      <c r="AD741" t="s">
        <v>12070</v>
      </c>
      <c r="AE741" t="s">
        <v>12071</v>
      </c>
      <c r="AF741" t="s">
        <v>74</v>
      </c>
      <c r="AG741">
        <v>46</v>
      </c>
      <c r="AH741">
        <v>30</v>
      </c>
      <c r="AI741">
        <v>32</v>
      </c>
      <c r="AJ741">
        <v>6</v>
      </c>
      <c r="AK741">
        <v>45</v>
      </c>
      <c r="AL741" t="s">
        <v>138</v>
      </c>
      <c r="AM741" t="s">
        <v>246</v>
      </c>
      <c r="AN741" t="s">
        <v>247</v>
      </c>
      <c r="AO741" t="s">
        <v>141</v>
      </c>
      <c r="AP741" t="s">
        <v>142</v>
      </c>
      <c r="AQ741" t="s">
        <v>74</v>
      </c>
      <c r="AR741" t="s">
        <v>143</v>
      </c>
      <c r="AS741" t="s">
        <v>144</v>
      </c>
      <c r="AT741" t="s">
        <v>491</v>
      </c>
      <c r="AU741">
        <v>2019</v>
      </c>
      <c r="AV741">
        <v>191</v>
      </c>
      <c r="AW741" t="s">
        <v>74</v>
      </c>
      <c r="AX741" t="s">
        <v>74</v>
      </c>
      <c r="AY741" t="s">
        <v>74</v>
      </c>
      <c r="AZ741" t="s">
        <v>74</v>
      </c>
      <c r="BA741" t="s">
        <v>74</v>
      </c>
      <c r="BB741" t="s">
        <v>74</v>
      </c>
      <c r="BC741" t="s">
        <v>74</v>
      </c>
      <c r="BD741">
        <v>106551</v>
      </c>
      <c r="BE741" t="s">
        <v>12072</v>
      </c>
      <c r="BF741" t="str">
        <f>HYPERLINK("http://dx.doi.org/10.1016/j.ress.2019.106551","http://dx.doi.org/10.1016/j.ress.2019.106551")</f>
        <v>http://dx.doi.org/10.1016/j.ress.2019.106551</v>
      </c>
      <c r="BG741" t="s">
        <v>74</v>
      </c>
      <c r="BH741" t="s">
        <v>74</v>
      </c>
      <c r="BI741">
        <v>16</v>
      </c>
      <c r="BJ741" t="s">
        <v>148</v>
      </c>
      <c r="BK741" t="s">
        <v>149</v>
      </c>
      <c r="BL741" t="s">
        <v>150</v>
      </c>
      <c r="BM741" t="s">
        <v>3322</v>
      </c>
      <c r="BN741" t="s">
        <v>74</v>
      </c>
      <c r="BO741" t="s">
        <v>74</v>
      </c>
      <c r="BP741" t="s">
        <v>74</v>
      </c>
      <c r="BQ741" t="s">
        <v>74</v>
      </c>
      <c r="BR741" t="s">
        <v>104</v>
      </c>
      <c r="BS741" t="s">
        <v>12073</v>
      </c>
      <c r="BT741" t="str">
        <f>HYPERLINK("https%3A%2F%2Fwww.webofscience.com%2Fwos%2Fwoscc%2Ffull-record%2FWOS:000491685000021","View Full Record in Web of Science")</f>
        <v>View Full Record in Web of Science</v>
      </c>
    </row>
    <row r="742" spans="1:72" x14ac:dyDescent="0.25">
      <c r="A742" t="s">
        <v>72</v>
      </c>
      <c r="B742" t="s">
        <v>12074</v>
      </c>
      <c r="C742" t="s">
        <v>74</v>
      </c>
      <c r="D742" t="s">
        <v>74</v>
      </c>
      <c r="E742" t="s">
        <v>74</v>
      </c>
      <c r="F742" t="s">
        <v>12075</v>
      </c>
      <c r="G742" t="s">
        <v>74</v>
      </c>
      <c r="H742" t="s">
        <v>74</v>
      </c>
      <c r="I742" t="s">
        <v>12076</v>
      </c>
      <c r="J742" t="s">
        <v>128</v>
      </c>
      <c r="K742" t="s">
        <v>74</v>
      </c>
      <c r="L742" t="s">
        <v>74</v>
      </c>
      <c r="M742" t="s">
        <v>78</v>
      </c>
      <c r="N742" t="s">
        <v>79</v>
      </c>
      <c r="O742" t="s">
        <v>74</v>
      </c>
      <c r="P742" t="s">
        <v>74</v>
      </c>
      <c r="Q742" t="s">
        <v>74</v>
      </c>
      <c r="R742" t="s">
        <v>74</v>
      </c>
      <c r="S742" t="s">
        <v>74</v>
      </c>
      <c r="T742" t="s">
        <v>12077</v>
      </c>
      <c r="U742" t="s">
        <v>12078</v>
      </c>
      <c r="V742" t="s">
        <v>12079</v>
      </c>
      <c r="W742" t="s">
        <v>12080</v>
      </c>
      <c r="X742" t="s">
        <v>12081</v>
      </c>
      <c r="Y742" t="s">
        <v>12082</v>
      </c>
      <c r="Z742" t="s">
        <v>12083</v>
      </c>
      <c r="AA742" t="s">
        <v>12084</v>
      </c>
      <c r="AB742" t="s">
        <v>12085</v>
      </c>
      <c r="AC742" t="s">
        <v>12086</v>
      </c>
      <c r="AD742" t="s">
        <v>482</v>
      </c>
      <c r="AE742" t="s">
        <v>12087</v>
      </c>
      <c r="AF742" t="s">
        <v>74</v>
      </c>
      <c r="AG742">
        <v>36</v>
      </c>
      <c r="AH742">
        <v>15</v>
      </c>
      <c r="AI742">
        <v>15</v>
      </c>
      <c r="AJ742">
        <v>13</v>
      </c>
      <c r="AK742">
        <v>32</v>
      </c>
      <c r="AL742" t="s">
        <v>138</v>
      </c>
      <c r="AM742" t="s">
        <v>139</v>
      </c>
      <c r="AN742" t="s">
        <v>140</v>
      </c>
      <c r="AO742" t="s">
        <v>141</v>
      </c>
      <c r="AP742" t="s">
        <v>142</v>
      </c>
      <c r="AQ742" t="s">
        <v>74</v>
      </c>
      <c r="AR742" t="s">
        <v>143</v>
      </c>
      <c r="AS742" t="s">
        <v>144</v>
      </c>
      <c r="AT742" t="s">
        <v>1008</v>
      </c>
      <c r="AU742">
        <v>2024</v>
      </c>
      <c r="AV742">
        <v>241</v>
      </c>
      <c r="AW742" t="s">
        <v>74</v>
      </c>
      <c r="AX742" t="s">
        <v>74</v>
      </c>
      <c r="AY742" t="s">
        <v>74</v>
      </c>
      <c r="AZ742" t="s">
        <v>74</v>
      </c>
      <c r="BA742" t="s">
        <v>74</v>
      </c>
      <c r="BB742" t="s">
        <v>74</v>
      </c>
      <c r="BC742" t="s">
        <v>74</v>
      </c>
      <c r="BD742">
        <v>109580</v>
      </c>
      <c r="BE742" t="s">
        <v>12088</v>
      </c>
      <c r="BF742" t="str">
        <f>HYPERLINK("http://dx.doi.org/10.1016/j.ress.2023.109580","http://dx.doi.org/10.1016/j.ress.2023.109580")</f>
        <v>http://dx.doi.org/10.1016/j.ress.2023.109580</v>
      </c>
      <c r="BG742" t="s">
        <v>74</v>
      </c>
      <c r="BH742" t="s">
        <v>147</v>
      </c>
      <c r="BI742">
        <v>11</v>
      </c>
      <c r="BJ742" t="s">
        <v>148</v>
      </c>
      <c r="BK742" t="s">
        <v>149</v>
      </c>
      <c r="BL742" t="s">
        <v>150</v>
      </c>
      <c r="BM742" t="s">
        <v>12089</v>
      </c>
      <c r="BN742" t="s">
        <v>74</v>
      </c>
      <c r="BO742" t="s">
        <v>74</v>
      </c>
      <c r="BP742" t="s">
        <v>74</v>
      </c>
      <c r="BQ742" t="s">
        <v>74</v>
      </c>
      <c r="BR742" t="s">
        <v>104</v>
      </c>
      <c r="BS742" t="s">
        <v>12090</v>
      </c>
      <c r="BT742" t="str">
        <f>HYPERLINK("https%3A%2F%2Fwww.webofscience.com%2Fwos%2Fwoscc%2Ffull-record%2FWOS:001076158600001","View Full Record in Web of Science")</f>
        <v>View Full Record in Web of Science</v>
      </c>
    </row>
    <row r="743" spans="1:72" x14ac:dyDescent="0.25">
      <c r="A743" t="s">
        <v>72</v>
      </c>
      <c r="B743" t="s">
        <v>12091</v>
      </c>
      <c r="C743" t="s">
        <v>74</v>
      </c>
      <c r="D743" t="s">
        <v>74</v>
      </c>
      <c r="E743" t="s">
        <v>74</v>
      </c>
      <c r="F743" t="s">
        <v>12092</v>
      </c>
      <c r="G743" t="s">
        <v>74</v>
      </c>
      <c r="H743" t="s">
        <v>74</v>
      </c>
      <c r="I743" t="s">
        <v>12093</v>
      </c>
      <c r="J743" t="s">
        <v>128</v>
      </c>
      <c r="K743" t="s">
        <v>74</v>
      </c>
      <c r="L743" t="s">
        <v>74</v>
      </c>
      <c r="M743" t="s">
        <v>78</v>
      </c>
      <c r="N743" t="s">
        <v>79</v>
      </c>
      <c r="O743" t="s">
        <v>74</v>
      </c>
      <c r="P743" t="s">
        <v>74</v>
      </c>
      <c r="Q743" t="s">
        <v>74</v>
      </c>
      <c r="R743" t="s">
        <v>74</v>
      </c>
      <c r="S743" t="s">
        <v>74</v>
      </c>
      <c r="T743" t="s">
        <v>12094</v>
      </c>
      <c r="U743" t="s">
        <v>12095</v>
      </c>
      <c r="V743" t="s">
        <v>12096</v>
      </c>
      <c r="W743" t="s">
        <v>12097</v>
      </c>
      <c r="X743" t="s">
        <v>12098</v>
      </c>
      <c r="Y743" t="s">
        <v>12099</v>
      </c>
      <c r="Z743" t="s">
        <v>12100</v>
      </c>
      <c r="AA743" t="s">
        <v>5738</v>
      </c>
      <c r="AB743" t="s">
        <v>74</v>
      </c>
      <c r="AC743" t="s">
        <v>11954</v>
      </c>
      <c r="AD743" t="s">
        <v>11955</v>
      </c>
      <c r="AE743" t="s">
        <v>11956</v>
      </c>
      <c r="AF743" t="s">
        <v>74</v>
      </c>
      <c r="AG743">
        <v>39</v>
      </c>
      <c r="AH743">
        <v>40</v>
      </c>
      <c r="AI743">
        <v>40</v>
      </c>
      <c r="AJ743">
        <v>5</v>
      </c>
      <c r="AK743">
        <v>15</v>
      </c>
      <c r="AL743" t="s">
        <v>138</v>
      </c>
      <c r="AM743" t="s">
        <v>246</v>
      </c>
      <c r="AN743" t="s">
        <v>247</v>
      </c>
      <c r="AO743" t="s">
        <v>141</v>
      </c>
      <c r="AP743" t="s">
        <v>142</v>
      </c>
      <c r="AQ743" t="s">
        <v>74</v>
      </c>
      <c r="AR743" t="s">
        <v>143</v>
      </c>
      <c r="AS743" t="s">
        <v>144</v>
      </c>
      <c r="AT743" t="s">
        <v>1202</v>
      </c>
      <c r="AU743">
        <v>2021</v>
      </c>
      <c r="AV743">
        <v>209</v>
      </c>
      <c r="AW743" t="s">
        <v>74</v>
      </c>
      <c r="AX743" t="s">
        <v>74</v>
      </c>
      <c r="AY743" t="s">
        <v>74</v>
      </c>
      <c r="AZ743" t="s">
        <v>74</v>
      </c>
      <c r="BA743" t="s">
        <v>74</v>
      </c>
      <c r="BB743" t="s">
        <v>74</v>
      </c>
      <c r="BC743" t="s">
        <v>74</v>
      </c>
      <c r="BD743">
        <v>107497</v>
      </c>
      <c r="BE743" t="s">
        <v>12101</v>
      </c>
      <c r="BF743" t="str">
        <f>HYPERLINK("http://dx.doi.org/10.1016/j.ress.2021.107497","http://dx.doi.org/10.1016/j.ress.2021.107497")</f>
        <v>http://dx.doi.org/10.1016/j.ress.2021.107497</v>
      </c>
      <c r="BG743" t="s">
        <v>74</v>
      </c>
      <c r="BH743" t="s">
        <v>639</v>
      </c>
      <c r="BI743">
        <v>9</v>
      </c>
      <c r="BJ743" t="s">
        <v>148</v>
      </c>
      <c r="BK743" t="s">
        <v>149</v>
      </c>
      <c r="BL743" t="s">
        <v>150</v>
      </c>
      <c r="BM743" t="s">
        <v>7144</v>
      </c>
      <c r="BN743" t="s">
        <v>74</v>
      </c>
      <c r="BO743" t="s">
        <v>74</v>
      </c>
      <c r="BP743" t="s">
        <v>74</v>
      </c>
      <c r="BQ743" t="s">
        <v>74</v>
      </c>
      <c r="BR743" t="s">
        <v>104</v>
      </c>
      <c r="BS743" t="s">
        <v>12102</v>
      </c>
      <c r="BT743" t="str">
        <f>HYPERLINK("https%3A%2F%2Fwww.webofscience.com%2Fwos%2Fwoscc%2Ffull-record%2FWOS:000663909200043","View Full Record in Web of Science")</f>
        <v>View Full Record in Web of Science</v>
      </c>
    </row>
    <row r="744" spans="1:72" x14ac:dyDescent="0.25">
      <c r="A744" t="s">
        <v>72</v>
      </c>
      <c r="B744" t="s">
        <v>12103</v>
      </c>
      <c r="C744" t="s">
        <v>74</v>
      </c>
      <c r="D744" t="s">
        <v>74</v>
      </c>
      <c r="E744" t="s">
        <v>74</v>
      </c>
      <c r="F744" t="s">
        <v>12104</v>
      </c>
      <c r="G744" t="s">
        <v>74</v>
      </c>
      <c r="H744" t="s">
        <v>74</v>
      </c>
      <c r="I744" t="s">
        <v>12105</v>
      </c>
      <c r="J744" t="s">
        <v>128</v>
      </c>
      <c r="K744" t="s">
        <v>74</v>
      </c>
      <c r="L744" t="s">
        <v>74</v>
      </c>
      <c r="M744" t="s">
        <v>78</v>
      </c>
      <c r="N744" t="s">
        <v>79</v>
      </c>
      <c r="O744" t="s">
        <v>74</v>
      </c>
      <c r="P744" t="s">
        <v>74</v>
      </c>
      <c r="Q744" t="s">
        <v>74</v>
      </c>
      <c r="R744" t="s">
        <v>74</v>
      </c>
      <c r="S744" t="s">
        <v>74</v>
      </c>
      <c r="T744" t="s">
        <v>12106</v>
      </c>
      <c r="U744" t="s">
        <v>12107</v>
      </c>
      <c r="V744" t="s">
        <v>12108</v>
      </c>
      <c r="W744" t="s">
        <v>12109</v>
      </c>
      <c r="X744" t="s">
        <v>12110</v>
      </c>
      <c r="Y744" t="s">
        <v>12111</v>
      </c>
      <c r="Z744" t="s">
        <v>12112</v>
      </c>
      <c r="AA744" t="s">
        <v>12113</v>
      </c>
      <c r="AB744" t="s">
        <v>74</v>
      </c>
      <c r="AC744" t="s">
        <v>74</v>
      </c>
      <c r="AD744" t="s">
        <v>74</v>
      </c>
      <c r="AE744" t="s">
        <v>74</v>
      </c>
      <c r="AF744" t="s">
        <v>74</v>
      </c>
      <c r="AG744">
        <v>50</v>
      </c>
      <c r="AH744">
        <v>7</v>
      </c>
      <c r="AI744">
        <v>7</v>
      </c>
      <c r="AJ744">
        <v>4</v>
      </c>
      <c r="AK744">
        <v>10</v>
      </c>
      <c r="AL744" t="s">
        <v>138</v>
      </c>
      <c r="AM744" t="s">
        <v>139</v>
      </c>
      <c r="AN744" t="s">
        <v>140</v>
      </c>
      <c r="AO744" t="s">
        <v>141</v>
      </c>
      <c r="AP744" t="s">
        <v>142</v>
      </c>
      <c r="AQ744" t="s">
        <v>74</v>
      </c>
      <c r="AR744" t="s">
        <v>143</v>
      </c>
      <c r="AS744" t="s">
        <v>144</v>
      </c>
      <c r="AT744" t="s">
        <v>1008</v>
      </c>
      <c r="AU744">
        <v>2024</v>
      </c>
      <c r="AV744">
        <v>241</v>
      </c>
      <c r="AW744" t="s">
        <v>74</v>
      </c>
      <c r="AX744" t="s">
        <v>74</v>
      </c>
      <c r="AY744" t="s">
        <v>74</v>
      </c>
      <c r="AZ744" t="s">
        <v>74</v>
      </c>
      <c r="BA744" t="s">
        <v>74</v>
      </c>
      <c r="BB744" t="s">
        <v>74</v>
      </c>
      <c r="BC744" t="s">
        <v>74</v>
      </c>
      <c r="BD744">
        <v>109587</v>
      </c>
      <c r="BE744" t="s">
        <v>12114</v>
      </c>
      <c r="BF744" t="str">
        <f>HYPERLINK("http://dx.doi.org/10.1016/j.ress.2023.109587","http://dx.doi.org/10.1016/j.ress.2023.109587")</f>
        <v>http://dx.doi.org/10.1016/j.ress.2023.109587</v>
      </c>
      <c r="BG744" t="s">
        <v>74</v>
      </c>
      <c r="BH744" t="s">
        <v>147</v>
      </c>
      <c r="BI744">
        <v>12</v>
      </c>
      <c r="BJ744" t="s">
        <v>148</v>
      </c>
      <c r="BK744" t="s">
        <v>149</v>
      </c>
      <c r="BL744" t="s">
        <v>150</v>
      </c>
      <c r="BM744" t="s">
        <v>12115</v>
      </c>
      <c r="BN744" t="s">
        <v>74</v>
      </c>
      <c r="BO744" t="s">
        <v>74</v>
      </c>
      <c r="BP744" t="s">
        <v>74</v>
      </c>
      <c r="BQ744" t="s">
        <v>74</v>
      </c>
      <c r="BR744" t="s">
        <v>104</v>
      </c>
      <c r="BS744" t="s">
        <v>12116</v>
      </c>
      <c r="BT744" t="str">
        <f>HYPERLINK("https%3A%2F%2Fwww.webofscience.com%2Fwos%2Fwoscc%2Ffull-record%2FWOS:001158672000001","View Full Record in Web of Science")</f>
        <v>View Full Record in Web of Science</v>
      </c>
    </row>
    <row r="745" spans="1:72" x14ac:dyDescent="0.25">
      <c r="A745" t="s">
        <v>72</v>
      </c>
      <c r="B745" t="s">
        <v>12117</v>
      </c>
      <c r="C745" t="s">
        <v>74</v>
      </c>
      <c r="D745" t="s">
        <v>74</v>
      </c>
      <c r="E745" t="s">
        <v>74</v>
      </c>
      <c r="F745" t="s">
        <v>12118</v>
      </c>
      <c r="G745" t="s">
        <v>74</v>
      </c>
      <c r="H745" t="s">
        <v>74</v>
      </c>
      <c r="I745" t="s">
        <v>12119</v>
      </c>
      <c r="J745" t="s">
        <v>697</v>
      </c>
      <c r="K745" t="s">
        <v>74</v>
      </c>
      <c r="L745" t="s">
        <v>74</v>
      </c>
      <c r="M745" t="s">
        <v>78</v>
      </c>
      <c r="N745" t="s">
        <v>79</v>
      </c>
      <c r="O745" t="s">
        <v>74</v>
      </c>
      <c r="P745" t="s">
        <v>74</v>
      </c>
      <c r="Q745" t="s">
        <v>74</v>
      </c>
      <c r="R745" t="s">
        <v>74</v>
      </c>
      <c r="S745" t="s">
        <v>74</v>
      </c>
      <c r="T745" t="s">
        <v>12120</v>
      </c>
      <c r="U745" t="s">
        <v>12121</v>
      </c>
      <c r="V745" t="s">
        <v>12122</v>
      </c>
      <c r="W745" t="s">
        <v>12123</v>
      </c>
      <c r="X745" t="s">
        <v>4297</v>
      </c>
      <c r="Y745" t="s">
        <v>3794</v>
      </c>
      <c r="Z745" t="s">
        <v>12124</v>
      </c>
      <c r="AA745" t="s">
        <v>74</v>
      </c>
      <c r="AB745" t="s">
        <v>74</v>
      </c>
      <c r="AC745" t="s">
        <v>12125</v>
      </c>
      <c r="AD745" t="s">
        <v>12126</v>
      </c>
      <c r="AE745" t="s">
        <v>12127</v>
      </c>
      <c r="AF745" t="s">
        <v>74</v>
      </c>
      <c r="AG745">
        <v>41</v>
      </c>
      <c r="AH745">
        <v>23</v>
      </c>
      <c r="AI745">
        <v>23</v>
      </c>
      <c r="AJ745">
        <v>4</v>
      </c>
      <c r="AK745">
        <v>35</v>
      </c>
      <c r="AL745" t="s">
        <v>707</v>
      </c>
      <c r="AM745" t="s">
        <v>246</v>
      </c>
      <c r="AN745" t="s">
        <v>708</v>
      </c>
      <c r="AO745" t="s">
        <v>709</v>
      </c>
      <c r="AP745" t="s">
        <v>710</v>
      </c>
      <c r="AQ745" t="s">
        <v>74</v>
      </c>
      <c r="AR745" t="s">
        <v>711</v>
      </c>
      <c r="AS745" t="s">
        <v>712</v>
      </c>
      <c r="AT745" t="s">
        <v>559</v>
      </c>
      <c r="AU745">
        <v>2022</v>
      </c>
      <c r="AV745">
        <v>168</v>
      </c>
      <c r="AW745" t="s">
        <v>74</v>
      </c>
      <c r="AX745" t="s">
        <v>74</v>
      </c>
      <c r="AY745" t="s">
        <v>74</v>
      </c>
      <c r="AZ745" t="s">
        <v>74</v>
      </c>
      <c r="BA745" t="s">
        <v>74</v>
      </c>
      <c r="BB745" t="s">
        <v>74</v>
      </c>
      <c r="BC745" t="s">
        <v>74</v>
      </c>
      <c r="BD745">
        <v>108056</v>
      </c>
      <c r="BE745" t="s">
        <v>12128</v>
      </c>
      <c r="BF745" t="str">
        <f>HYPERLINK("http://dx.doi.org/10.1016/j.cie.2022.108056","http://dx.doi.org/10.1016/j.cie.2022.108056")</f>
        <v>http://dx.doi.org/10.1016/j.cie.2022.108056</v>
      </c>
      <c r="BG745" t="s">
        <v>74</v>
      </c>
      <c r="BH745" t="s">
        <v>813</v>
      </c>
      <c r="BI745">
        <v>16</v>
      </c>
      <c r="BJ745" t="s">
        <v>715</v>
      </c>
      <c r="BK745" t="s">
        <v>149</v>
      </c>
      <c r="BL745" t="s">
        <v>716</v>
      </c>
      <c r="BM745" t="s">
        <v>12129</v>
      </c>
      <c r="BN745" t="s">
        <v>74</v>
      </c>
      <c r="BO745" t="s">
        <v>74</v>
      </c>
      <c r="BP745" t="s">
        <v>74</v>
      </c>
      <c r="BQ745" t="s">
        <v>74</v>
      </c>
      <c r="BR745" t="s">
        <v>104</v>
      </c>
      <c r="BS745" t="s">
        <v>12130</v>
      </c>
      <c r="BT745" t="str">
        <f>HYPERLINK("https%3A%2F%2Fwww.webofscience.com%2Fwos%2Fwoscc%2Ffull-record%2FWOS:000793251700009","View Full Record in Web of Science")</f>
        <v>View Full Record in Web of Science</v>
      </c>
    </row>
    <row r="746" spans="1:72" x14ac:dyDescent="0.25">
      <c r="A746" t="s">
        <v>72</v>
      </c>
      <c r="B746" t="s">
        <v>12131</v>
      </c>
      <c r="C746" t="s">
        <v>74</v>
      </c>
      <c r="D746" t="s">
        <v>74</v>
      </c>
      <c r="E746" t="s">
        <v>74</v>
      </c>
      <c r="F746" t="s">
        <v>12132</v>
      </c>
      <c r="G746" t="s">
        <v>74</v>
      </c>
      <c r="H746" t="s">
        <v>74</v>
      </c>
      <c r="I746" t="s">
        <v>12133</v>
      </c>
      <c r="J746" t="s">
        <v>128</v>
      </c>
      <c r="K746" t="s">
        <v>74</v>
      </c>
      <c r="L746" t="s">
        <v>74</v>
      </c>
      <c r="M746" t="s">
        <v>78</v>
      </c>
      <c r="N746" t="s">
        <v>79</v>
      </c>
      <c r="O746" t="s">
        <v>74</v>
      </c>
      <c r="P746" t="s">
        <v>74</v>
      </c>
      <c r="Q746" t="s">
        <v>74</v>
      </c>
      <c r="R746" t="s">
        <v>74</v>
      </c>
      <c r="S746" t="s">
        <v>74</v>
      </c>
      <c r="T746" t="s">
        <v>12134</v>
      </c>
      <c r="U746" t="s">
        <v>12135</v>
      </c>
      <c r="V746" t="s">
        <v>12136</v>
      </c>
      <c r="W746" t="s">
        <v>12137</v>
      </c>
      <c r="X746" t="s">
        <v>12138</v>
      </c>
      <c r="Y746" t="s">
        <v>6530</v>
      </c>
      <c r="Z746" t="s">
        <v>4339</v>
      </c>
      <c r="AA746" t="s">
        <v>12139</v>
      </c>
      <c r="AB746" t="s">
        <v>74</v>
      </c>
      <c r="AC746" t="s">
        <v>12140</v>
      </c>
      <c r="AD746" t="s">
        <v>12141</v>
      </c>
      <c r="AE746" t="s">
        <v>12142</v>
      </c>
      <c r="AF746" t="s">
        <v>74</v>
      </c>
      <c r="AG746">
        <v>48</v>
      </c>
      <c r="AH746">
        <v>6</v>
      </c>
      <c r="AI746">
        <v>6</v>
      </c>
      <c r="AJ746">
        <v>22</v>
      </c>
      <c r="AK746">
        <v>36</v>
      </c>
      <c r="AL746" t="s">
        <v>138</v>
      </c>
      <c r="AM746" t="s">
        <v>139</v>
      </c>
      <c r="AN746" t="s">
        <v>140</v>
      </c>
      <c r="AO746" t="s">
        <v>141</v>
      </c>
      <c r="AP746" t="s">
        <v>142</v>
      </c>
      <c r="AQ746" t="s">
        <v>74</v>
      </c>
      <c r="AR746" t="s">
        <v>143</v>
      </c>
      <c r="AS746" t="s">
        <v>144</v>
      </c>
      <c r="AT746" t="s">
        <v>205</v>
      </c>
      <c r="AU746">
        <v>2023</v>
      </c>
      <c r="AV746">
        <v>237</v>
      </c>
      <c r="AW746" t="s">
        <v>74</v>
      </c>
      <c r="AX746" t="s">
        <v>74</v>
      </c>
      <c r="AY746" t="s">
        <v>74</v>
      </c>
      <c r="AZ746" t="s">
        <v>74</v>
      </c>
      <c r="BA746" t="s">
        <v>74</v>
      </c>
      <c r="BB746" t="s">
        <v>74</v>
      </c>
      <c r="BC746" t="s">
        <v>74</v>
      </c>
      <c r="BD746">
        <v>109331</v>
      </c>
      <c r="BE746" t="s">
        <v>12143</v>
      </c>
      <c r="BF746" t="str">
        <f>HYPERLINK("http://dx.doi.org/10.1016/j.ress.2023.109331","http://dx.doi.org/10.1016/j.ress.2023.109331")</f>
        <v>http://dx.doi.org/10.1016/j.ress.2023.109331</v>
      </c>
      <c r="BG746" t="s">
        <v>74</v>
      </c>
      <c r="BH746" t="s">
        <v>2390</v>
      </c>
      <c r="BI746">
        <v>16</v>
      </c>
      <c r="BJ746" t="s">
        <v>148</v>
      </c>
      <c r="BK746" t="s">
        <v>149</v>
      </c>
      <c r="BL746" t="s">
        <v>150</v>
      </c>
      <c r="BM746" t="s">
        <v>12144</v>
      </c>
      <c r="BN746" t="s">
        <v>74</v>
      </c>
      <c r="BO746" t="s">
        <v>74</v>
      </c>
      <c r="BP746" t="s">
        <v>74</v>
      </c>
      <c r="BQ746" t="s">
        <v>74</v>
      </c>
      <c r="BR746" t="s">
        <v>104</v>
      </c>
      <c r="BS746" t="s">
        <v>12145</v>
      </c>
      <c r="BT746" t="str">
        <f>HYPERLINK("https%3A%2F%2Fwww.webofscience.com%2Fwos%2Fwoscc%2Ffull-record%2FWOS:001010780700001","View Full Record in Web of Science")</f>
        <v>View Full Record in Web of Science</v>
      </c>
    </row>
    <row r="747" spans="1:72" x14ac:dyDescent="0.25">
      <c r="A747" t="s">
        <v>72</v>
      </c>
      <c r="B747" t="s">
        <v>12146</v>
      </c>
      <c r="C747" t="s">
        <v>74</v>
      </c>
      <c r="D747" t="s">
        <v>74</v>
      </c>
      <c r="E747" t="s">
        <v>74</v>
      </c>
      <c r="F747" t="s">
        <v>12147</v>
      </c>
      <c r="G747" t="s">
        <v>74</v>
      </c>
      <c r="H747" t="s">
        <v>74</v>
      </c>
      <c r="I747" t="s">
        <v>12148</v>
      </c>
      <c r="J747" t="s">
        <v>128</v>
      </c>
      <c r="K747" t="s">
        <v>74</v>
      </c>
      <c r="L747" t="s">
        <v>74</v>
      </c>
      <c r="M747" t="s">
        <v>78</v>
      </c>
      <c r="N747" t="s">
        <v>79</v>
      </c>
      <c r="O747" t="s">
        <v>74</v>
      </c>
      <c r="P747" t="s">
        <v>74</v>
      </c>
      <c r="Q747" t="s">
        <v>74</v>
      </c>
      <c r="R747" t="s">
        <v>74</v>
      </c>
      <c r="S747" t="s">
        <v>74</v>
      </c>
      <c r="T747" t="s">
        <v>12149</v>
      </c>
      <c r="U747" t="s">
        <v>12150</v>
      </c>
      <c r="V747" t="s">
        <v>12151</v>
      </c>
      <c r="W747" t="s">
        <v>12152</v>
      </c>
      <c r="X747" t="s">
        <v>4887</v>
      </c>
      <c r="Y747" t="s">
        <v>12153</v>
      </c>
      <c r="Z747" t="s">
        <v>12154</v>
      </c>
      <c r="AA747" t="s">
        <v>9980</v>
      </c>
      <c r="AB747" t="s">
        <v>9981</v>
      </c>
      <c r="AC747" t="s">
        <v>3365</v>
      </c>
      <c r="AD747" t="s">
        <v>482</v>
      </c>
      <c r="AE747" t="s">
        <v>12155</v>
      </c>
      <c r="AF747" t="s">
        <v>74</v>
      </c>
      <c r="AG747">
        <v>46</v>
      </c>
      <c r="AH747">
        <v>52</v>
      </c>
      <c r="AI747">
        <v>56</v>
      </c>
      <c r="AJ747">
        <v>2</v>
      </c>
      <c r="AK747">
        <v>85</v>
      </c>
      <c r="AL747" t="s">
        <v>138</v>
      </c>
      <c r="AM747" t="s">
        <v>246</v>
      </c>
      <c r="AN747" t="s">
        <v>247</v>
      </c>
      <c r="AO747" t="s">
        <v>141</v>
      </c>
      <c r="AP747" t="s">
        <v>142</v>
      </c>
      <c r="AQ747" t="s">
        <v>74</v>
      </c>
      <c r="AR747" t="s">
        <v>143</v>
      </c>
      <c r="AS747" t="s">
        <v>144</v>
      </c>
      <c r="AT747" t="s">
        <v>1008</v>
      </c>
      <c r="AU747">
        <v>2019</v>
      </c>
      <c r="AV747">
        <v>181</v>
      </c>
      <c r="AW747" t="s">
        <v>74</v>
      </c>
      <c r="AX747" t="s">
        <v>74</v>
      </c>
      <c r="AY747" t="s">
        <v>74</v>
      </c>
      <c r="AZ747" t="s">
        <v>74</v>
      </c>
      <c r="BA747" t="s">
        <v>74</v>
      </c>
      <c r="BB747">
        <v>202</v>
      </c>
      <c r="BC747">
        <v>212</v>
      </c>
      <c r="BD747" t="s">
        <v>74</v>
      </c>
      <c r="BE747" t="s">
        <v>12156</v>
      </c>
      <c r="BF747" t="str">
        <f>HYPERLINK("http://dx.doi.org/10.1016/j.ress.2018.10.002","http://dx.doi.org/10.1016/j.ress.2018.10.002")</f>
        <v>http://dx.doi.org/10.1016/j.ress.2018.10.002</v>
      </c>
      <c r="BG747" t="s">
        <v>74</v>
      </c>
      <c r="BH747" t="s">
        <v>74</v>
      </c>
      <c r="BI747">
        <v>11</v>
      </c>
      <c r="BJ747" t="s">
        <v>148</v>
      </c>
      <c r="BK747" t="s">
        <v>149</v>
      </c>
      <c r="BL747" t="s">
        <v>150</v>
      </c>
      <c r="BM747" t="s">
        <v>12157</v>
      </c>
      <c r="BN747" t="s">
        <v>74</v>
      </c>
      <c r="BO747" t="s">
        <v>74</v>
      </c>
      <c r="BP747" t="s">
        <v>74</v>
      </c>
      <c r="BQ747" t="s">
        <v>74</v>
      </c>
      <c r="BR747" t="s">
        <v>104</v>
      </c>
      <c r="BS747" t="s">
        <v>12158</v>
      </c>
      <c r="BT747" t="str">
        <f>HYPERLINK("https%3A%2F%2Fwww.webofscience.com%2Fwos%2Fwoscc%2Ffull-record%2FWOS:000449904100017","View Full Record in Web of Science")</f>
        <v>View Full Record in Web of Science</v>
      </c>
    </row>
    <row r="748" spans="1:72" x14ac:dyDescent="0.25">
      <c r="A748" t="s">
        <v>72</v>
      </c>
      <c r="B748" t="s">
        <v>8198</v>
      </c>
      <c r="C748" t="s">
        <v>74</v>
      </c>
      <c r="D748" t="s">
        <v>74</v>
      </c>
      <c r="E748" t="s">
        <v>74</v>
      </c>
      <c r="F748" t="s">
        <v>8199</v>
      </c>
      <c r="G748" t="s">
        <v>74</v>
      </c>
      <c r="H748" t="s">
        <v>74</v>
      </c>
      <c r="I748" t="s">
        <v>12159</v>
      </c>
      <c r="J748" t="s">
        <v>128</v>
      </c>
      <c r="K748" t="s">
        <v>74</v>
      </c>
      <c r="L748" t="s">
        <v>74</v>
      </c>
      <c r="M748" t="s">
        <v>78</v>
      </c>
      <c r="N748" t="s">
        <v>79</v>
      </c>
      <c r="O748" t="s">
        <v>74</v>
      </c>
      <c r="P748" t="s">
        <v>74</v>
      </c>
      <c r="Q748" t="s">
        <v>74</v>
      </c>
      <c r="R748" t="s">
        <v>74</v>
      </c>
      <c r="S748" t="s">
        <v>74</v>
      </c>
      <c r="T748" t="s">
        <v>12160</v>
      </c>
      <c r="U748" t="s">
        <v>12161</v>
      </c>
      <c r="V748" t="s">
        <v>12162</v>
      </c>
      <c r="W748" t="s">
        <v>12163</v>
      </c>
      <c r="X748" t="s">
        <v>8205</v>
      </c>
      <c r="Y748" t="s">
        <v>5736</v>
      </c>
      <c r="Z748" t="s">
        <v>12164</v>
      </c>
      <c r="AA748" t="s">
        <v>5738</v>
      </c>
      <c r="AB748" t="s">
        <v>12165</v>
      </c>
      <c r="AC748" t="s">
        <v>5740</v>
      </c>
      <c r="AD748" t="s">
        <v>5741</v>
      </c>
      <c r="AE748" t="s">
        <v>12166</v>
      </c>
      <c r="AF748" t="s">
        <v>74</v>
      </c>
      <c r="AG748">
        <v>36</v>
      </c>
      <c r="AH748">
        <v>5</v>
      </c>
      <c r="AI748">
        <v>5</v>
      </c>
      <c r="AJ748">
        <v>1</v>
      </c>
      <c r="AK748">
        <v>22</v>
      </c>
      <c r="AL748" t="s">
        <v>138</v>
      </c>
      <c r="AM748" t="s">
        <v>246</v>
      </c>
      <c r="AN748" t="s">
        <v>247</v>
      </c>
      <c r="AO748" t="s">
        <v>141</v>
      </c>
      <c r="AP748" t="s">
        <v>142</v>
      </c>
      <c r="AQ748" t="s">
        <v>74</v>
      </c>
      <c r="AR748" t="s">
        <v>143</v>
      </c>
      <c r="AS748" t="s">
        <v>144</v>
      </c>
      <c r="AT748" t="s">
        <v>275</v>
      </c>
      <c r="AU748">
        <v>2022</v>
      </c>
      <c r="AV748">
        <v>219</v>
      </c>
      <c r="AW748" t="s">
        <v>74</v>
      </c>
      <c r="AX748" t="s">
        <v>74</v>
      </c>
      <c r="AY748" t="s">
        <v>74</v>
      </c>
      <c r="AZ748" t="s">
        <v>74</v>
      </c>
      <c r="BA748" t="s">
        <v>74</v>
      </c>
      <c r="BB748" t="s">
        <v>74</v>
      </c>
      <c r="BC748" t="s">
        <v>74</v>
      </c>
      <c r="BD748">
        <v>108266</v>
      </c>
      <c r="BE748" t="s">
        <v>12167</v>
      </c>
      <c r="BF748" t="str">
        <f>HYPERLINK("http://dx.doi.org/10.1016/j.ress.2021.108266","http://dx.doi.org/10.1016/j.ress.2021.108266")</f>
        <v>http://dx.doi.org/10.1016/j.ress.2021.108266</v>
      </c>
      <c r="BG748" t="s">
        <v>74</v>
      </c>
      <c r="BH748" t="s">
        <v>74</v>
      </c>
      <c r="BI748">
        <v>11</v>
      </c>
      <c r="BJ748" t="s">
        <v>148</v>
      </c>
      <c r="BK748" t="s">
        <v>149</v>
      </c>
      <c r="BL748" t="s">
        <v>150</v>
      </c>
      <c r="BM748" t="s">
        <v>2536</v>
      </c>
      <c r="BN748" t="s">
        <v>74</v>
      </c>
      <c r="BO748" t="s">
        <v>400</v>
      </c>
      <c r="BP748" t="s">
        <v>74</v>
      </c>
      <c r="BQ748" t="s">
        <v>74</v>
      </c>
      <c r="BR748" t="s">
        <v>104</v>
      </c>
      <c r="BS748" t="s">
        <v>12168</v>
      </c>
      <c r="BT748" t="str">
        <f>HYPERLINK("https%3A%2F%2Fwww.webofscience.com%2Fwos%2Fwoscc%2Ffull-record%2FWOS:000760341500052","View Full Record in Web of Science")</f>
        <v>View Full Record in Web of Science</v>
      </c>
    </row>
    <row r="749" spans="1:72" x14ac:dyDescent="0.25">
      <c r="A749" t="s">
        <v>72</v>
      </c>
      <c r="B749" t="s">
        <v>12169</v>
      </c>
      <c r="C749" t="s">
        <v>74</v>
      </c>
      <c r="D749" t="s">
        <v>74</v>
      </c>
      <c r="E749" t="s">
        <v>74</v>
      </c>
      <c r="F749" t="s">
        <v>12170</v>
      </c>
      <c r="G749" t="s">
        <v>74</v>
      </c>
      <c r="H749" t="s">
        <v>74</v>
      </c>
      <c r="I749" t="s">
        <v>12171</v>
      </c>
      <c r="J749" t="s">
        <v>542</v>
      </c>
      <c r="K749" t="s">
        <v>74</v>
      </c>
      <c r="L749" t="s">
        <v>74</v>
      </c>
      <c r="M749" t="s">
        <v>78</v>
      </c>
      <c r="N749" t="s">
        <v>79</v>
      </c>
      <c r="O749" t="s">
        <v>74</v>
      </c>
      <c r="P749" t="s">
        <v>74</v>
      </c>
      <c r="Q749" t="s">
        <v>74</v>
      </c>
      <c r="R749" t="s">
        <v>74</v>
      </c>
      <c r="S749" t="s">
        <v>74</v>
      </c>
      <c r="T749" t="s">
        <v>12172</v>
      </c>
      <c r="U749" t="s">
        <v>12173</v>
      </c>
      <c r="V749" t="s">
        <v>12174</v>
      </c>
      <c r="W749" t="s">
        <v>12175</v>
      </c>
      <c r="X749" t="s">
        <v>8195</v>
      </c>
      <c r="Y749" t="s">
        <v>12176</v>
      </c>
      <c r="Z749" t="s">
        <v>7661</v>
      </c>
      <c r="AA749" t="s">
        <v>74</v>
      </c>
      <c r="AB749" t="s">
        <v>3858</v>
      </c>
      <c r="AC749" t="s">
        <v>12177</v>
      </c>
      <c r="AD749" t="s">
        <v>12178</v>
      </c>
      <c r="AE749" t="s">
        <v>12179</v>
      </c>
      <c r="AF749" t="s">
        <v>74</v>
      </c>
      <c r="AG749">
        <v>47</v>
      </c>
      <c r="AH749">
        <v>6</v>
      </c>
      <c r="AI749">
        <v>6</v>
      </c>
      <c r="AJ749">
        <v>12</v>
      </c>
      <c r="AK749">
        <v>24</v>
      </c>
      <c r="AL749" t="s">
        <v>552</v>
      </c>
      <c r="AM749" t="s">
        <v>553</v>
      </c>
      <c r="AN749" t="s">
        <v>554</v>
      </c>
      <c r="AO749" t="s">
        <v>555</v>
      </c>
      <c r="AP749" t="s">
        <v>556</v>
      </c>
      <c r="AQ749" t="s">
        <v>74</v>
      </c>
      <c r="AR749" t="s">
        <v>557</v>
      </c>
      <c r="AS749" t="s">
        <v>558</v>
      </c>
      <c r="AT749" t="s">
        <v>2225</v>
      </c>
      <c r="AU749">
        <v>2024</v>
      </c>
      <c r="AV749">
        <v>238</v>
      </c>
      <c r="AW749">
        <v>4</v>
      </c>
      <c r="AX749" t="s">
        <v>74</v>
      </c>
      <c r="AY749" t="s">
        <v>74</v>
      </c>
      <c r="AZ749" t="s">
        <v>74</v>
      </c>
      <c r="BA749" t="s">
        <v>74</v>
      </c>
      <c r="BB749">
        <v>839</v>
      </c>
      <c r="BC749">
        <v>852</v>
      </c>
      <c r="BD749" t="s">
        <v>74</v>
      </c>
      <c r="BE749" t="s">
        <v>12180</v>
      </c>
      <c r="BF749" t="str">
        <f>HYPERLINK("http://dx.doi.org/10.1177/1748006X231170909","http://dx.doi.org/10.1177/1748006X231170909")</f>
        <v>http://dx.doi.org/10.1177/1748006X231170909</v>
      </c>
      <c r="BG749" t="s">
        <v>74</v>
      </c>
      <c r="BH749" t="s">
        <v>2390</v>
      </c>
      <c r="BI749">
        <v>14</v>
      </c>
      <c r="BJ749" t="s">
        <v>494</v>
      </c>
      <c r="BK749" t="s">
        <v>149</v>
      </c>
      <c r="BL749" t="s">
        <v>150</v>
      </c>
      <c r="BM749" t="s">
        <v>2391</v>
      </c>
      <c r="BN749" t="s">
        <v>74</v>
      </c>
      <c r="BO749" t="s">
        <v>74</v>
      </c>
      <c r="BP749" t="s">
        <v>74</v>
      </c>
      <c r="BQ749" t="s">
        <v>74</v>
      </c>
      <c r="BR749" t="s">
        <v>104</v>
      </c>
      <c r="BS749" t="s">
        <v>12181</v>
      </c>
      <c r="BT749" t="str">
        <f>HYPERLINK("https%3A%2F%2Fwww.webofscience.com%2Fwos%2Fwoscc%2Ffull-record%2FWOS:000984258800001","View Full Record in Web of Science")</f>
        <v>View Full Record in Web of Science</v>
      </c>
    </row>
    <row r="750" spans="1:72" x14ac:dyDescent="0.25">
      <c r="A750" t="s">
        <v>72</v>
      </c>
      <c r="B750" t="s">
        <v>12182</v>
      </c>
      <c r="C750" t="s">
        <v>74</v>
      </c>
      <c r="D750" t="s">
        <v>74</v>
      </c>
      <c r="E750" t="s">
        <v>74</v>
      </c>
      <c r="F750" t="s">
        <v>12183</v>
      </c>
      <c r="G750" t="s">
        <v>74</v>
      </c>
      <c r="H750" t="s">
        <v>74</v>
      </c>
      <c r="I750" t="s">
        <v>12184</v>
      </c>
      <c r="J750" t="s">
        <v>128</v>
      </c>
      <c r="K750" t="s">
        <v>74</v>
      </c>
      <c r="L750" t="s">
        <v>74</v>
      </c>
      <c r="M750" t="s">
        <v>78</v>
      </c>
      <c r="N750" t="s">
        <v>79</v>
      </c>
      <c r="O750" t="s">
        <v>74</v>
      </c>
      <c r="P750" t="s">
        <v>74</v>
      </c>
      <c r="Q750" t="s">
        <v>74</v>
      </c>
      <c r="R750" t="s">
        <v>74</v>
      </c>
      <c r="S750" t="s">
        <v>74</v>
      </c>
      <c r="T750" t="s">
        <v>12185</v>
      </c>
      <c r="U750" t="s">
        <v>12186</v>
      </c>
      <c r="V750" t="s">
        <v>12187</v>
      </c>
      <c r="W750" t="s">
        <v>12188</v>
      </c>
      <c r="X750" t="s">
        <v>12189</v>
      </c>
      <c r="Y750" t="s">
        <v>12190</v>
      </c>
      <c r="Z750" t="s">
        <v>12191</v>
      </c>
      <c r="AA750" t="s">
        <v>12192</v>
      </c>
      <c r="AB750" t="s">
        <v>11571</v>
      </c>
      <c r="AC750" t="s">
        <v>12193</v>
      </c>
      <c r="AD750" t="s">
        <v>482</v>
      </c>
      <c r="AE750" t="s">
        <v>12194</v>
      </c>
      <c r="AF750" t="s">
        <v>74</v>
      </c>
      <c r="AG750">
        <v>49</v>
      </c>
      <c r="AH750">
        <v>31</v>
      </c>
      <c r="AI750">
        <v>31</v>
      </c>
      <c r="AJ750">
        <v>3</v>
      </c>
      <c r="AK750">
        <v>32</v>
      </c>
      <c r="AL750" t="s">
        <v>138</v>
      </c>
      <c r="AM750" t="s">
        <v>246</v>
      </c>
      <c r="AN750" t="s">
        <v>247</v>
      </c>
      <c r="AO750" t="s">
        <v>141</v>
      </c>
      <c r="AP750" t="s">
        <v>142</v>
      </c>
      <c r="AQ750" t="s">
        <v>74</v>
      </c>
      <c r="AR750" t="s">
        <v>143</v>
      </c>
      <c r="AS750" t="s">
        <v>144</v>
      </c>
      <c r="AT750" t="s">
        <v>491</v>
      </c>
      <c r="AU750">
        <v>2019</v>
      </c>
      <c r="AV750">
        <v>191</v>
      </c>
      <c r="AW750" t="s">
        <v>74</v>
      </c>
      <c r="AX750" t="s">
        <v>74</v>
      </c>
      <c r="AY750" t="s">
        <v>74</v>
      </c>
      <c r="AZ750" t="s">
        <v>74</v>
      </c>
      <c r="BA750" t="s">
        <v>74</v>
      </c>
      <c r="BB750" t="s">
        <v>74</v>
      </c>
      <c r="BC750" t="s">
        <v>74</v>
      </c>
      <c r="BD750">
        <v>106556</v>
      </c>
      <c r="BE750" t="s">
        <v>12195</v>
      </c>
      <c r="BF750" t="str">
        <f>HYPERLINK("http://dx.doi.org/10.1016/j.ress.2019.106556","http://dx.doi.org/10.1016/j.ress.2019.106556")</f>
        <v>http://dx.doi.org/10.1016/j.ress.2019.106556</v>
      </c>
      <c r="BG750" t="s">
        <v>74</v>
      </c>
      <c r="BH750" t="s">
        <v>74</v>
      </c>
      <c r="BI750">
        <v>10</v>
      </c>
      <c r="BJ750" t="s">
        <v>148</v>
      </c>
      <c r="BK750" t="s">
        <v>149</v>
      </c>
      <c r="BL750" t="s">
        <v>150</v>
      </c>
      <c r="BM750" t="s">
        <v>3322</v>
      </c>
      <c r="BN750" t="s">
        <v>74</v>
      </c>
      <c r="BO750" t="s">
        <v>74</v>
      </c>
      <c r="BP750" t="s">
        <v>74</v>
      </c>
      <c r="BQ750" t="s">
        <v>74</v>
      </c>
      <c r="BR750" t="s">
        <v>104</v>
      </c>
      <c r="BS750" t="s">
        <v>12196</v>
      </c>
      <c r="BT750" t="str">
        <f>HYPERLINK("https%3A%2F%2Fwww.webofscience.com%2Fwos%2Fwoscc%2Ffull-record%2FWOS:000491685000023","View Full Record in Web of Science")</f>
        <v>View Full Record in Web of Science</v>
      </c>
    </row>
    <row r="751" spans="1:72" x14ac:dyDescent="0.25">
      <c r="A751" t="s">
        <v>72</v>
      </c>
      <c r="B751" t="s">
        <v>12197</v>
      </c>
      <c r="C751" t="s">
        <v>74</v>
      </c>
      <c r="D751" t="s">
        <v>74</v>
      </c>
      <c r="E751" t="s">
        <v>74</v>
      </c>
      <c r="F751" t="s">
        <v>12198</v>
      </c>
      <c r="G751" t="s">
        <v>74</v>
      </c>
      <c r="H751" t="s">
        <v>74</v>
      </c>
      <c r="I751" t="s">
        <v>12199</v>
      </c>
      <c r="J751" t="s">
        <v>697</v>
      </c>
      <c r="K751" t="s">
        <v>74</v>
      </c>
      <c r="L751" t="s">
        <v>74</v>
      </c>
      <c r="M751" t="s">
        <v>78</v>
      </c>
      <c r="N751" t="s">
        <v>79</v>
      </c>
      <c r="O751" t="s">
        <v>74</v>
      </c>
      <c r="P751" t="s">
        <v>74</v>
      </c>
      <c r="Q751" t="s">
        <v>74</v>
      </c>
      <c r="R751" t="s">
        <v>74</v>
      </c>
      <c r="S751" t="s">
        <v>74</v>
      </c>
      <c r="T751" t="s">
        <v>12200</v>
      </c>
      <c r="U751" t="s">
        <v>12201</v>
      </c>
      <c r="V751" t="s">
        <v>12202</v>
      </c>
      <c r="W751" t="s">
        <v>12203</v>
      </c>
      <c r="X751" t="s">
        <v>12204</v>
      </c>
      <c r="Y751" t="s">
        <v>12205</v>
      </c>
      <c r="Z751" t="s">
        <v>12206</v>
      </c>
      <c r="AA751" t="s">
        <v>12207</v>
      </c>
      <c r="AB751" t="s">
        <v>12208</v>
      </c>
      <c r="AC751" t="s">
        <v>12209</v>
      </c>
      <c r="AD751" t="s">
        <v>12210</v>
      </c>
      <c r="AE751" t="s">
        <v>12211</v>
      </c>
      <c r="AF751" t="s">
        <v>74</v>
      </c>
      <c r="AG751">
        <v>40</v>
      </c>
      <c r="AH751">
        <v>10</v>
      </c>
      <c r="AI751">
        <v>10</v>
      </c>
      <c r="AJ751">
        <v>3</v>
      </c>
      <c r="AK751">
        <v>21</v>
      </c>
      <c r="AL751" t="s">
        <v>707</v>
      </c>
      <c r="AM751" t="s">
        <v>246</v>
      </c>
      <c r="AN751" t="s">
        <v>708</v>
      </c>
      <c r="AO751" t="s">
        <v>709</v>
      </c>
      <c r="AP751" t="s">
        <v>710</v>
      </c>
      <c r="AQ751" t="s">
        <v>74</v>
      </c>
      <c r="AR751" t="s">
        <v>711</v>
      </c>
      <c r="AS751" t="s">
        <v>712</v>
      </c>
      <c r="AT751" t="s">
        <v>1076</v>
      </c>
      <c r="AU751">
        <v>2021</v>
      </c>
      <c r="AV751">
        <v>160</v>
      </c>
      <c r="AW751" t="s">
        <v>74</v>
      </c>
      <c r="AX751" t="s">
        <v>74</v>
      </c>
      <c r="AY751" t="s">
        <v>74</v>
      </c>
      <c r="AZ751" t="s">
        <v>74</v>
      </c>
      <c r="BA751" t="s">
        <v>74</v>
      </c>
      <c r="BB751" t="s">
        <v>74</v>
      </c>
      <c r="BC751" t="s">
        <v>74</v>
      </c>
      <c r="BD751">
        <v>107599</v>
      </c>
      <c r="BE751" t="s">
        <v>12212</v>
      </c>
      <c r="BF751" t="str">
        <f>HYPERLINK("http://dx.doi.org/10.1016/j.cie.2021.107599","http://dx.doi.org/10.1016/j.cie.2021.107599")</f>
        <v>http://dx.doi.org/10.1016/j.cie.2021.107599</v>
      </c>
      <c r="BG751" t="s">
        <v>74</v>
      </c>
      <c r="BH751" t="s">
        <v>2573</v>
      </c>
      <c r="BI751">
        <v>10</v>
      </c>
      <c r="BJ751" t="s">
        <v>715</v>
      </c>
      <c r="BK751" t="s">
        <v>149</v>
      </c>
      <c r="BL751" t="s">
        <v>716</v>
      </c>
      <c r="BM751" t="s">
        <v>5287</v>
      </c>
      <c r="BN751" t="s">
        <v>74</v>
      </c>
      <c r="BO751" t="s">
        <v>74</v>
      </c>
      <c r="BP751" t="s">
        <v>74</v>
      </c>
      <c r="BQ751" t="s">
        <v>74</v>
      </c>
      <c r="BR751" t="s">
        <v>104</v>
      </c>
      <c r="BS751" t="s">
        <v>12213</v>
      </c>
      <c r="BT751" t="str">
        <f>HYPERLINK("https%3A%2F%2Fwww.webofscience.com%2Fwos%2Fwoscc%2Ffull-record%2FWOS:000696311000011","View Full Record in Web of Science")</f>
        <v>View Full Record in Web of Science</v>
      </c>
    </row>
    <row r="752" spans="1:72" x14ac:dyDescent="0.25">
      <c r="A752" t="s">
        <v>72</v>
      </c>
      <c r="B752" t="s">
        <v>12214</v>
      </c>
      <c r="C752" t="s">
        <v>74</v>
      </c>
      <c r="D752" t="s">
        <v>74</v>
      </c>
      <c r="E752" t="s">
        <v>74</v>
      </c>
      <c r="F752" t="s">
        <v>12215</v>
      </c>
      <c r="G752" t="s">
        <v>74</v>
      </c>
      <c r="H752" t="s">
        <v>74</v>
      </c>
      <c r="I752" t="s">
        <v>12216</v>
      </c>
      <c r="J752" t="s">
        <v>1932</v>
      </c>
      <c r="K752" t="s">
        <v>74</v>
      </c>
      <c r="L752" t="s">
        <v>74</v>
      </c>
      <c r="M752" t="s">
        <v>78</v>
      </c>
      <c r="N752" t="s">
        <v>79</v>
      </c>
      <c r="O752" t="s">
        <v>74</v>
      </c>
      <c r="P752" t="s">
        <v>74</v>
      </c>
      <c r="Q752" t="s">
        <v>74</v>
      </c>
      <c r="R752" t="s">
        <v>74</v>
      </c>
      <c r="S752" t="s">
        <v>74</v>
      </c>
      <c r="T752" t="s">
        <v>12217</v>
      </c>
      <c r="U752" t="s">
        <v>12218</v>
      </c>
      <c r="V752" t="s">
        <v>12219</v>
      </c>
      <c r="W752" t="s">
        <v>12220</v>
      </c>
      <c r="X752" t="s">
        <v>12221</v>
      </c>
      <c r="Y752" t="s">
        <v>12222</v>
      </c>
      <c r="Z752" t="s">
        <v>12223</v>
      </c>
      <c r="AA752" t="s">
        <v>74</v>
      </c>
      <c r="AB752" t="s">
        <v>12224</v>
      </c>
      <c r="AC752" t="s">
        <v>12225</v>
      </c>
      <c r="AD752" t="s">
        <v>12226</v>
      </c>
      <c r="AE752" t="s">
        <v>12227</v>
      </c>
      <c r="AF752" t="s">
        <v>74</v>
      </c>
      <c r="AG752">
        <v>31</v>
      </c>
      <c r="AH752">
        <v>8</v>
      </c>
      <c r="AI752">
        <v>8</v>
      </c>
      <c r="AJ752">
        <v>1</v>
      </c>
      <c r="AK752">
        <v>6</v>
      </c>
      <c r="AL752" t="s">
        <v>311</v>
      </c>
      <c r="AM752" t="s">
        <v>312</v>
      </c>
      <c r="AN752" t="s">
        <v>313</v>
      </c>
      <c r="AO752" t="s">
        <v>1945</v>
      </c>
      <c r="AP752" t="s">
        <v>1946</v>
      </c>
      <c r="AQ752" t="s">
        <v>74</v>
      </c>
      <c r="AR752" t="s">
        <v>1947</v>
      </c>
      <c r="AS752" t="s">
        <v>1948</v>
      </c>
      <c r="AT752" t="s">
        <v>1649</v>
      </c>
      <c r="AU752">
        <v>2024</v>
      </c>
      <c r="AV752">
        <v>21</v>
      </c>
      <c r="AW752">
        <v>1</v>
      </c>
      <c r="AX752" t="s">
        <v>74</v>
      </c>
      <c r="AY752" t="s">
        <v>74</v>
      </c>
      <c r="AZ752" t="s">
        <v>74</v>
      </c>
      <c r="BA752" t="s">
        <v>74</v>
      </c>
      <c r="BB752">
        <v>72</v>
      </c>
      <c r="BC752">
        <v>87</v>
      </c>
      <c r="BD752" t="s">
        <v>74</v>
      </c>
      <c r="BE752" t="s">
        <v>12228</v>
      </c>
      <c r="BF752" t="str">
        <f>HYPERLINK("http://dx.doi.org/10.1080/16843703.2023.2165288","http://dx.doi.org/10.1080/16843703.2023.2165288")</f>
        <v>http://dx.doi.org/10.1080/16843703.2023.2165288</v>
      </c>
      <c r="BG752" t="s">
        <v>74</v>
      </c>
      <c r="BH752" t="s">
        <v>2984</v>
      </c>
      <c r="BI752">
        <v>16</v>
      </c>
      <c r="BJ752" t="s">
        <v>1951</v>
      </c>
      <c r="BK752" t="s">
        <v>149</v>
      </c>
      <c r="BL752" t="s">
        <v>1952</v>
      </c>
      <c r="BM752" t="s">
        <v>12229</v>
      </c>
      <c r="BN752" t="s">
        <v>74</v>
      </c>
      <c r="BO752" t="s">
        <v>74</v>
      </c>
      <c r="BP752" t="s">
        <v>74</v>
      </c>
      <c r="BQ752" t="s">
        <v>74</v>
      </c>
      <c r="BR752" t="s">
        <v>104</v>
      </c>
      <c r="BS752" t="s">
        <v>12230</v>
      </c>
      <c r="BT752" t="str">
        <f>HYPERLINK("https%3A%2F%2Fwww.webofscience.com%2Fwos%2Fwoscc%2Ffull-record%2FWOS:000911298400001","View Full Record in Web of Science")</f>
        <v>View Full Record in Web of Science</v>
      </c>
    </row>
    <row r="753" spans="1:72" x14ac:dyDescent="0.25">
      <c r="A753" t="s">
        <v>72</v>
      </c>
      <c r="B753" t="s">
        <v>12231</v>
      </c>
      <c r="C753" t="s">
        <v>74</v>
      </c>
      <c r="D753" t="s">
        <v>74</v>
      </c>
      <c r="E753" t="s">
        <v>74</v>
      </c>
      <c r="F753" t="s">
        <v>12232</v>
      </c>
      <c r="G753" t="s">
        <v>74</v>
      </c>
      <c r="H753" t="s">
        <v>74</v>
      </c>
      <c r="I753" t="s">
        <v>12233</v>
      </c>
      <c r="J753" t="s">
        <v>128</v>
      </c>
      <c r="K753" t="s">
        <v>74</v>
      </c>
      <c r="L753" t="s">
        <v>74</v>
      </c>
      <c r="M753" t="s">
        <v>78</v>
      </c>
      <c r="N753" t="s">
        <v>79</v>
      </c>
      <c r="O753" t="s">
        <v>74</v>
      </c>
      <c r="P753" t="s">
        <v>74</v>
      </c>
      <c r="Q753" t="s">
        <v>74</v>
      </c>
      <c r="R753" t="s">
        <v>74</v>
      </c>
      <c r="S753" t="s">
        <v>74</v>
      </c>
      <c r="T753" t="s">
        <v>12234</v>
      </c>
      <c r="U753" t="s">
        <v>12235</v>
      </c>
      <c r="V753" t="s">
        <v>12236</v>
      </c>
      <c r="W753" t="s">
        <v>12237</v>
      </c>
      <c r="X753" t="s">
        <v>12238</v>
      </c>
      <c r="Y753" t="s">
        <v>12239</v>
      </c>
      <c r="Z753" t="s">
        <v>10669</v>
      </c>
      <c r="AA753" t="s">
        <v>12240</v>
      </c>
      <c r="AB753" t="s">
        <v>74</v>
      </c>
      <c r="AC753" t="s">
        <v>12241</v>
      </c>
      <c r="AD753" t="s">
        <v>12242</v>
      </c>
      <c r="AE753" t="s">
        <v>12243</v>
      </c>
      <c r="AF753" t="s">
        <v>74</v>
      </c>
      <c r="AG753">
        <v>41</v>
      </c>
      <c r="AH753">
        <v>33</v>
      </c>
      <c r="AI753">
        <v>36</v>
      </c>
      <c r="AJ753">
        <v>10</v>
      </c>
      <c r="AK753">
        <v>46</v>
      </c>
      <c r="AL753" t="s">
        <v>138</v>
      </c>
      <c r="AM753" t="s">
        <v>246</v>
      </c>
      <c r="AN753" t="s">
        <v>247</v>
      </c>
      <c r="AO753" t="s">
        <v>141</v>
      </c>
      <c r="AP753" t="s">
        <v>142</v>
      </c>
      <c r="AQ753" t="s">
        <v>74</v>
      </c>
      <c r="AR753" t="s">
        <v>143</v>
      </c>
      <c r="AS753" t="s">
        <v>144</v>
      </c>
      <c r="AT753" t="s">
        <v>491</v>
      </c>
      <c r="AU753">
        <v>2021</v>
      </c>
      <c r="AV753">
        <v>215</v>
      </c>
      <c r="AW753" t="s">
        <v>74</v>
      </c>
      <c r="AX753" t="s">
        <v>74</v>
      </c>
      <c r="AY753" t="s">
        <v>74</v>
      </c>
      <c r="AZ753" t="s">
        <v>74</v>
      </c>
      <c r="BA753" t="s">
        <v>74</v>
      </c>
      <c r="BB753" t="s">
        <v>74</v>
      </c>
      <c r="BC753" t="s">
        <v>74</v>
      </c>
      <c r="BD753">
        <v>107811</v>
      </c>
      <c r="BE753" t="s">
        <v>12244</v>
      </c>
      <c r="BF753" t="str">
        <f>HYPERLINK("http://dx.doi.org/10.1016/j.ress.2021.107811","http://dx.doi.org/10.1016/j.ress.2021.107811")</f>
        <v>http://dx.doi.org/10.1016/j.ress.2021.107811</v>
      </c>
      <c r="BG753" t="s">
        <v>74</v>
      </c>
      <c r="BH753" t="s">
        <v>1771</v>
      </c>
      <c r="BI753">
        <v>11</v>
      </c>
      <c r="BJ753" t="s">
        <v>148</v>
      </c>
      <c r="BK753" t="s">
        <v>149</v>
      </c>
      <c r="BL753" t="s">
        <v>150</v>
      </c>
      <c r="BM753" t="s">
        <v>2260</v>
      </c>
      <c r="BN753" t="s">
        <v>74</v>
      </c>
      <c r="BO753" t="s">
        <v>74</v>
      </c>
      <c r="BP753" t="s">
        <v>74</v>
      </c>
      <c r="BQ753" t="s">
        <v>74</v>
      </c>
      <c r="BR753" t="s">
        <v>104</v>
      </c>
      <c r="BS753" t="s">
        <v>12245</v>
      </c>
      <c r="BT753" t="str">
        <f>HYPERLINK("https%3A%2F%2Fwww.webofscience.com%2Fwos%2Fwoscc%2Ffull-record%2FWOS:000690283800022","View Full Record in Web of Science")</f>
        <v>View Full Record in Web of Science</v>
      </c>
    </row>
    <row r="754" spans="1:72" x14ac:dyDescent="0.25">
      <c r="A754" t="s">
        <v>72</v>
      </c>
      <c r="B754" t="s">
        <v>12246</v>
      </c>
      <c r="C754" t="s">
        <v>74</v>
      </c>
      <c r="D754" t="s">
        <v>74</v>
      </c>
      <c r="E754" t="s">
        <v>74</v>
      </c>
      <c r="F754" t="s">
        <v>12247</v>
      </c>
      <c r="G754" t="s">
        <v>74</v>
      </c>
      <c r="H754" t="s">
        <v>74</v>
      </c>
      <c r="I754" t="s">
        <v>12248</v>
      </c>
      <c r="J754" t="s">
        <v>128</v>
      </c>
      <c r="K754" t="s">
        <v>74</v>
      </c>
      <c r="L754" t="s">
        <v>74</v>
      </c>
      <c r="M754" t="s">
        <v>78</v>
      </c>
      <c r="N754" t="s">
        <v>79</v>
      </c>
      <c r="O754" t="s">
        <v>74</v>
      </c>
      <c r="P754" t="s">
        <v>74</v>
      </c>
      <c r="Q754" t="s">
        <v>74</v>
      </c>
      <c r="R754" t="s">
        <v>74</v>
      </c>
      <c r="S754" t="s">
        <v>74</v>
      </c>
      <c r="T754" t="s">
        <v>12249</v>
      </c>
      <c r="U754" t="s">
        <v>12250</v>
      </c>
      <c r="V754" t="s">
        <v>12251</v>
      </c>
      <c r="W754" t="s">
        <v>12252</v>
      </c>
      <c r="X754" t="s">
        <v>12253</v>
      </c>
      <c r="Y754" t="s">
        <v>12254</v>
      </c>
      <c r="Z754" t="s">
        <v>12255</v>
      </c>
      <c r="AA754" t="s">
        <v>5346</v>
      </c>
      <c r="AB754" t="s">
        <v>12256</v>
      </c>
      <c r="AC754" t="s">
        <v>74</v>
      </c>
      <c r="AD754" t="s">
        <v>74</v>
      </c>
      <c r="AE754" t="s">
        <v>74</v>
      </c>
      <c r="AF754" t="s">
        <v>74</v>
      </c>
      <c r="AG754">
        <v>42</v>
      </c>
      <c r="AH754">
        <v>43</v>
      </c>
      <c r="AI754">
        <v>44</v>
      </c>
      <c r="AJ754">
        <v>7</v>
      </c>
      <c r="AK754">
        <v>57</v>
      </c>
      <c r="AL754" t="s">
        <v>138</v>
      </c>
      <c r="AM754" t="s">
        <v>246</v>
      </c>
      <c r="AN754" t="s">
        <v>247</v>
      </c>
      <c r="AO754" t="s">
        <v>141</v>
      </c>
      <c r="AP754" t="s">
        <v>142</v>
      </c>
      <c r="AQ754" t="s">
        <v>74</v>
      </c>
      <c r="AR754" t="s">
        <v>143</v>
      </c>
      <c r="AS754" t="s">
        <v>144</v>
      </c>
      <c r="AT754" t="s">
        <v>1202</v>
      </c>
      <c r="AU754">
        <v>2020</v>
      </c>
      <c r="AV754">
        <v>197</v>
      </c>
      <c r="AW754" t="s">
        <v>74</v>
      </c>
      <c r="AX754" t="s">
        <v>74</v>
      </c>
      <c r="AY754" t="s">
        <v>74</v>
      </c>
      <c r="AZ754" t="s">
        <v>74</v>
      </c>
      <c r="BA754" t="s">
        <v>74</v>
      </c>
      <c r="BB754" t="s">
        <v>74</v>
      </c>
      <c r="BC754" t="s">
        <v>74</v>
      </c>
      <c r="BD754">
        <v>106784</v>
      </c>
      <c r="BE754" t="s">
        <v>12257</v>
      </c>
      <c r="BF754" t="str">
        <f>HYPERLINK("http://dx.doi.org/10.1016/j.ress.2019.106784","http://dx.doi.org/10.1016/j.ress.2019.106784")</f>
        <v>http://dx.doi.org/10.1016/j.ress.2019.106784</v>
      </c>
      <c r="BG754" t="s">
        <v>74</v>
      </c>
      <c r="BH754" t="s">
        <v>74</v>
      </c>
      <c r="BI754">
        <v>10</v>
      </c>
      <c r="BJ754" t="s">
        <v>148</v>
      </c>
      <c r="BK754" t="s">
        <v>149</v>
      </c>
      <c r="BL754" t="s">
        <v>150</v>
      </c>
      <c r="BM754" t="s">
        <v>12258</v>
      </c>
      <c r="BN754" t="s">
        <v>74</v>
      </c>
      <c r="BO754" t="s">
        <v>400</v>
      </c>
      <c r="BP754" t="s">
        <v>74</v>
      </c>
      <c r="BQ754" t="s">
        <v>74</v>
      </c>
      <c r="BR754" t="s">
        <v>104</v>
      </c>
      <c r="BS754" t="s">
        <v>12259</v>
      </c>
      <c r="BT754" t="str">
        <f>HYPERLINK("https%3A%2F%2Fwww.webofscience.com%2Fwos%2Fwoscc%2Ffull-record%2FWOS:000527842500008","View Full Record in Web of Science")</f>
        <v>View Full Record in Web of Science</v>
      </c>
    </row>
    <row r="755" spans="1:72" x14ac:dyDescent="0.25">
      <c r="A755" t="s">
        <v>72</v>
      </c>
      <c r="B755" t="s">
        <v>12260</v>
      </c>
      <c r="C755" t="s">
        <v>74</v>
      </c>
      <c r="D755" t="s">
        <v>74</v>
      </c>
      <c r="E755" t="s">
        <v>74</v>
      </c>
      <c r="F755" t="s">
        <v>12261</v>
      </c>
      <c r="G755" t="s">
        <v>74</v>
      </c>
      <c r="H755" t="s">
        <v>74</v>
      </c>
      <c r="I755" t="s">
        <v>12262</v>
      </c>
      <c r="J755" t="s">
        <v>995</v>
      </c>
      <c r="K755" t="s">
        <v>74</v>
      </c>
      <c r="L755" t="s">
        <v>74</v>
      </c>
      <c r="M755" t="s">
        <v>78</v>
      </c>
      <c r="N755" t="s">
        <v>79</v>
      </c>
      <c r="O755" t="s">
        <v>74</v>
      </c>
      <c r="P755" t="s">
        <v>74</v>
      </c>
      <c r="Q755" t="s">
        <v>74</v>
      </c>
      <c r="R755" t="s">
        <v>74</v>
      </c>
      <c r="S755" t="s">
        <v>74</v>
      </c>
      <c r="T755" t="s">
        <v>74</v>
      </c>
      <c r="U755" t="s">
        <v>12263</v>
      </c>
      <c r="V755" t="s">
        <v>12264</v>
      </c>
      <c r="W755" t="s">
        <v>12265</v>
      </c>
      <c r="X755" t="s">
        <v>12266</v>
      </c>
      <c r="Y755" t="s">
        <v>12267</v>
      </c>
      <c r="Z755" t="s">
        <v>12268</v>
      </c>
      <c r="AA755" t="s">
        <v>74</v>
      </c>
      <c r="AB755" t="s">
        <v>12269</v>
      </c>
      <c r="AC755" t="s">
        <v>74</v>
      </c>
      <c r="AD755" t="s">
        <v>74</v>
      </c>
      <c r="AE755" t="s">
        <v>74</v>
      </c>
      <c r="AF755" t="s">
        <v>74</v>
      </c>
      <c r="AG755">
        <v>73</v>
      </c>
      <c r="AH755">
        <v>5</v>
      </c>
      <c r="AI755">
        <v>7</v>
      </c>
      <c r="AJ755">
        <v>1</v>
      </c>
      <c r="AK755">
        <v>15</v>
      </c>
      <c r="AL755" t="s">
        <v>484</v>
      </c>
      <c r="AM755" t="s">
        <v>485</v>
      </c>
      <c r="AN755" t="s">
        <v>486</v>
      </c>
      <c r="AO755" t="s">
        <v>1004</v>
      </c>
      <c r="AP755" t="s">
        <v>1005</v>
      </c>
      <c r="AQ755" t="s">
        <v>74</v>
      </c>
      <c r="AR755" t="s">
        <v>1006</v>
      </c>
      <c r="AS755" t="s">
        <v>1007</v>
      </c>
      <c r="AT755" t="s">
        <v>205</v>
      </c>
      <c r="AU755">
        <v>2020</v>
      </c>
      <c r="AV755">
        <v>23</v>
      </c>
      <c r="AW755">
        <v>5</v>
      </c>
      <c r="AX755" t="s">
        <v>74</v>
      </c>
      <c r="AY755" t="s">
        <v>74</v>
      </c>
      <c r="AZ755" t="s">
        <v>74</v>
      </c>
      <c r="BA755" t="s">
        <v>74</v>
      </c>
      <c r="BB755">
        <v>633</v>
      </c>
      <c r="BC755">
        <v>655</v>
      </c>
      <c r="BD755" t="s">
        <v>74</v>
      </c>
      <c r="BE755" t="s">
        <v>12270</v>
      </c>
      <c r="BF755" t="str">
        <f>HYPERLINK("http://dx.doi.org/10.1002/sys.21555","http://dx.doi.org/10.1002/sys.21555")</f>
        <v>http://dx.doi.org/10.1002/sys.21555</v>
      </c>
      <c r="BG755" t="s">
        <v>74</v>
      </c>
      <c r="BH755" t="s">
        <v>320</v>
      </c>
      <c r="BI755">
        <v>23</v>
      </c>
      <c r="BJ755" t="s">
        <v>148</v>
      </c>
      <c r="BK755" t="s">
        <v>322</v>
      </c>
      <c r="BL755" t="s">
        <v>150</v>
      </c>
      <c r="BM755" t="s">
        <v>12271</v>
      </c>
      <c r="BN755" t="s">
        <v>74</v>
      </c>
      <c r="BO755" t="s">
        <v>74</v>
      </c>
      <c r="BP755" t="s">
        <v>74</v>
      </c>
      <c r="BQ755" t="s">
        <v>74</v>
      </c>
      <c r="BR755" t="s">
        <v>104</v>
      </c>
      <c r="BS755" t="s">
        <v>12272</v>
      </c>
      <c r="BT755" t="str">
        <f>HYPERLINK("https%3A%2F%2Fwww.webofscience.com%2Fwos%2Fwoscc%2Ffull-record%2FWOS:000560534300001","View Full Record in Web of Science")</f>
        <v>View Full Record in Web of Science</v>
      </c>
    </row>
    <row r="756" spans="1:72" x14ac:dyDescent="0.25">
      <c r="A756" t="s">
        <v>72</v>
      </c>
      <c r="B756" t="s">
        <v>12273</v>
      </c>
      <c r="C756" t="s">
        <v>74</v>
      </c>
      <c r="D756" t="s">
        <v>74</v>
      </c>
      <c r="E756" t="s">
        <v>74</v>
      </c>
      <c r="F756" t="s">
        <v>12274</v>
      </c>
      <c r="G756" t="s">
        <v>74</v>
      </c>
      <c r="H756" t="s">
        <v>74</v>
      </c>
      <c r="I756" t="s">
        <v>12275</v>
      </c>
      <c r="J756" t="s">
        <v>128</v>
      </c>
      <c r="K756" t="s">
        <v>74</v>
      </c>
      <c r="L756" t="s">
        <v>74</v>
      </c>
      <c r="M756" t="s">
        <v>78</v>
      </c>
      <c r="N756" t="s">
        <v>79</v>
      </c>
      <c r="O756" t="s">
        <v>74</v>
      </c>
      <c r="P756" t="s">
        <v>74</v>
      </c>
      <c r="Q756" t="s">
        <v>74</v>
      </c>
      <c r="R756" t="s">
        <v>74</v>
      </c>
      <c r="S756" t="s">
        <v>74</v>
      </c>
      <c r="T756" t="s">
        <v>12276</v>
      </c>
      <c r="U756" t="s">
        <v>12277</v>
      </c>
      <c r="V756" t="s">
        <v>12278</v>
      </c>
      <c r="W756" t="s">
        <v>12279</v>
      </c>
      <c r="X756" t="s">
        <v>12280</v>
      </c>
      <c r="Y756" t="s">
        <v>12281</v>
      </c>
      <c r="Z756" t="s">
        <v>12282</v>
      </c>
      <c r="AA756" t="s">
        <v>12283</v>
      </c>
      <c r="AB756" t="s">
        <v>74</v>
      </c>
      <c r="AC756" t="s">
        <v>12284</v>
      </c>
      <c r="AD756" t="s">
        <v>12285</v>
      </c>
      <c r="AE756" t="s">
        <v>12286</v>
      </c>
      <c r="AF756" t="s">
        <v>74</v>
      </c>
      <c r="AG756">
        <v>44</v>
      </c>
      <c r="AH756">
        <v>19</v>
      </c>
      <c r="AI756">
        <v>19</v>
      </c>
      <c r="AJ756">
        <v>4</v>
      </c>
      <c r="AK756">
        <v>39</v>
      </c>
      <c r="AL756" t="s">
        <v>138</v>
      </c>
      <c r="AM756" t="s">
        <v>246</v>
      </c>
      <c r="AN756" t="s">
        <v>247</v>
      </c>
      <c r="AO756" t="s">
        <v>141</v>
      </c>
      <c r="AP756" t="s">
        <v>142</v>
      </c>
      <c r="AQ756" t="s">
        <v>74</v>
      </c>
      <c r="AR756" t="s">
        <v>143</v>
      </c>
      <c r="AS756" t="s">
        <v>144</v>
      </c>
      <c r="AT756" t="s">
        <v>1867</v>
      </c>
      <c r="AU756">
        <v>2022</v>
      </c>
      <c r="AV756">
        <v>220</v>
      </c>
      <c r="AW756" t="s">
        <v>74</v>
      </c>
      <c r="AX756" t="s">
        <v>74</v>
      </c>
      <c r="AY756" t="s">
        <v>74</v>
      </c>
      <c r="AZ756" t="s">
        <v>74</v>
      </c>
      <c r="BA756" t="s">
        <v>74</v>
      </c>
      <c r="BB756" t="s">
        <v>74</v>
      </c>
      <c r="BC756" t="s">
        <v>74</v>
      </c>
      <c r="BD756">
        <v>108285</v>
      </c>
      <c r="BE756" t="s">
        <v>12287</v>
      </c>
      <c r="BF756" t="str">
        <f>HYPERLINK("http://dx.doi.org/10.1016/j.ress.2021.108285","http://dx.doi.org/10.1016/j.ress.2021.108285")</f>
        <v>http://dx.doi.org/10.1016/j.ress.2021.108285</v>
      </c>
      <c r="BG756" t="s">
        <v>74</v>
      </c>
      <c r="BH756" t="s">
        <v>74</v>
      </c>
      <c r="BI756">
        <v>10</v>
      </c>
      <c r="BJ756" t="s">
        <v>148</v>
      </c>
      <c r="BK756" t="s">
        <v>149</v>
      </c>
      <c r="BL756" t="s">
        <v>150</v>
      </c>
      <c r="BM756" t="s">
        <v>2652</v>
      </c>
      <c r="BN756" t="s">
        <v>74</v>
      </c>
      <c r="BO756" t="s">
        <v>74</v>
      </c>
      <c r="BP756" t="s">
        <v>74</v>
      </c>
      <c r="BQ756" t="s">
        <v>74</v>
      </c>
      <c r="BR756" t="s">
        <v>104</v>
      </c>
      <c r="BS756" t="s">
        <v>12288</v>
      </c>
      <c r="BT756" t="str">
        <f>HYPERLINK("https%3A%2F%2Fwww.webofscience.com%2Fwos%2Fwoscc%2Ffull-record%2FWOS:000760343700018","View Full Record in Web of Science")</f>
        <v>View Full Record in Web of Science</v>
      </c>
    </row>
    <row r="757" spans="1:72" x14ac:dyDescent="0.25">
      <c r="A757" t="s">
        <v>72</v>
      </c>
      <c r="B757" t="s">
        <v>12289</v>
      </c>
      <c r="C757" t="s">
        <v>74</v>
      </c>
      <c r="D757" t="s">
        <v>74</v>
      </c>
      <c r="E757" t="s">
        <v>74</v>
      </c>
      <c r="F757" t="s">
        <v>12290</v>
      </c>
      <c r="G757" t="s">
        <v>74</v>
      </c>
      <c r="H757" t="s">
        <v>74</v>
      </c>
      <c r="I757" t="s">
        <v>12291</v>
      </c>
      <c r="J757" t="s">
        <v>128</v>
      </c>
      <c r="K757" t="s">
        <v>74</v>
      </c>
      <c r="L757" t="s">
        <v>74</v>
      </c>
      <c r="M757" t="s">
        <v>78</v>
      </c>
      <c r="N757" t="s">
        <v>79</v>
      </c>
      <c r="O757" t="s">
        <v>74</v>
      </c>
      <c r="P757" t="s">
        <v>74</v>
      </c>
      <c r="Q757" t="s">
        <v>74</v>
      </c>
      <c r="R757" t="s">
        <v>74</v>
      </c>
      <c r="S757" t="s">
        <v>74</v>
      </c>
      <c r="T757" t="s">
        <v>12292</v>
      </c>
      <c r="U757" t="s">
        <v>12293</v>
      </c>
      <c r="V757" t="s">
        <v>12294</v>
      </c>
      <c r="W757" t="s">
        <v>12295</v>
      </c>
      <c r="X757" t="s">
        <v>12296</v>
      </c>
      <c r="Y757" t="s">
        <v>12297</v>
      </c>
      <c r="Z757" t="s">
        <v>12298</v>
      </c>
      <c r="AA757" t="s">
        <v>12299</v>
      </c>
      <c r="AB757" t="s">
        <v>12300</v>
      </c>
      <c r="AC757" t="s">
        <v>74</v>
      </c>
      <c r="AD757" t="s">
        <v>74</v>
      </c>
      <c r="AE757" t="s">
        <v>74</v>
      </c>
      <c r="AF757" t="s">
        <v>74</v>
      </c>
      <c r="AG757">
        <v>52</v>
      </c>
      <c r="AH757">
        <v>8</v>
      </c>
      <c r="AI757">
        <v>8</v>
      </c>
      <c r="AJ757">
        <v>1</v>
      </c>
      <c r="AK757">
        <v>13</v>
      </c>
      <c r="AL757" t="s">
        <v>138</v>
      </c>
      <c r="AM757" t="s">
        <v>246</v>
      </c>
      <c r="AN757" t="s">
        <v>247</v>
      </c>
      <c r="AO757" t="s">
        <v>141</v>
      </c>
      <c r="AP757" t="s">
        <v>142</v>
      </c>
      <c r="AQ757" t="s">
        <v>74</v>
      </c>
      <c r="AR757" t="s">
        <v>143</v>
      </c>
      <c r="AS757" t="s">
        <v>144</v>
      </c>
      <c r="AT757" t="s">
        <v>559</v>
      </c>
      <c r="AU757">
        <v>2020</v>
      </c>
      <c r="AV757">
        <v>198</v>
      </c>
      <c r="AW757" t="s">
        <v>74</v>
      </c>
      <c r="AX757" t="s">
        <v>74</v>
      </c>
      <c r="AY757" t="s">
        <v>74</v>
      </c>
      <c r="AZ757" t="s">
        <v>74</v>
      </c>
      <c r="BA757" t="s">
        <v>74</v>
      </c>
      <c r="BB757" t="s">
        <v>74</v>
      </c>
      <c r="BC757" t="s">
        <v>74</v>
      </c>
      <c r="BD757">
        <v>106882</v>
      </c>
      <c r="BE757" t="s">
        <v>12301</v>
      </c>
      <c r="BF757" t="str">
        <f>HYPERLINK("http://dx.doi.org/10.1016/j.ress.2020.106882","http://dx.doi.org/10.1016/j.ress.2020.106882")</f>
        <v>http://dx.doi.org/10.1016/j.ress.2020.106882</v>
      </c>
      <c r="BG757" t="s">
        <v>74</v>
      </c>
      <c r="BH757" t="s">
        <v>74</v>
      </c>
      <c r="BI757">
        <v>11</v>
      </c>
      <c r="BJ757" t="s">
        <v>148</v>
      </c>
      <c r="BK757" t="s">
        <v>149</v>
      </c>
      <c r="BL757" t="s">
        <v>150</v>
      </c>
      <c r="BM757" t="s">
        <v>1724</v>
      </c>
      <c r="BN757" t="s">
        <v>74</v>
      </c>
      <c r="BO757" t="s">
        <v>74</v>
      </c>
      <c r="BP757" t="s">
        <v>74</v>
      </c>
      <c r="BQ757" t="s">
        <v>74</v>
      </c>
      <c r="BR757" t="s">
        <v>104</v>
      </c>
      <c r="BS757" t="s">
        <v>12302</v>
      </c>
      <c r="BT757" t="str">
        <f>HYPERLINK("https%3A%2F%2Fwww.webofscience.com%2Fwos%2Fwoscc%2Ffull-record%2FWOS:000527843700021","View Full Record in Web of Science")</f>
        <v>View Full Record in Web of Science</v>
      </c>
    </row>
    <row r="758" spans="1:72" x14ac:dyDescent="0.25">
      <c r="A758" t="s">
        <v>72</v>
      </c>
      <c r="B758" t="s">
        <v>12303</v>
      </c>
      <c r="C758" t="s">
        <v>74</v>
      </c>
      <c r="D758" t="s">
        <v>74</v>
      </c>
      <c r="E758" t="s">
        <v>74</v>
      </c>
      <c r="F758" t="s">
        <v>12304</v>
      </c>
      <c r="G758" t="s">
        <v>74</v>
      </c>
      <c r="H758" t="s">
        <v>74</v>
      </c>
      <c r="I758" t="s">
        <v>12305</v>
      </c>
      <c r="J758" t="s">
        <v>128</v>
      </c>
      <c r="K758" t="s">
        <v>74</v>
      </c>
      <c r="L758" t="s">
        <v>74</v>
      </c>
      <c r="M758" t="s">
        <v>78</v>
      </c>
      <c r="N758" t="s">
        <v>79</v>
      </c>
      <c r="O758" t="s">
        <v>74</v>
      </c>
      <c r="P758" t="s">
        <v>74</v>
      </c>
      <c r="Q758" t="s">
        <v>74</v>
      </c>
      <c r="R758" t="s">
        <v>74</v>
      </c>
      <c r="S758" t="s">
        <v>74</v>
      </c>
      <c r="T758" t="s">
        <v>12306</v>
      </c>
      <c r="U758" t="s">
        <v>12307</v>
      </c>
      <c r="V758" t="s">
        <v>12308</v>
      </c>
      <c r="W758" t="s">
        <v>12309</v>
      </c>
      <c r="X758" t="s">
        <v>12310</v>
      </c>
      <c r="Y758" t="s">
        <v>12311</v>
      </c>
      <c r="Z758" t="s">
        <v>12312</v>
      </c>
      <c r="AA758" t="s">
        <v>12313</v>
      </c>
      <c r="AB758" t="s">
        <v>1411</v>
      </c>
      <c r="AC758" t="s">
        <v>12314</v>
      </c>
      <c r="AD758" t="s">
        <v>12315</v>
      </c>
      <c r="AE758" t="s">
        <v>12316</v>
      </c>
      <c r="AF758" t="s">
        <v>74</v>
      </c>
      <c r="AG758">
        <v>44</v>
      </c>
      <c r="AH758">
        <v>43</v>
      </c>
      <c r="AI758">
        <v>44</v>
      </c>
      <c r="AJ758">
        <v>2</v>
      </c>
      <c r="AK758">
        <v>23</v>
      </c>
      <c r="AL758" t="s">
        <v>138</v>
      </c>
      <c r="AM758" t="s">
        <v>246</v>
      </c>
      <c r="AN758" t="s">
        <v>247</v>
      </c>
      <c r="AO758" t="s">
        <v>141</v>
      </c>
      <c r="AP758" t="s">
        <v>142</v>
      </c>
      <c r="AQ758" t="s">
        <v>74</v>
      </c>
      <c r="AR758" t="s">
        <v>143</v>
      </c>
      <c r="AS758" t="s">
        <v>144</v>
      </c>
      <c r="AT758" t="s">
        <v>559</v>
      </c>
      <c r="AU758">
        <v>2020</v>
      </c>
      <c r="AV758">
        <v>198</v>
      </c>
      <c r="AW758" t="s">
        <v>74</v>
      </c>
      <c r="AX758" t="s">
        <v>74</v>
      </c>
      <c r="AY758" t="s">
        <v>74</v>
      </c>
      <c r="AZ758" t="s">
        <v>74</v>
      </c>
      <c r="BA758" t="s">
        <v>74</v>
      </c>
      <c r="BB758" t="s">
        <v>74</v>
      </c>
      <c r="BC758" t="s">
        <v>74</v>
      </c>
      <c r="BD758">
        <v>106900</v>
      </c>
      <c r="BE758" t="s">
        <v>12317</v>
      </c>
      <c r="BF758" t="str">
        <f>HYPERLINK("http://dx.doi.org/10.1016/j.ress.2020.106900","http://dx.doi.org/10.1016/j.ress.2020.106900")</f>
        <v>http://dx.doi.org/10.1016/j.ress.2020.106900</v>
      </c>
      <c r="BG758" t="s">
        <v>74</v>
      </c>
      <c r="BH758" t="s">
        <v>74</v>
      </c>
      <c r="BI758">
        <v>9</v>
      </c>
      <c r="BJ758" t="s">
        <v>148</v>
      </c>
      <c r="BK758" t="s">
        <v>149</v>
      </c>
      <c r="BL758" t="s">
        <v>150</v>
      </c>
      <c r="BM758" t="s">
        <v>1724</v>
      </c>
      <c r="BN758" t="s">
        <v>74</v>
      </c>
      <c r="BO758" t="s">
        <v>74</v>
      </c>
      <c r="BP758" t="s">
        <v>74</v>
      </c>
      <c r="BQ758" t="s">
        <v>74</v>
      </c>
      <c r="BR758" t="s">
        <v>104</v>
      </c>
      <c r="BS758" t="s">
        <v>12318</v>
      </c>
      <c r="BT758" t="str">
        <f>HYPERLINK("https%3A%2F%2Fwww.webofscience.com%2Fwos%2Fwoscc%2Ffull-record%2FWOS:000527843700030","View Full Record in Web of Science")</f>
        <v>View Full Record in Web of Science</v>
      </c>
    </row>
    <row r="759" spans="1:72" x14ac:dyDescent="0.25">
      <c r="A759" t="s">
        <v>72</v>
      </c>
      <c r="B759" t="s">
        <v>12319</v>
      </c>
      <c r="C759" t="s">
        <v>74</v>
      </c>
      <c r="D759" t="s">
        <v>74</v>
      </c>
      <c r="E759" t="s">
        <v>74</v>
      </c>
      <c r="F759" t="s">
        <v>12320</v>
      </c>
      <c r="G759" t="s">
        <v>74</v>
      </c>
      <c r="H759" t="s">
        <v>74</v>
      </c>
      <c r="I759" t="s">
        <v>12321</v>
      </c>
      <c r="J759" t="s">
        <v>1932</v>
      </c>
      <c r="K759" t="s">
        <v>74</v>
      </c>
      <c r="L759" t="s">
        <v>74</v>
      </c>
      <c r="M759" t="s">
        <v>78</v>
      </c>
      <c r="N759" t="s">
        <v>79</v>
      </c>
      <c r="O759" t="s">
        <v>74</v>
      </c>
      <c r="P759" t="s">
        <v>74</v>
      </c>
      <c r="Q759" t="s">
        <v>74</v>
      </c>
      <c r="R759" t="s">
        <v>74</v>
      </c>
      <c r="S759" t="s">
        <v>74</v>
      </c>
      <c r="T759" t="s">
        <v>12322</v>
      </c>
      <c r="U759" t="s">
        <v>12323</v>
      </c>
      <c r="V759" t="s">
        <v>12324</v>
      </c>
      <c r="W759" t="s">
        <v>12325</v>
      </c>
      <c r="X759" t="s">
        <v>74</v>
      </c>
      <c r="Y759" t="s">
        <v>10004</v>
      </c>
      <c r="Z759" t="s">
        <v>10005</v>
      </c>
      <c r="AA759" t="s">
        <v>74</v>
      </c>
      <c r="AB759" t="s">
        <v>74</v>
      </c>
      <c r="AC759" t="s">
        <v>12326</v>
      </c>
      <c r="AD759" t="s">
        <v>12327</v>
      </c>
      <c r="AE759" t="s">
        <v>12328</v>
      </c>
      <c r="AF759" t="s">
        <v>74</v>
      </c>
      <c r="AG759">
        <v>31</v>
      </c>
      <c r="AH759">
        <v>15</v>
      </c>
      <c r="AI759">
        <v>17</v>
      </c>
      <c r="AJ759">
        <v>3</v>
      </c>
      <c r="AK759">
        <v>19</v>
      </c>
      <c r="AL759" t="s">
        <v>1942</v>
      </c>
      <c r="AM759" t="s">
        <v>1943</v>
      </c>
      <c r="AN759" t="s">
        <v>1944</v>
      </c>
      <c r="AO759" t="s">
        <v>1945</v>
      </c>
      <c r="AP759" t="s">
        <v>1946</v>
      </c>
      <c r="AQ759" t="s">
        <v>74</v>
      </c>
      <c r="AR759" t="s">
        <v>1947</v>
      </c>
      <c r="AS759" t="s">
        <v>1948</v>
      </c>
      <c r="AT759" t="s">
        <v>1949</v>
      </c>
      <c r="AU759">
        <v>2020</v>
      </c>
      <c r="AV759">
        <v>17</v>
      </c>
      <c r="AW759">
        <v>2</v>
      </c>
      <c r="AX759" t="s">
        <v>74</v>
      </c>
      <c r="AY759" t="s">
        <v>74</v>
      </c>
      <c r="AZ759" t="s">
        <v>74</v>
      </c>
      <c r="BA759" t="s">
        <v>74</v>
      </c>
      <c r="BB759">
        <v>216</v>
      </c>
      <c r="BC759">
        <v>233</v>
      </c>
      <c r="BD759" t="s">
        <v>74</v>
      </c>
      <c r="BE759" t="s">
        <v>12329</v>
      </c>
      <c r="BF759" t="str">
        <f>HYPERLINK("http://dx.doi.org/10.1080/16843703.2019.1584956","http://dx.doi.org/10.1080/16843703.2019.1584956")</f>
        <v>http://dx.doi.org/10.1080/16843703.2019.1584956</v>
      </c>
      <c r="BG759" t="s">
        <v>74</v>
      </c>
      <c r="BH759" t="s">
        <v>7848</v>
      </c>
      <c r="BI759">
        <v>18</v>
      </c>
      <c r="BJ759" t="s">
        <v>1951</v>
      </c>
      <c r="BK759" t="s">
        <v>149</v>
      </c>
      <c r="BL759" t="s">
        <v>1952</v>
      </c>
      <c r="BM759" t="s">
        <v>1953</v>
      </c>
      <c r="BN759" t="s">
        <v>74</v>
      </c>
      <c r="BO759" t="s">
        <v>74</v>
      </c>
      <c r="BP759" t="s">
        <v>74</v>
      </c>
      <c r="BQ759" t="s">
        <v>74</v>
      </c>
      <c r="BR759" t="s">
        <v>104</v>
      </c>
      <c r="BS759" t="s">
        <v>12330</v>
      </c>
      <c r="BT759" t="str">
        <f>HYPERLINK("https%3A%2F%2Fwww.webofscience.com%2Fwos%2Fwoscc%2Ffull-record%2FWOS:000478550300001","View Full Record in Web of Science")</f>
        <v>View Full Record in Web of Science</v>
      </c>
    </row>
    <row r="760" spans="1:72" x14ac:dyDescent="0.25">
      <c r="A760" t="s">
        <v>72</v>
      </c>
      <c r="B760" t="s">
        <v>12331</v>
      </c>
      <c r="C760" t="s">
        <v>74</v>
      </c>
      <c r="D760" t="s">
        <v>74</v>
      </c>
      <c r="E760" t="s">
        <v>74</v>
      </c>
      <c r="F760" t="s">
        <v>12332</v>
      </c>
      <c r="G760" t="s">
        <v>74</v>
      </c>
      <c r="H760" t="s">
        <v>74</v>
      </c>
      <c r="I760" t="s">
        <v>12333</v>
      </c>
      <c r="J760" t="s">
        <v>1814</v>
      </c>
      <c r="K760" t="s">
        <v>74</v>
      </c>
      <c r="L760" t="s">
        <v>74</v>
      </c>
      <c r="M760" t="s">
        <v>78</v>
      </c>
      <c r="N760" t="s">
        <v>79</v>
      </c>
      <c r="O760" t="s">
        <v>74</v>
      </c>
      <c r="P760" t="s">
        <v>74</v>
      </c>
      <c r="Q760" t="s">
        <v>74</v>
      </c>
      <c r="R760" t="s">
        <v>74</v>
      </c>
      <c r="S760" t="s">
        <v>74</v>
      </c>
      <c r="T760" t="s">
        <v>12334</v>
      </c>
      <c r="U760" t="s">
        <v>12335</v>
      </c>
      <c r="V760" t="s">
        <v>12336</v>
      </c>
      <c r="W760" t="s">
        <v>12337</v>
      </c>
      <c r="X760" t="s">
        <v>12338</v>
      </c>
      <c r="Y760" t="s">
        <v>12339</v>
      </c>
      <c r="Z760" t="s">
        <v>12340</v>
      </c>
      <c r="AA760" t="s">
        <v>2332</v>
      </c>
      <c r="AB760" t="s">
        <v>3876</v>
      </c>
      <c r="AC760" t="s">
        <v>74</v>
      </c>
      <c r="AD760" t="s">
        <v>74</v>
      </c>
      <c r="AE760" t="s">
        <v>74</v>
      </c>
      <c r="AF760" t="s">
        <v>74</v>
      </c>
      <c r="AG760">
        <v>35</v>
      </c>
      <c r="AH760">
        <v>30</v>
      </c>
      <c r="AI760">
        <v>34</v>
      </c>
      <c r="AJ760">
        <v>12</v>
      </c>
      <c r="AK760">
        <v>84</v>
      </c>
      <c r="AL760" t="s">
        <v>509</v>
      </c>
      <c r="AM760" t="s">
        <v>510</v>
      </c>
      <c r="AN760" t="s">
        <v>511</v>
      </c>
      <c r="AO760" t="s">
        <v>1824</v>
      </c>
      <c r="AP760" t="s">
        <v>1825</v>
      </c>
      <c r="AQ760" t="s">
        <v>74</v>
      </c>
      <c r="AR760" t="s">
        <v>1826</v>
      </c>
      <c r="AS760" t="s">
        <v>1827</v>
      </c>
      <c r="AT760" t="s">
        <v>491</v>
      </c>
      <c r="AU760">
        <v>2020</v>
      </c>
      <c r="AV760">
        <v>229</v>
      </c>
      <c r="AW760" t="s">
        <v>74</v>
      </c>
      <c r="AX760" t="s">
        <v>74</v>
      </c>
      <c r="AY760" t="s">
        <v>74</v>
      </c>
      <c r="AZ760" t="s">
        <v>74</v>
      </c>
      <c r="BA760" t="s">
        <v>74</v>
      </c>
      <c r="BB760" t="s">
        <v>74</v>
      </c>
      <c r="BC760" t="s">
        <v>74</v>
      </c>
      <c r="BD760">
        <v>107860</v>
      </c>
      <c r="BE760" t="s">
        <v>12341</v>
      </c>
      <c r="BF760" t="str">
        <f>HYPERLINK("http://dx.doi.org/10.1016/j.ijpe.2020.107860","http://dx.doi.org/10.1016/j.ijpe.2020.107860")</f>
        <v>http://dx.doi.org/10.1016/j.ijpe.2020.107860</v>
      </c>
      <c r="BG760" t="s">
        <v>74</v>
      </c>
      <c r="BH760" t="s">
        <v>74</v>
      </c>
      <c r="BI760">
        <v>13</v>
      </c>
      <c r="BJ760" t="s">
        <v>321</v>
      </c>
      <c r="BK760" t="s">
        <v>322</v>
      </c>
      <c r="BL760" t="s">
        <v>150</v>
      </c>
      <c r="BM760" t="s">
        <v>12342</v>
      </c>
      <c r="BN760" t="s">
        <v>74</v>
      </c>
      <c r="BO760" t="s">
        <v>400</v>
      </c>
      <c r="BP760" t="s">
        <v>74</v>
      </c>
      <c r="BQ760" t="s">
        <v>74</v>
      </c>
      <c r="BR760" t="s">
        <v>104</v>
      </c>
      <c r="BS760" t="s">
        <v>12343</v>
      </c>
      <c r="BT760" t="str">
        <f>HYPERLINK("https%3A%2F%2Fwww.webofscience.com%2Fwos%2Fwoscc%2Ffull-record%2FWOS:000582335000027","View Full Record in Web of Science")</f>
        <v>View Full Record in Web of Science</v>
      </c>
    </row>
    <row r="761" spans="1:72" x14ac:dyDescent="0.25">
      <c r="A761" t="s">
        <v>72</v>
      </c>
      <c r="B761" t="s">
        <v>12344</v>
      </c>
      <c r="C761" t="s">
        <v>74</v>
      </c>
      <c r="D761" t="s">
        <v>74</v>
      </c>
      <c r="E761" t="s">
        <v>74</v>
      </c>
      <c r="F761" t="s">
        <v>12345</v>
      </c>
      <c r="G761" t="s">
        <v>74</v>
      </c>
      <c r="H761" t="s">
        <v>74</v>
      </c>
      <c r="I761" t="s">
        <v>12346</v>
      </c>
      <c r="J761" t="s">
        <v>128</v>
      </c>
      <c r="K761" t="s">
        <v>74</v>
      </c>
      <c r="L761" t="s">
        <v>74</v>
      </c>
      <c r="M761" t="s">
        <v>78</v>
      </c>
      <c r="N761" t="s">
        <v>79</v>
      </c>
      <c r="O761" t="s">
        <v>74</v>
      </c>
      <c r="P761" t="s">
        <v>74</v>
      </c>
      <c r="Q761" t="s">
        <v>74</v>
      </c>
      <c r="R761" t="s">
        <v>74</v>
      </c>
      <c r="S761" t="s">
        <v>74</v>
      </c>
      <c r="T761" t="s">
        <v>12347</v>
      </c>
      <c r="U761" t="s">
        <v>12348</v>
      </c>
      <c r="V761" t="s">
        <v>12349</v>
      </c>
      <c r="W761" t="s">
        <v>12350</v>
      </c>
      <c r="X761" t="s">
        <v>12351</v>
      </c>
      <c r="Y761" t="s">
        <v>12352</v>
      </c>
      <c r="Z761" t="s">
        <v>12353</v>
      </c>
      <c r="AA761" t="s">
        <v>12354</v>
      </c>
      <c r="AB761" t="s">
        <v>12355</v>
      </c>
      <c r="AC761" t="s">
        <v>4244</v>
      </c>
      <c r="AD761" t="s">
        <v>482</v>
      </c>
      <c r="AE761" t="s">
        <v>12356</v>
      </c>
      <c r="AF761" t="s">
        <v>74</v>
      </c>
      <c r="AG761">
        <v>43</v>
      </c>
      <c r="AH761">
        <v>49</v>
      </c>
      <c r="AI761">
        <v>49</v>
      </c>
      <c r="AJ761">
        <v>6</v>
      </c>
      <c r="AK761">
        <v>36</v>
      </c>
      <c r="AL761" t="s">
        <v>138</v>
      </c>
      <c r="AM761" t="s">
        <v>246</v>
      </c>
      <c r="AN761" t="s">
        <v>247</v>
      </c>
      <c r="AO761" t="s">
        <v>141</v>
      </c>
      <c r="AP761" t="s">
        <v>142</v>
      </c>
      <c r="AQ761" t="s">
        <v>74</v>
      </c>
      <c r="AR761" t="s">
        <v>143</v>
      </c>
      <c r="AS761" t="s">
        <v>144</v>
      </c>
      <c r="AT761" t="s">
        <v>1008</v>
      </c>
      <c r="AU761">
        <v>2021</v>
      </c>
      <c r="AV761">
        <v>205</v>
      </c>
      <c r="AW761" t="s">
        <v>74</v>
      </c>
      <c r="AX761" t="s">
        <v>74</v>
      </c>
      <c r="AY761" t="s">
        <v>74</v>
      </c>
      <c r="AZ761" t="s">
        <v>74</v>
      </c>
      <c r="BA761" t="s">
        <v>74</v>
      </c>
      <c r="BB761" t="s">
        <v>74</v>
      </c>
      <c r="BC761" t="s">
        <v>74</v>
      </c>
      <c r="BD761">
        <v>107226</v>
      </c>
      <c r="BE761" t="s">
        <v>12357</v>
      </c>
      <c r="BF761" t="str">
        <f>HYPERLINK("http://dx.doi.org/10.1016/j.ress.2020.107226","http://dx.doi.org/10.1016/j.ress.2020.107226")</f>
        <v>http://dx.doi.org/10.1016/j.ress.2020.107226</v>
      </c>
      <c r="BG761" t="s">
        <v>74</v>
      </c>
      <c r="BH761" t="s">
        <v>74</v>
      </c>
      <c r="BI761">
        <v>10</v>
      </c>
      <c r="BJ761" t="s">
        <v>148</v>
      </c>
      <c r="BK761" t="s">
        <v>149</v>
      </c>
      <c r="BL761" t="s">
        <v>150</v>
      </c>
      <c r="BM761" t="s">
        <v>2589</v>
      </c>
      <c r="BN761" t="s">
        <v>74</v>
      </c>
      <c r="BO761" t="s">
        <v>74</v>
      </c>
      <c r="BP761" t="s">
        <v>74</v>
      </c>
      <c r="BQ761" t="s">
        <v>74</v>
      </c>
      <c r="BR761" t="s">
        <v>104</v>
      </c>
      <c r="BS761" t="s">
        <v>12358</v>
      </c>
      <c r="BT761" t="str">
        <f>HYPERLINK("https%3A%2F%2Fwww.webofscience.com%2Fwos%2Fwoscc%2Ffull-record%2FWOS:000589091300011","View Full Record in Web of Science")</f>
        <v>View Full Record in Web of Science</v>
      </c>
    </row>
    <row r="762" spans="1:72" x14ac:dyDescent="0.25">
      <c r="A762" t="s">
        <v>72</v>
      </c>
      <c r="B762" t="s">
        <v>12359</v>
      </c>
      <c r="C762" t="s">
        <v>74</v>
      </c>
      <c r="D762" t="s">
        <v>74</v>
      </c>
      <c r="E762" t="s">
        <v>74</v>
      </c>
      <c r="F762" t="s">
        <v>12360</v>
      </c>
      <c r="G762" t="s">
        <v>74</v>
      </c>
      <c r="H762" t="s">
        <v>74</v>
      </c>
      <c r="I762" t="s">
        <v>12361</v>
      </c>
      <c r="J762" t="s">
        <v>6961</v>
      </c>
      <c r="K762" t="s">
        <v>74</v>
      </c>
      <c r="L762" t="s">
        <v>74</v>
      </c>
      <c r="M762" t="s">
        <v>78</v>
      </c>
      <c r="N762" t="s">
        <v>79</v>
      </c>
      <c r="O762" t="s">
        <v>74</v>
      </c>
      <c r="P762" t="s">
        <v>74</v>
      </c>
      <c r="Q762" t="s">
        <v>74</v>
      </c>
      <c r="R762" t="s">
        <v>74</v>
      </c>
      <c r="S762" t="s">
        <v>74</v>
      </c>
      <c r="T762" t="s">
        <v>74</v>
      </c>
      <c r="U762" t="s">
        <v>12362</v>
      </c>
      <c r="V762" t="s">
        <v>12363</v>
      </c>
      <c r="W762" t="s">
        <v>12364</v>
      </c>
      <c r="X762" t="s">
        <v>12365</v>
      </c>
      <c r="Y762" t="s">
        <v>12366</v>
      </c>
      <c r="Z762" t="s">
        <v>12367</v>
      </c>
      <c r="AA762" t="s">
        <v>12368</v>
      </c>
      <c r="AB762" t="s">
        <v>74</v>
      </c>
      <c r="AC762" t="s">
        <v>12369</v>
      </c>
      <c r="AD762" t="s">
        <v>12370</v>
      </c>
      <c r="AE762" t="s">
        <v>12371</v>
      </c>
      <c r="AF762" t="s">
        <v>74</v>
      </c>
      <c r="AG762">
        <v>38</v>
      </c>
      <c r="AH762">
        <v>4</v>
      </c>
      <c r="AI762">
        <v>4</v>
      </c>
      <c r="AJ762">
        <v>3</v>
      </c>
      <c r="AK762">
        <v>18</v>
      </c>
      <c r="AL762" t="s">
        <v>6968</v>
      </c>
      <c r="AM762" t="s">
        <v>6799</v>
      </c>
      <c r="AN762" t="s">
        <v>6969</v>
      </c>
      <c r="AO762" t="s">
        <v>6970</v>
      </c>
      <c r="AP762" t="s">
        <v>74</v>
      </c>
      <c r="AQ762" t="s">
        <v>74</v>
      </c>
      <c r="AR762" t="s">
        <v>6971</v>
      </c>
      <c r="AS762" t="s">
        <v>6972</v>
      </c>
      <c r="AT762" t="s">
        <v>12372</v>
      </c>
      <c r="AU762">
        <v>2023</v>
      </c>
      <c r="AV762">
        <v>13</v>
      </c>
      <c r="AW762">
        <v>1</v>
      </c>
      <c r="AX762" t="s">
        <v>74</v>
      </c>
      <c r="AY762" t="s">
        <v>74</v>
      </c>
      <c r="AZ762" t="s">
        <v>74</v>
      </c>
      <c r="BA762" t="s">
        <v>74</v>
      </c>
      <c r="BB762" t="s">
        <v>74</v>
      </c>
      <c r="BC762" t="s">
        <v>74</v>
      </c>
      <c r="BD762">
        <v>14066</v>
      </c>
      <c r="BE762" t="s">
        <v>12373</v>
      </c>
      <c r="BF762" t="str">
        <f>HYPERLINK("http://dx.doi.org/10.1038/s41598-023-41305-z","http://dx.doi.org/10.1038/s41598-023-41305-z")</f>
        <v>http://dx.doi.org/10.1038/s41598-023-41305-z</v>
      </c>
      <c r="BG762" t="s">
        <v>74</v>
      </c>
      <c r="BH762" t="s">
        <v>74</v>
      </c>
      <c r="BI762">
        <v>16</v>
      </c>
      <c r="BJ762" t="s">
        <v>517</v>
      </c>
      <c r="BK762" t="s">
        <v>149</v>
      </c>
      <c r="BL762" t="s">
        <v>518</v>
      </c>
      <c r="BM762" t="s">
        <v>12374</v>
      </c>
      <c r="BN762">
        <v>37640774</v>
      </c>
      <c r="BO762" t="s">
        <v>6520</v>
      </c>
      <c r="BP762" t="s">
        <v>74</v>
      </c>
      <c r="BQ762" t="s">
        <v>74</v>
      </c>
      <c r="BR762" t="s">
        <v>104</v>
      </c>
      <c r="BS762" t="s">
        <v>12375</v>
      </c>
      <c r="BT762" t="str">
        <f>HYPERLINK("https%3A%2F%2Fwww.webofscience.com%2Fwos%2Fwoscc%2Ffull-record%2FWOS:001057740800062","View Full Record in Web of Science")</f>
        <v>View Full Record in Web of Science</v>
      </c>
    </row>
    <row r="763" spans="1:72" x14ac:dyDescent="0.25">
      <c r="A763" t="s">
        <v>72</v>
      </c>
      <c r="B763" t="s">
        <v>12376</v>
      </c>
      <c r="C763" t="s">
        <v>74</v>
      </c>
      <c r="D763" t="s">
        <v>74</v>
      </c>
      <c r="E763" t="s">
        <v>74</v>
      </c>
      <c r="F763" t="s">
        <v>12377</v>
      </c>
      <c r="G763" t="s">
        <v>74</v>
      </c>
      <c r="H763" t="s">
        <v>74</v>
      </c>
      <c r="I763" t="s">
        <v>12378</v>
      </c>
      <c r="J763" t="s">
        <v>128</v>
      </c>
      <c r="K763" t="s">
        <v>74</v>
      </c>
      <c r="L763" t="s">
        <v>74</v>
      </c>
      <c r="M763" t="s">
        <v>78</v>
      </c>
      <c r="N763" t="s">
        <v>79</v>
      </c>
      <c r="O763" t="s">
        <v>74</v>
      </c>
      <c r="P763" t="s">
        <v>74</v>
      </c>
      <c r="Q763" t="s">
        <v>74</v>
      </c>
      <c r="R763" t="s">
        <v>74</v>
      </c>
      <c r="S763" t="s">
        <v>74</v>
      </c>
      <c r="T763" t="s">
        <v>12379</v>
      </c>
      <c r="U763" t="s">
        <v>12380</v>
      </c>
      <c r="V763" t="s">
        <v>12381</v>
      </c>
      <c r="W763" t="s">
        <v>12382</v>
      </c>
      <c r="X763" t="s">
        <v>12383</v>
      </c>
      <c r="Y763" t="s">
        <v>12384</v>
      </c>
      <c r="Z763" t="s">
        <v>12385</v>
      </c>
      <c r="AA763" t="s">
        <v>12386</v>
      </c>
      <c r="AB763" t="s">
        <v>74</v>
      </c>
      <c r="AC763" t="s">
        <v>74</v>
      </c>
      <c r="AD763" t="s">
        <v>74</v>
      </c>
      <c r="AE763" t="s">
        <v>74</v>
      </c>
      <c r="AF763" t="s">
        <v>74</v>
      </c>
      <c r="AG763">
        <v>36</v>
      </c>
      <c r="AH763">
        <v>10</v>
      </c>
      <c r="AI763">
        <v>10</v>
      </c>
      <c r="AJ763">
        <v>1</v>
      </c>
      <c r="AK763">
        <v>12</v>
      </c>
      <c r="AL763" t="s">
        <v>138</v>
      </c>
      <c r="AM763" t="s">
        <v>246</v>
      </c>
      <c r="AN763" t="s">
        <v>247</v>
      </c>
      <c r="AO763" t="s">
        <v>141</v>
      </c>
      <c r="AP763" t="s">
        <v>142</v>
      </c>
      <c r="AQ763" t="s">
        <v>74</v>
      </c>
      <c r="AR763" t="s">
        <v>143</v>
      </c>
      <c r="AS763" t="s">
        <v>144</v>
      </c>
      <c r="AT763" t="s">
        <v>1202</v>
      </c>
      <c r="AU763">
        <v>2021</v>
      </c>
      <c r="AV763">
        <v>209</v>
      </c>
      <c r="AW763" t="s">
        <v>74</v>
      </c>
      <c r="AX763" t="s">
        <v>74</v>
      </c>
      <c r="AY763" t="s">
        <v>74</v>
      </c>
      <c r="AZ763" t="s">
        <v>74</v>
      </c>
      <c r="BA763" t="s">
        <v>74</v>
      </c>
      <c r="BB763" t="s">
        <v>74</v>
      </c>
      <c r="BC763" t="s">
        <v>74</v>
      </c>
      <c r="BD763">
        <v>107445</v>
      </c>
      <c r="BE763" t="s">
        <v>12387</v>
      </c>
      <c r="BF763" t="str">
        <f>HYPERLINK("http://dx.doi.org/10.1016/j.ress.2021.107445","http://dx.doi.org/10.1016/j.ress.2021.107445")</f>
        <v>http://dx.doi.org/10.1016/j.ress.2021.107445</v>
      </c>
      <c r="BG763" t="s">
        <v>74</v>
      </c>
      <c r="BH763" t="s">
        <v>773</v>
      </c>
      <c r="BI763">
        <v>17</v>
      </c>
      <c r="BJ763" t="s">
        <v>148</v>
      </c>
      <c r="BK763" t="s">
        <v>149</v>
      </c>
      <c r="BL763" t="s">
        <v>150</v>
      </c>
      <c r="BM763" t="s">
        <v>7144</v>
      </c>
      <c r="BN763" t="s">
        <v>74</v>
      </c>
      <c r="BO763" t="s">
        <v>74</v>
      </c>
      <c r="BP763" t="s">
        <v>74</v>
      </c>
      <c r="BQ763" t="s">
        <v>74</v>
      </c>
      <c r="BR763" t="s">
        <v>104</v>
      </c>
      <c r="BS763" t="s">
        <v>12388</v>
      </c>
      <c r="BT763" t="str">
        <f>HYPERLINK("https%3A%2F%2Fwww.webofscience.com%2Fwos%2Fwoscc%2Ffull-record%2FWOS:000663909200015","View Full Record in Web of Science")</f>
        <v>View Full Record in Web of Science</v>
      </c>
    </row>
    <row r="764" spans="1:72" x14ac:dyDescent="0.25">
      <c r="A764" t="s">
        <v>72</v>
      </c>
      <c r="B764" t="s">
        <v>12389</v>
      </c>
      <c r="C764" t="s">
        <v>74</v>
      </c>
      <c r="D764" t="s">
        <v>74</v>
      </c>
      <c r="E764" t="s">
        <v>74</v>
      </c>
      <c r="F764" t="s">
        <v>12390</v>
      </c>
      <c r="G764" t="s">
        <v>74</v>
      </c>
      <c r="H764" t="s">
        <v>74</v>
      </c>
      <c r="I764" t="s">
        <v>12391</v>
      </c>
      <c r="J764" t="s">
        <v>128</v>
      </c>
      <c r="K764" t="s">
        <v>74</v>
      </c>
      <c r="L764" t="s">
        <v>74</v>
      </c>
      <c r="M764" t="s">
        <v>78</v>
      </c>
      <c r="N764" t="s">
        <v>79</v>
      </c>
      <c r="O764" t="s">
        <v>74</v>
      </c>
      <c r="P764" t="s">
        <v>74</v>
      </c>
      <c r="Q764" t="s">
        <v>74</v>
      </c>
      <c r="R764" t="s">
        <v>74</v>
      </c>
      <c r="S764" t="s">
        <v>74</v>
      </c>
      <c r="T764" t="s">
        <v>12392</v>
      </c>
      <c r="U764" t="s">
        <v>12393</v>
      </c>
      <c r="V764" t="s">
        <v>12394</v>
      </c>
      <c r="W764" t="s">
        <v>12395</v>
      </c>
      <c r="X764" t="s">
        <v>12396</v>
      </c>
      <c r="Y764" t="s">
        <v>4900</v>
      </c>
      <c r="Z764" t="s">
        <v>11894</v>
      </c>
      <c r="AA764" t="s">
        <v>12397</v>
      </c>
      <c r="AB764" t="s">
        <v>12398</v>
      </c>
      <c r="AC764" t="s">
        <v>12399</v>
      </c>
      <c r="AD764" t="s">
        <v>12400</v>
      </c>
      <c r="AE764" t="s">
        <v>12401</v>
      </c>
      <c r="AF764" t="s">
        <v>74</v>
      </c>
      <c r="AG764">
        <v>33</v>
      </c>
      <c r="AH764">
        <v>83</v>
      </c>
      <c r="AI764">
        <v>86</v>
      </c>
      <c r="AJ764">
        <v>22</v>
      </c>
      <c r="AK764">
        <v>167</v>
      </c>
      <c r="AL764" t="s">
        <v>138</v>
      </c>
      <c r="AM764" t="s">
        <v>246</v>
      </c>
      <c r="AN764" t="s">
        <v>247</v>
      </c>
      <c r="AO764" t="s">
        <v>141</v>
      </c>
      <c r="AP764" t="s">
        <v>142</v>
      </c>
      <c r="AQ764" t="s">
        <v>74</v>
      </c>
      <c r="AR764" t="s">
        <v>143</v>
      </c>
      <c r="AS764" t="s">
        <v>144</v>
      </c>
      <c r="AT764" t="s">
        <v>248</v>
      </c>
      <c r="AU764">
        <v>2020</v>
      </c>
      <c r="AV764">
        <v>199</v>
      </c>
      <c r="AW764" t="s">
        <v>74</v>
      </c>
      <c r="AX764" t="s">
        <v>74</v>
      </c>
      <c r="AY764" t="s">
        <v>74</v>
      </c>
      <c r="AZ764" t="s">
        <v>74</v>
      </c>
      <c r="BA764" t="s">
        <v>74</v>
      </c>
      <c r="BB764" t="s">
        <v>74</v>
      </c>
      <c r="BC764" t="s">
        <v>74</v>
      </c>
      <c r="BD764">
        <v>106919</v>
      </c>
      <c r="BE764" t="s">
        <v>12402</v>
      </c>
      <c r="BF764" t="str">
        <f>HYPERLINK("http://dx.doi.org/10.1016/j.ress.2020.106919","http://dx.doi.org/10.1016/j.ress.2020.106919")</f>
        <v>http://dx.doi.org/10.1016/j.ress.2020.106919</v>
      </c>
      <c r="BG764" t="s">
        <v>74</v>
      </c>
      <c r="BH764" t="s">
        <v>74</v>
      </c>
      <c r="BI764">
        <v>10</v>
      </c>
      <c r="BJ764" t="s">
        <v>148</v>
      </c>
      <c r="BK764" t="s">
        <v>149</v>
      </c>
      <c r="BL764" t="s">
        <v>150</v>
      </c>
      <c r="BM764" t="s">
        <v>8300</v>
      </c>
      <c r="BN764" t="s">
        <v>74</v>
      </c>
      <c r="BO764" t="s">
        <v>74</v>
      </c>
      <c r="BP764" t="s">
        <v>74</v>
      </c>
      <c r="BQ764" t="s">
        <v>74</v>
      </c>
      <c r="BR764" t="s">
        <v>104</v>
      </c>
      <c r="BS764" t="s">
        <v>12403</v>
      </c>
      <c r="BT764" t="str">
        <f>HYPERLINK("https%3A%2F%2Fwww.webofscience.com%2Fwos%2Fwoscc%2Ffull-record%2FWOS:000534159800002","View Full Record in Web of Science")</f>
        <v>View Full Record in Web of Science</v>
      </c>
    </row>
    <row r="765" spans="1:72" x14ac:dyDescent="0.25">
      <c r="A765" t="s">
        <v>72</v>
      </c>
      <c r="B765" t="s">
        <v>8198</v>
      </c>
      <c r="C765" t="s">
        <v>74</v>
      </c>
      <c r="D765" t="s">
        <v>74</v>
      </c>
      <c r="E765" t="s">
        <v>74</v>
      </c>
      <c r="F765" t="s">
        <v>8199</v>
      </c>
      <c r="G765" t="s">
        <v>74</v>
      </c>
      <c r="H765" t="s">
        <v>74</v>
      </c>
      <c r="I765" t="s">
        <v>12404</v>
      </c>
      <c r="J765" t="s">
        <v>542</v>
      </c>
      <c r="K765" t="s">
        <v>74</v>
      </c>
      <c r="L765" t="s">
        <v>74</v>
      </c>
      <c r="M765" t="s">
        <v>78</v>
      </c>
      <c r="N765" t="s">
        <v>79</v>
      </c>
      <c r="O765" t="s">
        <v>74</v>
      </c>
      <c r="P765" t="s">
        <v>74</v>
      </c>
      <c r="Q765" t="s">
        <v>74</v>
      </c>
      <c r="R765" t="s">
        <v>74</v>
      </c>
      <c r="S765" t="s">
        <v>74</v>
      </c>
      <c r="T765" t="s">
        <v>12405</v>
      </c>
      <c r="U765" t="s">
        <v>12406</v>
      </c>
      <c r="V765" t="s">
        <v>12407</v>
      </c>
      <c r="W765" t="s">
        <v>12408</v>
      </c>
      <c r="X765" t="s">
        <v>8205</v>
      </c>
      <c r="Y765" t="s">
        <v>12409</v>
      </c>
      <c r="Z765" t="s">
        <v>5737</v>
      </c>
      <c r="AA765" t="s">
        <v>5738</v>
      </c>
      <c r="AB765" t="s">
        <v>12410</v>
      </c>
      <c r="AC765" t="s">
        <v>5740</v>
      </c>
      <c r="AD765" t="s">
        <v>5741</v>
      </c>
      <c r="AE765" t="s">
        <v>12411</v>
      </c>
      <c r="AF765" t="s">
        <v>74</v>
      </c>
      <c r="AG765">
        <v>38</v>
      </c>
      <c r="AH765">
        <v>2</v>
      </c>
      <c r="AI765">
        <v>2</v>
      </c>
      <c r="AJ765">
        <v>1</v>
      </c>
      <c r="AK765">
        <v>10</v>
      </c>
      <c r="AL765" t="s">
        <v>552</v>
      </c>
      <c r="AM765" t="s">
        <v>553</v>
      </c>
      <c r="AN765" t="s">
        <v>554</v>
      </c>
      <c r="AO765" t="s">
        <v>555</v>
      </c>
      <c r="AP765" t="s">
        <v>556</v>
      </c>
      <c r="AQ765" t="s">
        <v>74</v>
      </c>
      <c r="AR765" t="s">
        <v>557</v>
      </c>
      <c r="AS765" t="s">
        <v>558</v>
      </c>
      <c r="AT765" t="s">
        <v>145</v>
      </c>
      <c r="AU765">
        <v>2023</v>
      </c>
      <c r="AV765">
        <v>237</v>
      </c>
      <c r="AW765">
        <v>6</v>
      </c>
      <c r="AX765" t="s">
        <v>74</v>
      </c>
      <c r="AY765" t="s">
        <v>74</v>
      </c>
      <c r="AZ765" t="s">
        <v>74</v>
      </c>
      <c r="BA765" t="s">
        <v>74</v>
      </c>
      <c r="BB765">
        <v>1175</v>
      </c>
      <c r="BC765">
        <v>1185</v>
      </c>
      <c r="BD765" t="s">
        <v>74</v>
      </c>
      <c r="BE765" t="s">
        <v>12412</v>
      </c>
      <c r="BF765" t="str">
        <f>HYPERLINK("http://dx.doi.org/10.1177/1748006X221116709","http://dx.doi.org/10.1177/1748006X221116709")</f>
        <v>http://dx.doi.org/10.1177/1748006X221116709</v>
      </c>
      <c r="BG765" t="s">
        <v>74</v>
      </c>
      <c r="BH765" t="s">
        <v>658</v>
      </c>
      <c r="BI765">
        <v>11</v>
      </c>
      <c r="BJ765" t="s">
        <v>494</v>
      </c>
      <c r="BK765" t="s">
        <v>149</v>
      </c>
      <c r="BL765" t="s">
        <v>150</v>
      </c>
      <c r="BM765" t="s">
        <v>12413</v>
      </c>
      <c r="BN765" t="s">
        <v>74</v>
      </c>
      <c r="BO765" t="s">
        <v>74</v>
      </c>
      <c r="BP765" t="s">
        <v>74</v>
      </c>
      <c r="BQ765" t="s">
        <v>74</v>
      </c>
      <c r="BR765" t="s">
        <v>104</v>
      </c>
      <c r="BS765" t="s">
        <v>12414</v>
      </c>
      <c r="BT765" t="str">
        <f>HYPERLINK("https%3A%2F%2Fwww.webofscience.com%2Fwos%2Fwoscc%2Ffull-record%2FWOS:000837347100001","View Full Record in Web of Science")</f>
        <v>View Full Record in Web of Science</v>
      </c>
    </row>
    <row r="766" spans="1:72" x14ac:dyDescent="0.25">
      <c r="A766" t="s">
        <v>72</v>
      </c>
      <c r="B766" t="s">
        <v>12415</v>
      </c>
      <c r="C766" t="s">
        <v>74</v>
      </c>
      <c r="D766" t="s">
        <v>74</v>
      </c>
      <c r="E766" t="s">
        <v>74</v>
      </c>
      <c r="F766" t="s">
        <v>12416</v>
      </c>
      <c r="G766" t="s">
        <v>74</v>
      </c>
      <c r="H766" t="s">
        <v>74</v>
      </c>
      <c r="I766" t="s">
        <v>12417</v>
      </c>
      <c r="J766" t="s">
        <v>11042</v>
      </c>
      <c r="K766" t="s">
        <v>74</v>
      </c>
      <c r="L766" t="s">
        <v>74</v>
      </c>
      <c r="M766" t="s">
        <v>78</v>
      </c>
      <c r="N766" t="s">
        <v>79</v>
      </c>
      <c r="O766" t="s">
        <v>74</v>
      </c>
      <c r="P766" t="s">
        <v>74</v>
      </c>
      <c r="Q766" t="s">
        <v>74</v>
      </c>
      <c r="R766" t="s">
        <v>74</v>
      </c>
      <c r="S766" t="s">
        <v>74</v>
      </c>
      <c r="T766" t="s">
        <v>12418</v>
      </c>
      <c r="U766" t="s">
        <v>12419</v>
      </c>
      <c r="V766" t="s">
        <v>12420</v>
      </c>
      <c r="W766" t="s">
        <v>12421</v>
      </c>
      <c r="X766" t="s">
        <v>12422</v>
      </c>
      <c r="Y766" t="s">
        <v>12423</v>
      </c>
      <c r="Z766" t="s">
        <v>12424</v>
      </c>
      <c r="AA766" t="s">
        <v>807</v>
      </c>
      <c r="AB766" t="s">
        <v>74</v>
      </c>
      <c r="AC766" t="s">
        <v>12425</v>
      </c>
      <c r="AD766" t="s">
        <v>12426</v>
      </c>
      <c r="AE766" t="s">
        <v>12427</v>
      </c>
      <c r="AF766" t="s">
        <v>74</v>
      </c>
      <c r="AG766">
        <v>61</v>
      </c>
      <c r="AH766">
        <v>17</v>
      </c>
      <c r="AI766">
        <v>17</v>
      </c>
      <c r="AJ766">
        <v>3</v>
      </c>
      <c r="AK766">
        <v>17</v>
      </c>
      <c r="AL766" t="s">
        <v>509</v>
      </c>
      <c r="AM766" t="s">
        <v>510</v>
      </c>
      <c r="AN766" t="s">
        <v>511</v>
      </c>
      <c r="AO766" t="s">
        <v>11053</v>
      </c>
      <c r="AP766" t="s">
        <v>11054</v>
      </c>
      <c r="AQ766" t="s">
        <v>74</v>
      </c>
      <c r="AR766" t="s">
        <v>11055</v>
      </c>
      <c r="AS766" t="s">
        <v>11056</v>
      </c>
      <c r="AT766" t="s">
        <v>1202</v>
      </c>
      <c r="AU766">
        <v>2022</v>
      </c>
      <c r="AV766">
        <v>27</v>
      </c>
      <c r="AW766" t="s">
        <v>74</v>
      </c>
      <c r="AX766" t="s">
        <v>74</v>
      </c>
      <c r="AY766" t="s">
        <v>74</v>
      </c>
      <c r="AZ766" t="s">
        <v>74</v>
      </c>
      <c r="BA766" t="s">
        <v>74</v>
      </c>
      <c r="BB766" t="s">
        <v>74</v>
      </c>
      <c r="BC766" t="s">
        <v>74</v>
      </c>
      <c r="BD766">
        <v>100279</v>
      </c>
      <c r="BE766" t="s">
        <v>12428</v>
      </c>
      <c r="BF766" t="str">
        <f>HYPERLINK("http://dx.doi.org/10.1016/j.jii.2021.100279","http://dx.doi.org/10.1016/j.jii.2021.100279")</f>
        <v>http://dx.doi.org/10.1016/j.jii.2021.100279</v>
      </c>
      <c r="BG766" t="s">
        <v>74</v>
      </c>
      <c r="BH766" t="s">
        <v>74</v>
      </c>
      <c r="BI766">
        <v>14</v>
      </c>
      <c r="BJ766" t="s">
        <v>715</v>
      </c>
      <c r="BK766" t="s">
        <v>149</v>
      </c>
      <c r="BL766" t="s">
        <v>716</v>
      </c>
      <c r="BM766" t="s">
        <v>12429</v>
      </c>
      <c r="BN766" t="s">
        <v>74</v>
      </c>
      <c r="BO766" t="s">
        <v>74</v>
      </c>
      <c r="BP766" t="s">
        <v>74</v>
      </c>
      <c r="BQ766" t="s">
        <v>74</v>
      </c>
      <c r="BR766" t="s">
        <v>104</v>
      </c>
      <c r="BS766" t="s">
        <v>12430</v>
      </c>
      <c r="BT766" t="str">
        <f>HYPERLINK("https%3A%2F%2Fwww.webofscience.com%2Fwos%2Fwoscc%2Ffull-record%2FWOS:000896072100001","View Full Record in Web of Science")</f>
        <v>View Full Record in Web of Science</v>
      </c>
    </row>
    <row r="767" spans="1:72" x14ac:dyDescent="0.25">
      <c r="A767" t="s">
        <v>72</v>
      </c>
      <c r="B767" t="s">
        <v>12431</v>
      </c>
      <c r="C767" t="s">
        <v>74</v>
      </c>
      <c r="D767" t="s">
        <v>74</v>
      </c>
      <c r="E767" t="s">
        <v>74</v>
      </c>
      <c r="F767" t="s">
        <v>12432</v>
      </c>
      <c r="G767" t="s">
        <v>74</v>
      </c>
      <c r="H767" t="s">
        <v>74</v>
      </c>
      <c r="I767" t="s">
        <v>12433</v>
      </c>
      <c r="J767" t="s">
        <v>697</v>
      </c>
      <c r="K767" t="s">
        <v>74</v>
      </c>
      <c r="L767" t="s">
        <v>74</v>
      </c>
      <c r="M767" t="s">
        <v>78</v>
      </c>
      <c r="N767" t="s">
        <v>79</v>
      </c>
      <c r="O767" t="s">
        <v>74</v>
      </c>
      <c r="P767" t="s">
        <v>74</v>
      </c>
      <c r="Q767" t="s">
        <v>74</v>
      </c>
      <c r="R767" t="s">
        <v>74</v>
      </c>
      <c r="S767" t="s">
        <v>74</v>
      </c>
      <c r="T767" t="s">
        <v>12434</v>
      </c>
      <c r="U767" t="s">
        <v>12435</v>
      </c>
      <c r="V767" t="s">
        <v>12436</v>
      </c>
      <c r="W767" t="s">
        <v>12437</v>
      </c>
      <c r="X767" t="s">
        <v>12438</v>
      </c>
      <c r="Y767" t="s">
        <v>12439</v>
      </c>
      <c r="Z767" t="s">
        <v>12440</v>
      </c>
      <c r="AA767" t="s">
        <v>8707</v>
      </c>
      <c r="AB767" t="s">
        <v>74</v>
      </c>
      <c r="AC767" t="s">
        <v>12441</v>
      </c>
      <c r="AD767" t="s">
        <v>12442</v>
      </c>
      <c r="AE767" t="s">
        <v>12443</v>
      </c>
      <c r="AF767" t="s">
        <v>74</v>
      </c>
      <c r="AG767">
        <v>42</v>
      </c>
      <c r="AH767">
        <v>11</v>
      </c>
      <c r="AI767">
        <v>12</v>
      </c>
      <c r="AJ767">
        <v>10</v>
      </c>
      <c r="AK767">
        <v>54</v>
      </c>
      <c r="AL767" t="s">
        <v>707</v>
      </c>
      <c r="AM767" t="s">
        <v>246</v>
      </c>
      <c r="AN767" t="s">
        <v>708</v>
      </c>
      <c r="AO767" t="s">
        <v>709</v>
      </c>
      <c r="AP767" t="s">
        <v>710</v>
      </c>
      <c r="AQ767" t="s">
        <v>74</v>
      </c>
      <c r="AR767" t="s">
        <v>711</v>
      </c>
      <c r="AS767" t="s">
        <v>712</v>
      </c>
      <c r="AT767" t="s">
        <v>1008</v>
      </c>
      <c r="AU767">
        <v>2022</v>
      </c>
      <c r="AV767">
        <v>163</v>
      </c>
      <c r="AW767" t="s">
        <v>74</v>
      </c>
      <c r="AX767" t="s">
        <v>74</v>
      </c>
      <c r="AY767" t="s">
        <v>74</v>
      </c>
      <c r="AZ767" t="s">
        <v>74</v>
      </c>
      <c r="BA767" t="s">
        <v>74</v>
      </c>
      <c r="BB767" t="s">
        <v>74</v>
      </c>
      <c r="BC767" t="s">
        <v>74</v>
      </c>
      <c r="BD767">
        <v>107820</v>
      </c>
      <c r="BE767" t="s">
        <v>12444</v>
      </c>
      <c r="BF767" t="str">
        <f>HYPERLINK("http://dx.doi.org/10.1016/j.cie.2021.107820","http://dx.doi.org/10.1016/j.cie.2021.107820")</f>
        <v>http://dx.doi.org/10.1016/j.cie.2021.107820</v>
      </c>
      <c r="BG767" t="s">
        <v>74</v>
      </c>
      <c r="BH767" t="s">
        <v>2468</v>
      </c>
      <c r="BI767">
        <v>11</v>
      </c>
      <c r="BJ767" t="s">
        <v>715</v>
      </c>
      <c r="BK767" t="s">
        <v>322</v>
      </c>
      <c r="BL767" t="s">
        <v>716</v>
      </c>
      <c r="BM767" t="s">
        <v>12445</v>
      </c>
      <c r="BN767" t="s">
        <v>74</v>
      </c>
      <c r="BO767" t="s">
        <v>74</v>
      </c>
      <c r="BP767" t="s">
        <v>74</v>
      </c>
      <c r="BQ767" t="s">
        <v>74</v>
      </c>
      <c r="BR767" t="s">
        <v>104</v>
      </c>
      <c r="BS767" t="s">
        <v>12446</v>
      </c>
      <c r="BT767" t="str">
        <f>HYPERLINK("https%3A%2F%2Fwww.webofscience.com%2Fwos%2Fwoscc%2Ffull-record%2FWOS:000740278100008","View Full Record in Web of Science")</f>
        <v>View Full Record in Web of Science</v>
      </c>
    </row>
    <row r="768" spans="1:72" x14ac:dyDescent="0.25">
      <c r="A768" t="s">
        <v>72</v>
      </c>
      <c r="B768" t="s">
        <v>12447</v>
      </c>
      <c r="C768" t="s">
        <v>74</v>
      </c>
      <c r="D768" t="s">
        <v>74</v>
      </c>
      <c r="E768" t="s">
        <v>74</v>
      </c>
      <c r="F768" t="s">
        <v>12448</v>
      </c>
      <c r="G768" t="s">
        <v>74</v>
      </c>
      <c r="H768" t="s">
        <v>74</v>
      </c>
      <c r="I768" t="s">
        <v>12449</v>
      </c>
      <c r="J768" t="s">
        <v>542</v>
      </c>
      <c r="K768" t="s">
        <v>74</v>
      </c>
      <c r="L768" t="s">
        <v>74</v>
      </c>
      <c r="M768" t="s">
        <v>78</v>
      </c>
      <c r="N768" t="s">
        <v>79</v>
      </c>
      <c r="O768" t="s">
        <v>74</v>
      </c>
      <c r="P768" t="s">
        <v>74</v>
      </c>
      <c r="Q768" t="s">
        <v>74</v>
      </c>
      <c r="R768" t="s">
        <v>74</v>
      </c>
      <c r="S768" t="s">
        <v>74</v>
      </c>
      <c r="T768" t="s">
        <v>12450</v>
      </c>
      <c r="U768" t="s">
        <v>12451</v>
      </c>
      <c r="V768" t="s">
        <v>12452</v>
      </c>
      <c r="W768" t="s">
        <v>12453</v>
      </c>
      <c r="X768" t="s">
        <v>12454</v>
      </c>
      <c r="Y768" t="s">
        <v>12455</v>
      </c>
      <c r="Z768" t="s">
        <v>11894</v>
      </c>
      <c r="AA768" t="s">
        <v>12456</v>
      </c>
      <c r="AB768" t="s">
        <v>12457</v>
      </c>
      <c r="AC768" t="s">
        <v>12458</v>
      </c>
      <c r="AD768" t="s">
        <v>12459</v>
      </c>
      <c r="AE768" t="s">
        <v>12460</v>
      </c>
      <c r="AF768" t="s">
        <v>74</v>
      </c>
      <c r="AG768">
        <v>55</v>
      </c>
      <c r="AH768">
        <v>15</v>
      </c>
      <c r="AI768">
        <v>15</v>
      </c>
      <c r="AJ768">
        <v>4</v>
      </c>
      <c r="AK768">
        <v>28</v>
      </c>
      <c r="AL768" t="s">
        <v>552</v>
      </c>
      <c r="AM768" t="s">
        <v>553</v>
      </c>
      <c r="AN768" t="s">
        <v>554</v>
      </c>
      <c r="AO768" t="s">
        <v>555</v>
      </c>
      <c r="AP768" t="s">
        <v>556</v>
      </c>
      <c r="AQ768" t="s">
        <v>74</v>
      </c>
      <c r="AR768" t="s">
        <v>557</v>
      </c>
      <c r="AS768" t="s">
        <v>558</v>
      </c>
      <c r="AT768" t="s">
        <v>1867</v>
      </c>
      <c r="AU768">
        <v>2021</v>
      </c>
      <c r="AV768">
        <v>235</v>
      </c>
      <c r="AW768">
        <v>2</v>
      </c>
      <c r="AX768" t="s">
        <v>74</v>
      </c>
      <c r="AY768" t="s">
        <v>74</v>
      </c>
      <c r="AZ768" t="s">
        <v>74</v>
      </c>
      <c r="BA768" t="s">
        <v>74</v>
      </c>
      <c r="BB768">
        <v>282</v>
      </c>
      <c r="BC768">
        <v>292</v>
      </c>
      <c r="BD768" t="s">
        <v>12461</v>
      </c>
      <c r="BE768" t="s">
        <v>12462</v>
      </c>
      <c r="BF768" t="str">
        <f>HYPERLINK("http://dx.doi.org/10.1177/1748006X20947846","http://dx.doi.org/10.1177/1748006X20947846")</f>
        <v>http://dx.doi.org/10.1177/1748006X20947846</v>
      </c>
      <c r="BG768" t="s">
        <v>74</v>
      </c>
      <c r="BH768" t="s">
        <v>320</v>
      </c>
      <c r="BI768">
        <v>11</v>
      </c>
      <c r="BJ768" t="s">
        <v>494</v>
      </c>
      <c r="BK768" t="s">
        <v>149</v>
      </c>
      <c r="BL768" t="s">
        <v>150</v>
      </c>
      <c r="BM768" t="s">
        <v>12463</v>
      </c>
      <c r="BN768" t="s">
        <v>74</v>
      </c>
      <c r="BO768" t="s">
        <v>74</v>
      </c>
      <c r="BP768" t="s">
        <v>74</v>
      </c>
      <c r="BQ768" t="s">
        <v>74</v>
      </c>
      <c r="BR768" t="s">
        <v>104</v>
      </c>
      <c r="BS768" t="s">
        <v>12464</v>
      </c>
      <c r="BT768" t="str">
        <f>HYPERLINK("https%3A%2F%2Fwww.webofscience.com%2Fwos%2Fwoscc%2Ffull-record%2FWOS:000559715000001","View Full Record in Web of Science")</f>
        <v>View Full Record in Web of Science</v>
      </c>
    </row>
    <row r="769" spans="1:72" x14ac:dyDescent="0.25">
      <c r="A769" t="s">
        <v>72</v>
      </c>
      <c r="B769" t="s">
        <v>12465</v>
      </c>
      <c r="C769" t="s">
        <v>74</v>
      </c>
      <c r="D769" t="s">
        <v>74</v>
      </c>
      <c r="E769" t="s">
        <v>74</v>
      </c>
      <c r="F769" t="s">
        <v>12466</v>
      </c>
      <c r="G769" t="s">
        <v>74</v>
      </c>
      <c r="H769" t="s">
        <v>74</v>
      </c>
      <c r="I769" t="s">
        <v>12467</v>
      </c>
      <c r="J769" t="s">
        <v>472</v>
      </c>
      <c r="K769" t="s">
        <v>74</v>
      </c>
      <c r="L769" t="s">
        <v>74</v>
      </c>
      <c r="M769" t="s">
        <v>78</v>
      </c>
      <c r="N769" t="s">
        <v>79</v>
      </c>
      <c r="O769" t="s">
        <v>74</v>
      </c>
      <c r="P769" t="s">
        <v>74</v>
      </c>
      <c r="Q769" t="s">
        <v>74</v>
      </c>
      <c r="R769" t="s">
        <v>74</v>
      </c>
      <c r="S769" t="s">
        <v>74</v>
      </c>
      <c r="T769" t="s">
        <v>12468</v>
      </c>
      <c r="U769" t="s">
        <v>12469</v>
      </c>
      <c r="V769" t="s">
        <v>12470</v>
      </c>
      <c r="W769" t="s">
        <v>12471</v>
      </c>
      <c r="X769" t="s">
        <v>12472</v>
      </c>
      <c r="Y769" t="s">
        <v>12473</v>
      </c>
      <c r="Z769" t="s">
        <v>12474</v>
      </c>
      <c r="AA769" t="s">
        <v>74</v>
      </c>
      <c r="AB769" t="s">
        <v>4521</v>
      </c>
      <c r="AC769" t="s">
        <v>12475</v>
      </c>
      <c r="AD769" t="s">
        <v>12476</v>
      </c>
      <c r="AE769" t="s">
        <v>12477</v>
      </c>
      <c r="AF769" t="s">
        <v>74</v>
      </c>
      <c r="AG769">
        <v>35</v>
      </c>
      <c r="AH769">
        <v>11</v>
      </c>
      <c r="AI769">
        <v>11</v>
      </c>
      <c r="AJ769">
        <v>2</v>
      </c>
      <c r="AK769">
        <v>48</v>
      </c>
      <c r="AL769" t="s">
        <v>484</v>
      </c>
      <c r="AM769" t="s">
        <v>485</v>
      </c>
      <c r="AN769" t="s">
        <v>486</v>
      </c>
      <c r="AO769" t="s">
        <v>487</v>
      </c>
      <c r="AP769" t="s">
        <v>488</v>
      </c>
      <c r="AQ769" t="s">
        <v>74</v>
      </c>
      <c r="AR769" t="s">
        <v>489</v>
      </c>
      <c r="AS769" t="s">
        <v>490</v>
      </c>
      <c r="AT769" t="s">
        <v>1076</v>
      </c>
      <c r="AU769">
        <v>2020</v>
      </c>
      <c r="AV769">
        <v>36</v>
      </c>
      <c r="AW769">
        <v>6</v>
      </c>
      <c r="AX769" t="s">
        <v>74</v>
      </c>
      <c r="AY769" t="s">
        <v>74</v>
      </c>
      <c r="AZ769" t="s">
        <v>74</v>
      </c>
      <c r="BA769" t="s">
        <v>74</v>
      </c>
      <c r="BB769">
        <v>2003</v>
      </c>
      <c r="BC769">
        <v>2018</v>
      </c>
      <c r="BD769" t="s">
        <v>74</v>
      </c>
      <c r="BE769" t="s">
        <v>12478</v>
      </c>
      <c r="BF769" t="str">
        <f>HYPERLINK("http://dx.doi.org/10.1002/qre.2670","http://dx.doi.org/10.1002/qre.2670")</f>
        <v>http://dx.doi.org/10.1002/qre.2670</v>
      </c>
      <c r="BG769" t="s">
        <v>74</v>
      </c>
      <c r="BH769" t="s">
        <v>691</v>
      </c>
      <c r="BI769">
        <v>16</v>
      </c>
      <c r="BJ769" t="s">
        <v>494</v>
      </c>
      <c r="BK769" t="s">
        <v>322</v>
      </c>
      <c r="BL769" t="s">
        <v>150</v>
      </c>
      <c r="BM769" t="s">
        <v>12479</v>
      </c>
      <c r="BN769" t="s">
        <v>74</v>
      </c>
      <c r="BO769" t="s">
        <v>74</v>
      </c>
      <c r="BP769" t="s">
        <v>74</v>
      </c>
      <c r="BQ769" t="s">
        <v>74</v>
      </c>
      <c r="BR769" t="s">
        <v>104</v>
      </c>
      <c r="BS769" t="s">
        <v>12480</v>
      </c>
      <c r="BT769" t="str">
        <f>HYPERLINK("https%3A%2F%2Fwww.webofscience.com%2Fwos%2Fwoscc%2Ffull-record%2FWOS:000538807900001","View Full Record in Web of Science")</f>
        <v>View Full Record in Web of Science</v>
      </c>
    </row>
    <row r="770" spans="1:72" x14ac:dyDescent="0.25">
      <c r="A770" t="s">
        <v>72</v>
      </c>
      <c r="B770" t="s">
        <v>12481</v>
      </c>
      <c r="C770" t="s">
        <v>74</v>
      </c>
      <c r="D770" t="s">
        <v>74</v>
      </c>
      <c r="E770" t="s">
        <v>74</v>
      </c>
      <c r="F770" t="s">
        <v>12482</v>
      </c>
      <c r="G770" t="s">
        <v>74</v>
      </c>
      <c r="H770" t="s">
        <v>74</v>
      </c>
      <c r="I770" t="s">
        <v>12483</v>
      </c>
      <c r="J770" t="s">
        <v>128</v>
      </c>
      <c r="K770" t="s">
        <v>74</v>
      </c>
      <c r="L770" t="s">
        <v>74</v>
      </c>
      <c r="M770" t="s">
        <v>78</v>
      </c>
      <c r="N770" t="s">
        <v>79</v>
      </c>
      <c r="O770" t="s">
        <v>74</v>
      </c>
      <c r="P770" t="s">
        <v>74</v>
      </c>
      <c r="Q770" t="s">
        <v>74</v>
      </c>
      <c r="R770" t="s">
        <v>74</v>
      </c>
      <c r="S770" t="s">
        <v>74</v>
      </c>
      <c r="T770" t="s">
        <v>12484</v>
      </c>
      <c r="U770" t="s">
        <v>12485</v>
      </c>
      <c r="V770" t="s">
        <v>12486</v>
      </c>
      <c r="W770" t="s">
        <v>12487</v>
      </c>
      <c r="X770" t="s">
        <v>12488</v>
      </c>
      <c r="Y770" t="s">
        <v>12489</v>
      </c>
      <c r="Z770" t="s">
        <v>3759</v>
      </c>
      <c r="AA770" t="s">
        <v>12490</v>
      </c>
      <c r="AB770" t="s">
        <v>12491</v>
      </c>
      <c r="AC770" t="s">
        <v>12492</v>
      </c>
      <c r="AD770" t="s">
        <v>12493</v>
      </c>
      <c r="AE770" t="s">
        <v>12494</v>
      </c>
      <c r="AF770" t="s">
        <v>74</v>
      </c>
      <c r="AG770">
        <v>42</v>
      </c>
      <c r="AH770">
        <v>17</v>
      </c>
      <c r="AI770">
        <v>18</v>
      </c>
      <c r="AJ770">
        <v>7</v>
      </c>
      <c r="AK770">
        <v>43</v>
      </c>
      <c r="AL770" t="s">
        <v>138</v>
      </c>
      <c r="AM770" t="s">
        <v>246</v>
      </c>
      <c r="AN770" t="s">
        <v>247</v>
      </c>
      <c r="AO770" t="s">
        <v>141</v>
      </c>
      <c r="AP770" t="s">
        <v>142</v>
      </c>
      <c r="AQ770" t="s">
        <v>74</v>
      </c>
      <c r="AR770" t="s">
        <v>143</v>
      </c>
      <c r="AS770" t="s">
        <v>144</v>
      </c>
      <c r="AT770" t="s">
        <v>275</v>
      </c>
      <c r="AU770">
        <v>2021</v>
      </c>
      <c r="AV770">
        <v>207</v>
      </c>
      <c r="AW770" t="s">
        <v>74</v>
      </c>
      <c r="AX770" t="s">
        <v>74</v>
      </c>
      <c r="AY770" t="s">
        <v>74</v>
      </c>
      <c r="AZ770" t="s">
        <v>74</v>
      </c>
      <c r="BA770" t="s">
        <v>74</v>
      </c>
      <c r="BB770" t="s">
        <v>74</v>
      </c>
      <c r="BC770" t="s">
        <v>74</v>
      </c>
      <c r="BD770">
        <v>107319</v>
      </c>
      <c r="BE770" t="s">
        <v>12495</v>
      </c>
      <c r="BF770" t="str">
        <f>HYPERLINK("http://dx.doi.org/10.1016/j.ress.2020.107319","http://dx.doi.org/10.1016/j.ress.2020.107319")</f>
        <v>http://dx.doi.org/10.1016/j.ress.2020.107319</v>
      </c>
      <c r="BG770" t="s">
        <v>74</v>
      </c>
      <c r="BH770" t="s">
        <v>74</v>
      </c>
      <c r="BI770">
        <v>11</v>
      </c>
      <c r="BJ770" t="s">
        <v>148</v>
      </c>
      <c r="BK770" t="s">
        <v>149</v>
      </c>
      <c r="BL770" t="s">
        <v>150</v>
      </c>
      <c r="BM770" t="s">
        <v>5161</v>
      </c>
      <c r="BN770" t="s">
        <v>74</v>
      </c>
      <c r="BO770" t="s">
        <v>74</v>
      </c>
      <c r="BP770" t="s">
        <v>74</v>
      </c>
      <c r="BQ770" t="s">
        <v>74</v>
      </c>
      <c r="BR770" t="s">
        <v>104</v>
      </c>
      <c r="BS770" t="s">
        <v>12496</v>
      </c>
      <c r="BT770" t="str">
        <f>HYPERLINK("https%3A%2F%2Fwww.webofscience.com%2Fwos%2Fwoscc%2Ffull-record%2FWOS:000606682100006","View Full Record in Web of Science")</f>
        <v>View Full Record in Web of Science</v>
      </c>
    </row>
    <row r="771" spans="1:72" x14ac:dyDescent="0.25">
      <c r="A771" t="s">
        <v>72</v>
      </c>
      <c r="B771" t="s">
        <v>12497</v>
      </c>
      <c r="C771" t="s">
        <v>74</v>
      </c>
      <c r="D771" t="s">
        <v>74</v>
      </c>
      <c r="E771" t="s">
        <v>74</v>
      </c>
      <c r="F771" t="s">
        <v>12498</v>
      </c>
      <c r="G771" t="s">
        <v>74</v>
      </c>
      <c r="H771" t="s">
        <v>74</v>
      </c>
      <c r="I771" t="s">
        <v>12499</v>
      </c>
      <c r="J771" t="s">
        <v>697</v>
      </c>
      <c r="K771" t="s">
        <v>74</v>
      </c>
      <c r="L771" t="s">
        <v>74</v>
      </c>
      <c r="M771" t="s">
        <v>78</v>
      </c>
      <c r="N771" t="s">
        <v>79</v>
      </c>
      <c r="O771" t="s">
        <v>74</v>
      </c>
      <c r="P771" t="s">
        <v>74</v>
      </c>
      <c r="Q771" t="s">
        <v>74</v>
      </c>
      <c r="R771" t="s">
        <v>74</v>
      </c>
      <c r="S771" t="s">
        <v>74</v>
      </c>
      <c r="T771" t="s">
        <v>12500</v>
      </c>
      <c r="U771" t="s">
        <v>12501</v>
      </c>
      <c r="V771" t="s">
        <v>12502</v>
      </c>
      <c r="W771" t="s">
        <v>12503</v>
      </c>
      <c r="X771" t="s">
        <v>12504</v>
      </c>
      <c r="Y771" t="s">
        <v>12505</v>
      </c>
      <c r="Z771" t="s">
        <v>12506</v>
      </c>
      <c r="AA771" t="s">
        <v>12386</v>
      </c>
      <c r="AB771" t="s">
        <v>74</v>
      </c>
      <c r="AC771" t="s">
        <v>12507</v>
      </c>
      <c r="AD771" t="s">
        <v>12508</v>
      </c>
      <c r="AE771" t="s">
        <v>12509</v>
      </c>
      <c r="AF771" t="s">
        <v>74</v>
      </c>
      <c r="AG771">
        <v>39</v>
      </c>
      <c r="AH771">
        <v>17</v>
      </c>
      <c r="AI771">
        <v>17</v>
      </c>
      <c r="AJ771">
        <v>0</v>
      </c>
      <c r="AK771">
        <v>20</v>
      </c>
      <c r="AL771" t="s">
        <v>707</v>
      </c>
      <c r="AM771" t="s">
        <v>246</v>
      </c>
      <c r="AN771" t="s">
        <v>708</v>
      </c>
      <c r="AO771" t="s">
        <v>709</v>
      </c>
      <c r="AP771" t="s">
        <v>710</v>
      </c>
      <c r="AQ771" t="s">
        <v>74</v>
      </c>
      <c r="AR771" t="s">
        <v>711</v>
      </c>
      <c r="AS771" t="s">
        <v>712</v>
      </c>
      <c r="AT771" t="s">
        <v>559</v>
      </c>
      <c r="AU771">
        <v>2021</v>
      </c>
      <c r="AV771">
        <v>156</v>
      </c>
      <c r="AW771" t="s">
        <v>74</v>
      </c>
      <c r="AX771" t="s">
        <v>74</v>
      </c>
      <c r="AY771" t="s">
        <v>74</v>
      </c>
      <c r="AZ771" t="s">
        <v>74</v>
      </c>
      <c r="BA771" t="s">
        <v>74</v>
      </c>
      <c r="BB771" t="s">
        <v>74</v>
      </c>
      <c r="BC771" t="s">
        <v>74</v>
      </c>
      <c r="BD771">
        <v>107248</v>
      </c>
      <c r="BE771" t="s">
        <v>12510</v>
      </c>
      <c r="BF771" t="str">
        <f>HYPERLINK("http://dx.doi.org/10.1016/j.cie.2021.107248","http://dx.doi.org/10.1016/j.cie.2021.107248")</f>
        <v>http://dx.doi.org/10.1016/j.cie.2021.107248</v>
      </c>
      <c r="BG771" t="s">
        <v>74</v>
      </c>
      <c r="BH771" t="s">
        <v>714</v>
      </c>
      <c r="BI771">
        <v>18</v>
      </c>
      <c r="BJ771" t="s">
        <v>715</v>
      </c>
      <c r="BK771" t="s">
        <v>149</v>
      </c>
      <c r="BL771" t="s">
        <v>716</v>
      </c>
      <c r="BM771" t="s">
        <v>717</v>
      </c>
      <c r="BN771" t="s">
        <v>74</v>
      </c>
      <c r="BO771" t="s">
        <v>74</v>
      </c>
      <c r="BP771" t="s">
        <v>74</v>
      </c>
      <c r="BQ771" t="s">
        <v>74</v>
      </c>
      <c r="BR771" t="s">
        <v>104</v>
      </c>
      <c r="BS771" t="s">
        <v>12511</v>
      </c>
      <c r="BT771" t="str">
        <f>HYPERLINK("https%3A%2F%2Fwww.webofscience.com%2Fwos%2Fwoscc%2Ffull-record%2FWOS:000647845400031","View Full Record in Web of Science")</f>
        <v>View Full Record in Web of Science</v>
      </c>
    </row>
    <row r="772" spans="1:72" x14ac:dyDescent="0.25">
      <c r="A772" t="s">
        <v>72</v>
      </c>
      <c r="B772" t="s">
        <v>12512</v>
      </c>
      <c r="C772" t="s">
        <v>74</v>
      </c>
      <c r="D772" t="s">
        <v>74</v>
      </c>
      <c r="E772" t="s">
        <v>74</v>
      </c>
      <c r="F772" t="s">
        <v>12513</v>
      </c>
      <c r="G772" t="s">
        <v>74</v>
      </c>
      <c r="H772" t="s">
        <v>74</v>
      </c>
      <c r="I772" t="s">
        <v>12514</v>
      </c>
      <c r="J772" t="s">
        <v>472</v>
      </c>
      <c r="K772" t="s">
        <v>74</v>
      </c>
      <c r="L772" t="s">
        <v>74</v>
      </c>
      <c r="M772" t="s">
        <v>78</v>
      </c>
      <c r="N772" t="s">
        <v>79</v>
      </c>
      <c r="O772" t="s">
        <v>74</v>
      </c>
      <c r="P772" t="s">
        <v>74</v>
      </c>
      <c r="Q772" t="s">
        <v>74</v>
      </c>
      <c r="R772" t="s">
        <v>74</v>
      </c>
      <c r="S772" t="s">
        <v>74</v>
      </c>
      <c r="T772" t="s">
        <v>12515</v>
      </c>
      <c r="U772" t="s">
        <v>12516</v>
      </c>
      <c r="V772" t="s">
        <v>12517</v>
      </c>
      <c r="W772" t="s">
        <v>12518</v>
      </c>
      <c r="X772" t="s">
        <v>12519</v>
      </c>
      <c r="Y772" t="s">
        <v>12520</v>
      </c>
      <c r="Z772" t="s">
        <v>4010</v>
      </c>
      <c r="AA772" t="s">
        <v>74</v>
      </c>
      <c r="AB772" t="s">
        <v>12521</v>
      </c>
      <c r="AC772" t="s">
        <v>12522</v>
      </c>
      <c r="AD772" t="s">
        <v>12523</v>
      </c>
      <c r="AE772" t="s">
        <v>12524</v>
      </c>
      <c r="AF772" t="s">
        <v>74</v>
      </c>
      <c r="AG772">
        <v>44</v>
      </c>
      <c r="AH772">
        <v>0</v>
      </c>
      <c r="AI772">
        <v>0</v>
      </c>
      <c r="AJ772">
        <v>9</v>
      </c>
      <c r="AK772">
        <v>9</v>
      </c>
      <c r="AL772" t="s">
        <v>484</v>
      </c>
      <c r="AM772" t="s">
        <v>485</v>
      </c>
      <c r="AN772" t="s">
        <v>486</v>
      </c>
      <c r="AO772" t="s">
        <v>487</v>
      </c>
      <c r="AP772" t="s">
        <v>488</v>
      </c>
      <c r="AQ772" t="s">
        <v>74</v>
      </c>
      <c r="AR772" t="s">
        <v>489</v>
      </c>
      <c r="AS772" t="s">
        <v>490</v>
      </c>
      <c r="AT772" t="s">
        <v>275</v>
      </c>
      <c r="AU772">
        <v>2025</v>
      </c>
      <c r="AV772">
        <v>41</v>
      </c>
      <c r="AW772">
        <v>2</v>
      </c>
      <c r="AX772" t="s">
        <v>74</v>
      </c>
      <c r="AY772" t="s">
        <v>74</v>
      </c>
      <c r="AZ772" t="s">
        <v>74</v>
      </c>
      <c r="BA772" t="s">
        <v>74</v>
      </c>
      <c r="BB772">
        <v>719</v>
      </c>
      <c r="BC772">
        <v>731</v>
      </c>
      <c r="BD772" t="s">
        <v>74</v>
      </c>
      <c r="BE772" t="s">
        <v>12525</v>
      </c>
      <c r="BF772" t="str">
        <f>HYPERLINK("http://dx.doi.org/10.1002/qre.3689","http://dx.doi.org/10.1002/qre.3689")</f>
        <v>http://dx.doi.org/10.1002/qre.3689</v>
      </c>
      <c r="BG772" t="s">
        <v>74</v>
      </c>
      <c r="BH772" t="s">
        <v>1174</v>
      </c>
      <c r="BI772">
        <v>13</v>
      </c>
      <c r="BJ772" t="s">
        <v>494</v>
      </c>
      <c r="BK772" t="s">
        <v>149</v>
      </c>
      <c r="BL772" t="s">
        <v>150</v>
      </c>
      <c r="BM772" t="s">
        <v>12526</v>
      </c>
      <c r="BN772" t="s">
        <v>74</v>
      </c>
      <c r="BO772" t="s">
        <v>74</v>
      </c>
      <c r="BP772" t="s">
        <v>74</v>
      </c>
      <c r="BQ772" t="s">
        <v>74</v>
      </c>
      <c r="BR772" t="s">
        <v>104</v>
      </c>
      <c r="BS772" t="s">
        <v>12527</v>
      </c>
      <c r="BT772" t="str">
        <f>HYPERLINK("https%3A%2F%2Fwww.webofscience.com%2Fwos%2Fwoscc%2Ffull-record%2FWOS:001361609000001","View Full Record in Web of Science")</f>
        <v>View Full Record in Web of Science</v>
      </c>
    </row>
    <row r="773" spans="1:72" x14ac:dyDescent="0.25">
      <c r="A773" t="s">
        <v>72</v>
      </c>
      <c r="B773" t="s">
        <v>12528</v>
      </c>
      <c r="C773" t="s">
        <v>74</v>
      </c>
      <c r="D773" t="s">
        <v>74</v>
      </c>
      <c r="E773" t="s">
        <v>74</v>
      </c>
      <c r="F773" t="s">
        <v>12529</v>
      </c>
      <c r="G773" t="s">
        <v>74</v>
      </c>
      <c r="H773" t="s">
        <v>74</v>
      </c>
      <c r="I773" t="s">
        <v>12530</v>
      </c>
      <c r="J773" t="s">
        <v>128</v>
      </c>
      <c r="K773" t="s">
        <v>74</v>
      </c>
      <c r="L773" t="s">
        <v>74</v>
      </c>
      <c r="M773" t="s">
        <v>78</v>
      </c>
      <c r="N773" t="s">
        <v>79</v>
      </c>
      <c r="O773" t="s">
        <v>74</v>
      </c>
      <c r="P773" t="s">
        <v>74</v>
      </c>
      <c r="Q773" t="s">
        <v>74</v>
      </c>
      <c r="R773" t="s">
        <v>74</v>
      </c>
      <c r="S773" t="s">
        <v>74</v>
      </c>
      <c r="T773" t="s">
        <v>12531</v>
      </c>
      <c r="U773" t="s">
        <v>12532</v>
      </c>
      <c r="V773" t="s">
        <v>12533</v>
      </c>
      <c r="W773" t="s">
        <v>12534</v>
      </c>
      <c r="X773" t="s">
        <v>12535</v>
      </c>
      <c r="Y773" t="s">
        <v>12536</v>
      </c>
      <c r="Z773" t="s">
        <v>11505</v>
      </c>
      <c r="AA773" t="s">
        <v>12537</v>
      </c>
      <c r="AB773" t="s">
        <v>7982</v>
      </c>
      <c r="AC773" t="s">
        <v>12538</v>
      </c>
      <c r="AD773" t="s">
        <v>12539</v>
      </c>
      <c r="AE773" t="s">
        <v>12540</v>
      </c>
      <c r="AF773" t="s">
        <v>74</v>
      </c>
      <c r="AG773">
        <v>59</v>
      </c>
      <c r="AH773">
        <v>0</v>
      </c>
      <c r="AI773">
        <v>0</v>
      </c>
      <c r="AJ773">
        <v>11</v>
      </c>
      <c r="AK773">
        <v>11</v>
      </c>
      <c r="AL773" t="s">
        <v>138</v>
      </c>
      <c r="AM773" t="s">
        <v>139</v>
      </c>
      <c r="AN773" t="s">
        <v>140</v>
      </c>
      <c r="AO773" t="s">
        <v>141</v>
      </c>
      <c r="AP773" t="s">
        <v>142</v>
      </c>
      <c r="AQ773" t="s">
        <v>74</v>
      </c>
      <c r="AR773" t="s">
        <v>143</v>
      </c>
      <c r="AS773" t="s">
        <v>144</v>
      </c>
      <c r="AT773" t="s">
        <v>1867</v>
      </c>
      <c r="AU773">
        <v>2025</v>
      </c>
      <c r="AV773">
        <v>256</v>
      </c>
      <c r="AW773" t="s">
        <v>74</v>
      </c>
      <c r="AX773" t="s">
        <v>74</v>
      </c>
      <c r="AY773" t="s">
        <v>74</v>
      </c>
      <c r="AZ773" t="s">
        <v>74</v>
      </c>
      <c r="BA773" t="s">
        <v>74</v>
      </c>
      <c r="BB773" t="s">
        <v>74</v>
      </c>
      <c r="BC773" t="s">
        <v>74</v>
      </c>
      <c r="BD773">
        <v>110773</v>
      </c>
      <c r="BE773" t="s">
        <v>12541</v>
      </c>
      <c r="BF773" t="str">
        <f>HYPERLINK("http://dx.doi.org/10.1016/j.ress.2024.110773","http://dx.doi.org/10.1016/j.ress.2024.110773")</f>
        <v>http://dx.doi.org/10.1016/j.ress.2024.110773</v>
      </c>
      <c r="BG773" t="s">
        <v>74</v>
      </c>
      <c r="BH773" t="s">
        <v>1869</v>
      </c>
      <c r="BI773">
        <v>16</v>
      </c>
      <c r="BJ773" t="s">
        <v>148</v>
      </c>
      <c r="BK773" t="s">
        <v>149</v>
      </c>
      <c r="BL773" t="s">
        <v>150</v>
      </c>
      <c r="BM773" t="s">
        <v>12542</v>
      </c>
      <c r="BN773" t="s">
        <v>74</v>
      </c>
      <c r="BO773" t="s">
        <v>74</v>
      </c>
      <c r="BP773" t="s">
        <v>74</v>
      </c>
      <c r="BQ773" t="s">
        <v>74</v>
      </c>
      <c r="BR773" t="s">
        <v>104</v>
      </c>
      <c r="BS773" t="s">
        <v>12543</v>
      </c>
      <c r="BT773" t="str">
        <f>HYPERLINK("https%3A%2F%2Fwww.webofscience.com%2Fwos%2Fwoscc%2Ffull-record%2FWOS:001402026100001","View Full Record in Web of Science")</f>
        <v>View Full Record in Web of Science</v>
      </c>
    </row>
    <row r="774" spans="1:72" x14ac:dyDescent="0.25">
      <c r="A774" t="s">
        <v>72</v>
      </c>
      <c r="B774" t="s">
        <v>12544</v>
      </c>
      <c r="C774" t="s">
        <v>74</v>
      </c>
      <c r="D774" t="s">
        <v>74</v>
      </c>
      <c r="E774" t="s">
        <v>74</v>
      </c>
      <c r="F774" t="s">
        <v>12545</v>
      </c>
      <c r="G774" t="s">
        <v>74</v>
      </c>
      <c r="H774" t="s">
        <v>74</v>
      </c>
      <c r="I774" t="s">
        <v>12546</v>
      </c>
      <c r="J774" t="s">
        <v>128</v>
      </c>
      <c r="K774" t="s">
        <v>74</v>
      </c>
      <c r="L774" t="s">
        <v>74</v>
      </c>
      <c r="M774" t="s">
        <v>78</v>
      </c>
      <c r="N774" t="s">
        <v>79</v>
      </c>
      <c r="O774" t="s">
        <v>74</v>
      </c>
      <c r="P774" t="s">
        <v>74</v>
      </c>
      <c r="Q774" t="s">
        <v>74</v>
      </c>
      <c r="R774" t="s">
        <v>74</v>
      </c>
      <c r="S774" t="s">
        <v>74</v>
      </c>
      <c r="T774" t="s">
        <v>12547</v>
      </c>
      <c r="U774" t="s">
        <v>12548</v>
      </c>
      <c r="V774" t="s">
        <v>12549</v>
      </c>
      <c r="W774" t="s">
        <v>12550</v>
      </c>
      <c r="X774" t="s">
        <v>12551</v>
      </c>
      <c r="Y774" t="s">
        <v>12552</v>
      </c>
      <c r="Z774" t="s">
        <v>12553</v>
      </c>
      <c r="AA774" t="s">
        <v>74</v>
      </c>
      <c r="AB774" t="s">
        <v>74</v>
      </c>
      <c r="AC774" t="s">
        <v>74</v>
      </c>
      <c r="AD774" t="s">
        <v>74</v>
      </c>
      <c r="AE774" t="s">
        <v>74</v>
      </c>
      <c r="AF774" t="s">
        <v>74</v>
      </c>
      <c r="AG774">
        <v>40</v>
      </c>
      <c r="AH774">
        <v>39</v>
      </c>
      <c r="AI774">
        <v>39</v>
      </c>
      <c r="AJ774">
        <v>2</v>
      </c>
      <c r="AK774">
        <v>17</v>
      </c>
      <c r="AL774" t="s">
        <v>138</v>
      </c>
      <c r="AM774" t="s">
        <v>246</v>
      </c>
      <c r="AN774" t="s">
        <v>247</v>
      </c>
      <c r="AO774" t="s">
        <v>141</v>
      </c>
      <c r="AP774" t="s">
        <v>142</v>
      </c>
      <c r="AQ774" t="s">
        <v>74</v>
      </c>
      <c r="AR774" t="s">
        <v>143</v>
      </c>
      <c r="AS774" t="s">
        <v>144</v>
      </c>
      <c r="AT774" t="s">
        <v>2225</v>
      </c>
      <c r="AU774">
        <v>2019</v>
      </c>
      <c r="AV774">
        <v>188</v>
      </c>
      <c r="AW774" t="s">
        <v>74</v>
      </c>
      <c r="AX774" t="s">
        <v>74</v>
      </c>
      <c r="AY774" t="s">
        <v>74</v>
      </c>
      <c r="AZ774" t="s">
        <v>74</v>
      </c>
      <c r="BA774" t="s">
        <v>74</v>
      </c>
      <c r="BB774">
        <v>398</v>
      </c>
      <c r="BC774">
        <v>415</v>
      </c>
      <c r="BD774" t="s">
        <v>74</v>
      </c>
      <c r="BE774" t="s">
        <v>12554</v>
      </c>
      <c r="BF774" t="str">
        <f>HYPERLINK("http://dx.doi.org/10.1016/j.ress.2019.03.036","http://dx.doi.org/10.1016/j.ress.2019.03.036")</f>
        <v>http://dx.doi.org/10.1016/j.ress.2019.03.036</v>
      </c>
      <c r="BG774" t="s">
        <v>74</v>
      </c>
      <c r="BH774" t="s">
        <v>74</v>
      </c>
      <c r="BI774">
        <v>18</v>
      </c>
      <c r="BJ774" t="s">
        <v>148</v>
      </c>
      <c r="BK774" t="s">
        <v>149</v>
      </c>
      <c r="BL774" t="s">
        <v>150</v>
      </c>
      <c r="BM774" t="s">
        <v>6991</v>
      </c>
      <c r="BN774" t="s">
        <v>74</v>
      </c>
      <c r="BO774" t="s">
        <v>74</v>
      </c>
      <c r="BP774" t="s">
        <v>74</v>
      </c>
      <c r="BQ774" t="s">
        <v>74</v>
      </c>
      <c r="BR774" t="s">
        <v>104</v>
      </c>
      <c r="BS774" t="s">
        <v>12555</v>
      </c>
      <c r="BT774" t="str">
        <f>HYPERLINK("https%3A%2F%2Fwww.webofscience.com%2Fwos%2Fwoscc%2Ffull-record%2FWOS:000470341400036","View Full Record in Web of Science")</f>
        <v>View Full Record in Web of Science</v>
      </c>
    </row>
    <row r="775" spans="1:72" x14ac:dyDescent="0.25">
      <c r="A775" t="s">
        <v>72</v>
      </c>
      <c r="B775" t="s">
        <v>12556</v>
      </c>
      <c r="C775" t="s">
        <v>74</v>
      </c>
      <c r="D775" t="s">
        <v>74</v>
      </c>
      <c r="E775" t="s">
        <v>74</v>
      </c>
      <c r="F775" t="s">
        <v>12557</v>
      </c>
      <c r="G775" t="s">
        <v>74</v>
      </c>
      <c r="H775" t="s">
        <v>74</v>
      </c>
      <c r="I775" t="s">
        <v>12558</v>
      </c>
      <c r="J775" t="s">
        <v>128</v>
      </c>
      <c r="K775" t="s">
        <v>74</v>
      </c>
      <c r="L775" t="s">
        <v>74</v>
      </c>
      <c r="M775" t="s">
        <v>78</v>
      </c>
      <c r="N775" t="s">
        <v>79</v>
      </c>
      <c r="O775" t="s">
        <v>74</v>
      </c>
      <c r="P775" t="s">
        <v>74</v>
      </c>
      <c r="Q775" t="s">
        <v>74</v>
      </c>
      <c r="R775" t="s">
        <v>74</v>
      </c>
      <c r="S775" t="s">
        <v>74</v>
      </c>
      <c r="T775" t="s">
        <v>12559</v>
      </c>
      <c r="U775" t="s">
        <v>12560</v>
      </c>
      <c r="V775" t="s">
        <v>12561</v>
      </c>
      <c r="W775" t="s">
        <v>12562</v>
      </c>
      <c r="X775" t="s">
        <v>12563</v>
      </c>
      <c r="Y775" t="s">
        <v>12564</v>
      </c>
      <c r="Z775" t="s">
        <v>12565</v>
      </c>
      <c r="AA775" t="s">
        <v>12386</v>
      </c>
      <c r="AB775" t="s">
        <v>74</v>
      </c>
      <c r="AC775" t="s">
        <v>12566</v>
      </c>
      <c r="AD775" t="s">
        <v>12567</v>
      </c>
      <c r="AE775" t="s">
        <v>12568</v>
      </c>
      <c r="AF775" t="s">
        <v>74</v>
      </c>
      <c r="AG775">
        <v>85</v>
      </c>
      <c r="AH775">
        <v>8</v>
      </c>
      <c r="AI775">
        <v>8</v>
      </c>
      <c r="AJ775">
        <v>3</v>
      </c>
      <c r="AK775">
        <v>10</v>
      </c>
      <c r="AL775" t="s">
        <v>138</v>
      </c>
      <c r="AM775" t="s">
        <v>139</v>
      </c>
      <c r="AN775" t="s">
        <v>140</v>
      </c>
      <c r="AO775" t="s">
        <v>141</v>
      </c>
      <c r="AP775" t="s">
        <v>142</v>
      </c>
      <c r="AQ775" t="s">
        <v>74</v>
      </c>
      <c r="AR775" t="s">
        <v>143</v>
      </c>
      <c r="AS775" t="s">
        <v>144</v>
      </c>
      <c r="AT775" t="s">
        <v>1076</v>
      </c>
      <c r="AU775">
        <v>2023</v>
      </c>
      <c r="AV775">
        <v>238</v>
      </c>
      <c r="AW775" t="s">
        <v>74</v>
      </c>
      <c r="AX775" t="s">
        <v>74</v>
      </c>
      <c r="AY775" t="s">
        <v>74</v>
      </c>
      <c r="AZ775" t="s">
        <v>74</v>
      </c>
      <c r="BA775" t="s">
        <v>74</v>
      </c>
      <c r="BB775" t="s">
        <v>74</v>
      </c>
      <c r="BC775" t="s">
        <v>74</v>
      </c>
      <c r="BD775">
        <v>109420</v>
      </c>
      <c r="BE775" t="s">
        <v>12569</v>
      </c>
      <c r="BF775" t="str">
        <f>HYPERLINK("http://dx.doi.org/10.1016/j.ress.2023.109420","http://dx.doi.org/10.1016/j.ress.2023.109420")</f>
        <v>http://dx.doi.org/10.1016/j.ress.2023.109420</v>
      </c>
      <c r="BG775" t="s">
        <v>74</v>
      </c>
      <c r="BH775" t="s">
        <v>1042</v>
      </c>
      <c r="BI775">
        <v>15</v>
      </c>
      <c r="BJ775" t="s">
        <v>148</v>
      </c>
      <c r="BK775" t="s">
        <v>149</v>
      </c>
      <c r="BL775" t="s">
        <v>150</v>
      </c>
      <c r="BM775" t="s">
        <v>12570</v>
      </c>
      <c r="BN775" t="s">
        <v>74</v>
      </c>
      <c r="BO775" t="s">
        <v>74</v>
      </c>
      <c r="BP775" t="s">
        <v>74</v>
      </c>
      <c r="BQ775" t="s">
        <v>74</v>
      </c>
      <c r="BR775" t="s">
        <v>104</v>
      </c>
      <c r="BS775" t="s">
        <v>12571</v>
      </c>
      <c r="BT775" t="str">
        <f>HYPERLINK("https%3A%2F%2Fwww.webofscience.com%2Fwos%2Fwoscc%2Ffull-record%2FWOS:001032752600001","View Full Record in Web of Science")</f>
        <v>View Full Record in Web of Science</v>
      </c>
    </row>
    <row r="776" spans="1:72" x14ac:dyDescent="0.25">
      <c r="A776" t="s">
        <v>72</v>
      </c>
      <c r="B776" t="s">
        <v>12572</v>
      </c>
      <c r="C776" t="s">
        <v>74</v>
      </c>
      <c r="D776" t="s">
        <v>74</v>
      </c>
      <c r="E776" t="s">
        <v>74</v>
      </c>
      <c r="F776" t="s">
        <v>12573</v>
      </c>
      <c r="G776" t="s">
        <v>74</v>
      </c>
      <c r="H776" t="s">
        <v>74</v>
      </c>
      <c r="I776" t="s">
        <v>12574</v>
      </c>
      <c r="J776" t="s">
        <v>697</v>
      </c>
      <c r="K776" t="s">
        <v>74</v>
      </c>
      <c r="L776" t="s">
        <v>74</v>
      </c>
      <c r="M776" t="s">
        <v>78</v>
      </c>
      <c r="N776" t="s">
        <v>79</v>
      </c>
      <c r="O776" t="s">
        <v>74</v>
      </c>
      <c r="P776" t="s">
        <v>74</v>
      </c>
      <c r="Q776" t="s">
        <v>74</v>
      </c>
      <c r="R776" t="s">
        <v>74</v>
      </c>
      <c r="S776" t="s">
        <v>74</v>
      </c>
      <c r="T776" t="s">
        <v>12575</v>
      </c>
      <c r="U776" t="s">
        <v>12576</v>
      </c>
      <c r="V776" t="s">
        <v>12577</v>
      </c>
      <c r="W776" t="s">
        <v>12578</v>
      </c>
      <c r="X776" t="s">
        <v>12579</v>
      </c>
      <c r="Y776" t="s">
        <v>12580</v>
      </c>
      <c r="Z776" t="s">
        <v>12581</v>
      </c>
      <c r="AA776" t="s">
        <v>12386</v>
      </c>
      <c r="AB776" t="s">
        <v>12582</v>
      </c>
      <c r="AC776" t="s">
        <v>12583</v>
      </c>
      <c r="AD776" t="s">
        <v>12584</v>
      </c>
      <c r="AE776" t="s">
        <v>12585</v>
      </c>
      <c r="AF776" t="s">
        <v>74</v>
      </c>
      <c r="AG776">
        <v>89</v>
      </c>
      <c r="AH776">
        <v>14</v>
      </c>
      <c r="AI776">
        <v>14</v>
      </c>
      <c r="AJ776">
        <v>0</v>
      </c>
      <c r="AK776">
        <v>14</v>
      </c>
      <c r="AL776" t="s">
        <v>707</v>
      </c>
      <c r="AM776" t="s">
        <v>246</v>
      </c>
      <c r="AN776" t="s">
        <v>708</v>
      </c>
      <c r="AO776" t="s">
        <v>709</v>
      </c>
      <c r="AP776" t="s">
        <v>710</v>
      </c>
      <c r="AQ776" t="s">
        <v>74</v>
      </c>
      <c r="AR776" t="s">
        <v>711</v>
      </c>
      <c r="AS776" t="s">
        <v>712</v>
      </c>
      <c r="AT776" t="s">
        <v>1008</v>
      </c>
      <c r="AU776">
        <v>2020</v>
      </c>
      <c r="AV776">
        <v>139</v>
      </c>
      <c r="AW776" t="s">
        <v>74</v>
      </c>
      <c r="AX776" t="s">
        <v>74</v>
      </c>
      <c r="AY776" t="s">
        <v>74</v>
      </c>
      <c r="AZ776" t="s">
        <v>74</v>
      </c>
      <c r="BA776" t="s">
        <v>74</v>
      </c>
      <c r="BB776" t="s">
        <v>74</v>
      </c>
      <c r="BC776" t="s">
        <v>74</v>
      </c>
      <c r="BD776">
        <v>106206</v>
      </c>
      <c r="BE776" t="s">
        <v>12586</v>
      </c>
      <c r="BF776" t="str">
        <f>HYPERLINK("http://dx.doi.org/10.1016/j.cie.2019.106206","http://dx.doi.org/10.1016/j.cie.2019.106206")</f>
        <v>http://dx.doi.org/10.1016/j.cie.2019.106206</v>
      </c>
      <c r="BG776" t="s">
        <v>74</v>
      </c>
      <c r="BH776" t="s">
        <v>74</v>
      </c>
      <c r="BI776">
        <v>14</v>
      </c>
      <c r="BJ776" t="s">
        <v>715</v>
      </c>
      <c r="BK776" t="s">
        <v>149</v>
      </c>
      <c r="BL776" t="s">
        <v>716</v>
      </c>
      <c r="BM776" t="s">
        <v>8128</v>
      </c>
      <c r="BN776" t="s">
        <v>74</v>
      </c>
      <c r="BO776" t="s">
        <v>74</v>
      </c>
      <c r="BP776" t="s">
        <v>74</v>
      </c>
      <c r="BQ776" t="s">
        <v>74</v>
      </c>
      <c r="BR776" t="s">
        <v>104</v>
      </c>
      <c r="BS776" t="s">
        <v>12587</v>
      </c>
      <c r="BT776" t="str">
        <f>HYPERLINK("https%3A%2F%2Fwww.webofscience.com%2Fwos%2Fwoscc%2Ffull-record%2FWOS:000509784000055","View Full Record in Web of Science")</f>
        <v>View Full Record in Web of Science</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Rojas Valdivia</dc:creator>
  <cp:lastModifiedBy>Luis Rojas Valdivia</cp:lastModifiedBy>
  <dcterms:created xsi:type="dcterms:W3CDTF">2025-03-28T14:30:05Z</dcterms:created>
  <dcterms:modified xsi:type="dcterms:W3CDTF">2025-03-28T14:30:05Z</dcterms:modified>
</cp:coreProperties>
</file>