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ist\OneDrive\Escritorio\Actuaria Acatlan\Administracion De Riesgos\"/>
    </mc:Choice>
  </mc:AlternateContent>
  <xr:revisionPtr revIDLastSave="0" documentId="13_ncr:1_{41AB6708-F6DE-4947-A45F-D706F68E51ED}" xr6:coauthVersionLast="47" xr6:coauthVersionMax="47" xr10:uidLastSave="{00000000-0000-0000-0000-000000000000}"/>
  <bookViews>
    <workbookView xWindow="-120" yWindow="-120" windowWidth="29040" windowHeight="15720" xr2:uid="{9C9C63F4-7CD9-45D5-8309-C92C3240C272}"/>
  </bookViews>
  <sheets>
    <sheet name="Tabla de Amorticación" sheetId="2" r:id="rId1"/>
    <sheet name="Modelo de Supervivenci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8" i="1" l="1"/>
  <c r="P7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7" i="1"/>
  <c r="P9" i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7" i="1"/>
  <c r="D7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9" i="1"/>
  <c r="M8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7" i="1"/>
  <c r="K11" i="2"/>
  <c r="J23" i="2"/>
  <c r="J11" i="2"/>
  <c r="E7" i="2"/>
  <c r="B8" i="2" l="1"/>
  <c r="D12" i="2" s="1"/>
  <c r="J12" i="2" s="1"/>
  <c r="F7" i="2"/>
  <c r="D7" i="2"/>
  <c r="F12" i="2" l="1"/>
  <c r="G12" i="2" s="1"/>
  <c r="E12" i="2"/>
  <c r="B12" i="2"/>
  <c r="I11" i="2"/>
  <c r="H11" i="2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8" i="1"/>
  <c r="F7" i="1"/>
  <c r="C7" i="1"/>
  <c r="I23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12" i="2"/>
  <c r="G11" i="2"/>
  <c r="D15" i="2"/>
  <c r="J15" i="2" s="1"/>
  <c r="K15" i="2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B2" i="1" l="1"/>
  <c r="D32" i="2"/>
  <c r="J32" i="2" s="1"/>
  <c r="K32" i="2" s="1"/>
  <c r="D25" i="2"/>
  <c r="J25" i="2" s="1"/>
  <c r="K25" i="2" s="1"/>
  <c r="D30" i="2"/>
  <c r="J30" i="2" s="1"/>
  <c r="K30" i="2" s="1"/>
  <c r="D14" i="2"/>
  <c r="J14" i="2" s="1"/>
  <c r="K14" i="2" s="1"/>
  <c r="D19" i="2"/>
  <c r="J19" i="2" s="1"/>
  <c r="K19" i="2" s="1"/>
  <c r="D18" i="2"/>
  <c r="J18" i="2" s="1"/>
  <c r="K18" i="2" s="1"/>
  <c r="D35" i="2"/>
  <c r="J35" i="2" s="1"/>
  <c r="K35" i="2" s="1"/>
  <c r="D29" i="2"/>
  <c r="J29" i="2" s="1"/>
  <c r="K29" i="2" s="1"/>
  <c r="D23" i="2"/>
  <c r="K23" i="2" s="1"/>
  <c r="D17" i="2"/>
  <c r="J17" i="2" s="1"/>
  <c r="K17" i="2" s="1"/>
  <c r="D20" i="2"/>
  <c r="J20" i="2" s="1"/>
  <c r="K20" i="2" s="1"/>
  <c r="D31" i="2"/>
  <c r="J31" i="2" s="1"/>
  <c r="K31" i="2" s="1"/>
  <c r="D24" i="2"/>
  <c r="J24" i="2" s="1"/>
  <c r="K24" i="2" s="1"/>
  <c r="D26" i="2"/>
  <c r="J26" i="2" s="1"/>
  <c r="K26" i="2" s="1"/>
  <c r="D34" i="2"/>
  <c r="J34" i="2" s="1"/>
  <c r="K34" i="2" s="1"/>
  <c r="D28" i="2"/>
  <c r="J28" i="2" s="1"/>
  <c r="K28" i="2" s="1"/>
  <c r="D22" i="2"/>
  <c r="J22" i="2" s="1"/>
  <c r="K22" i="2" s="1"/>
  <c r="D16" i="2"/>
  <c r="J16" i="2" s="1"/>
  <c r="K16" i="2" s="1"/>
  <c r="D13" i="2"/>
  <c r="J13" i="2" s="1"/>
  <c r="K13" i="2" s="1"/>
  <c r="D33" i="2"/>
  <c r="J33" i="2" s="1"/>
  <c r="K33" i="2" s="1"/>
  <c r="D27" i="2"/>
  <c r="J27" i="2" s="1"/>
  <c r="K27" i="2" s="1"/>
  <c r="D21" i="2"/>
  <c r="J21" i="2" s="1"/>
  <c r="K21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B18" i="1" l="1"/>
  <c r="D18" i="1" s="1"/>
  <c r="B30" i="1"/>
  <c r="D30" i="1" s="1"/>
  <c r="B20" i="1"/>
  <c r="D20" i="1" s="1"/>
  <c r="B9" i="1"/>
  <c r="D9" i="1" s="1"/>
  <c r="B21" i="1"/>
  <c r="D21" i="1" s="1"/>
  <c r="B27" i="1"/>
  <c r="D27" i="1" s="1"/>
  <c r="B19" i="1"/>
  <c r="D19" i="1" s="1"/>
  <c r="B7" i="1"/>
  <c r="H7" i="1" s="1"/>
  <c r="B22" i="1"/>
  <c r="D22" i="1" s="1"/>
  <c r="B8" i="1"/>
  <c r="D8" i="1" s="1"/>
  <c r="B10" i="1"/>
  <c r="D10" i="1" s="1"/>
  <c r="B25" i="1"/>
  <c r="D25" i="1" s="1"/>
  <c r="B26" i="1"/>
  <c r="D26" i="1" s="1"/>
  <c r="B23" i="1"/>
  <c r="D23" i="1" s="1"/>
  <c r="B29" i="1"/>
  <c r="D29" i="1" s="1"/>
  <c r="B11" i="1"/>
  <c r="D11" i="1" s="1"/>
  <c r="B28" i="1"/>
  <c r="D28" i="1" s="1"/>
  <c r="B12" i="1"/>
  <c r="D12" i="1" s="1"/>
  <c r="B24" i="1"/>
  <c r="D24" i="1" s="1"/>
  <c r="B13" i="1"/>
  <c r="D13" i="1" s="1"/>
  <c r="B16" i="1"/>
  <c r="D16" i="1" s="1"/>
  <c r="B17" i="1"/>
  <c r="D17" i="1" s="1"/>
  <c r="B14" i="1"/>
  <c r="D14" i="1" s="1"/>
  <c r="B15" i="1"/>
  <c r="D15" i="1" s="1"/>
  <c r="K12" i="2"/>
  <c r="K9" i="2" s="1"/>
  <c r="B13" i="2"/>
  <c r="E13" i="2" l="1"/>
  <c r="F13" i="2" s="1"/>
  <c r="G13" i="2" s="1"/>
  <c r="B14" i="2" s="1"/>
  <c r="C8" i="1"/>
  <c r="H8" i="1" s="1"/>
  <c r="E14" i="2" l="1"/>
  <c r="F14" i="2" s="1"/>
  <c r="G14" i="2" s="1"/>
  <c r="B15" i="2" s="1"/>
  <c r="C9" i="1"/>
  <c r="H9" i="1" s="1"/>
  <c r="E15" i="2" l="1"/>
  <c r="F15" i="2" s="1"/>
  <c r="G15" i="2" s="1"/>
  <c r="B16" i="2" s="1"/>
  <c r="C10" i="1"/>
  <c r="H10" i="1" s="1"/>
  <c r="E16" i="2" l="1"/>
  <c r="F16" i="2" s="1"/>
  <c r="G16" i="2" s="1"/>
  <c r="B17" i="2" s="1"/>
  <c r="C11" i="1"/>
  <c r="H11" i="1" s="1"/>
  <c r="E17" i="2" l="1"/>
  <c r="F17" i="2" s="1"/>
  <c r="G17" i="2" s="1"/>
  <c r="B18" i="2" s="1"/>
  <c r="C12" i="1"/>
  <c r="H12" i="1" s="1"/>
  <c r="E18" i="2" l="1"/>
  <c r="F18" i="2" s="1"/>
  <c r="G18" i="2" s="1"/>
  <c r="B19" i="2" s="1"/>
  <c r="C13" i="1"/>
  <c r="H13" i="1" s="1"/>
  <c r="E19" i="2" l="1"/>
  <c r="F19" i="2" s="1"/>
  <c r="G19" i="2" s="1"/>
  <c r="B20" i="2" s="1"/>
  <c r="C14" i="1"/>
  <c r="H14" i="1" s="1"/>
  <c r="E20" i="2" l="1"/>
  <c r="F20" i="2" s="1"/>
  <c r="G20" i="2" s="1"/>
  <c r="B21" i="2" s="1"/>
  <c r="C15" i="1"/>
  <c r="H15" i="1" s="1"/>
  <c r="E21" i="2" l="1"/>
  <c r="F21" i="2" s="1"/>
  <c r="G21" i="2" s="1"/>
  <c r="B22" i="2" s="1"/>
  <c r="C16" i="1"/>
  <c r="H16" i="1" s="1"/>
  <c r="E22" i="2" l="1"/>
  <c r="F22" i="2" s="1"/>
  <c r="G22" i="2" s="1"/>
  <c r="B23" i="2" s="1"/>
  <c r="C17" i="1"/>
  <c r="H17" i="1" s="1"/>
  <c r="E23" i="2" l="1"/>
  <c r="F23" i="2" s="1"/>
  <c r="G23" i="2" s="1"/>
  <c r="B24" i="2" s="1"/>
  <c r="C18" i="1"/>
  <c r="H18" i="1" s="1"/>
  <c r="H35" i="1" s="1"/>
  <c r="H37" i="1" s="1"/>
  <c r="E24" i="2" l="1"/>
  <c r="F24" i="2" s="1"/>
  <c r="G24" i="2" s="1"/>
  <c r="B25" i="2" s="1"/>
  <c r="C19" i="1"/>
  <c r="H19" i="1" s="1"/>
  <c r="E25" i="2" l="1"/>
  <c r="F25" i="2" s="1"/>
  <c r="G25" i="2" s="1"/>
  <c r="B26" i="2" s="1"/>
  <c r="C20" i="1"/>
  <c r="H20" i="1" s="1"/>
  <c r="E26" i="2" l="1"/>
  <c r="F26" i="2" s="1"/>
  <c r="G26" i="2" s="1"/>
  <c r="B27" i="2" s="1"/>
  <c r="C21" i="1"/>
  <c r="H21" i="1" s="1"/>
  <c r="E27" i="2" l="1"/>
  <c r="F27" i="2" s="1"/>
  <c r="G27" i="2" s="1"/>
  <c r="B28" i="2" s="1"/>
  <c r="C22" i="1"/>
  <c r="H22" i="1" s="1"/>
  <c r="E28" i="2" l="1"/>
  <c r="F28" i="2" s="1"/>
  <c r="G28" i="2" s="1"/>
  <c r="B29" i="2" s="1"/>
  <c r="C23" i="1"/>
  <c r="H23" i="1" s="1"/>
  <c r="E29" i="2" l="1"/>
  <c r="F29" i="2" s="1"/>
  <c r="G29" i="2" s="1"/>
  <c r="B30" i="2" s="1"/>
  <c r="C24" i="1"/>
  <c r="H24" i="1" s="1"/>
  <c r="E30" i="2" l="1"/>
  <c r="F30" i="2" s="1"/>
  <c r="G30" i="2" s="1"/>
  <c r="B31" i="2" s="1"/>
  <c r="C25" i="1"/>
  <c r="H25" i="1" s="1"/>
  <c r="E31" i="2" l="1"/>
  <c r="F31" i="2" s="1"/>
  <c r="G31" i="2" s="1"/>
  <c r="B32" i="2" s="1"/>
  <c r="C26" i="1"/>
  <c r="H26" i="1" s="1"/>
  <c r="E32" i="2" l="1"/>
  <c r="F32" i="2" s="1"/>
  <c r="G32" i="2" s="1"/>
  <c r="B33" i="2" s="1"/>
  <c r="C27" i="1"/>
  <c r="H27" i="1" s="1"/>
  <c r="E33" i="2" l="1"/>
  <c r="F33" i="2" s="1"/>
  <c r="G33" i="2" s="1"/>
  <c r="B34" i="2" s="1"/>
  <c r="C28" i="1"/>
  <c r="H28" i="1" s="1"/>
  <c r="E34" i="2" l="1"/>
  <c r="F34" i="2" s="1"/>
  <c r="G34" i="2" s="1"/>
  <c r="B35" i="2" s="1"/>
  <c r="C29" i="1"/>
  <c r="H29" i="1" s="1"/>
  <c r="E35" i="2" l="1"/>
  <c r="F35" i="2" s="1"/>
  <c r="G35" i="2" s="1"/>
  <c r="C30" i="1"/>
  <c r="H30" i="1" s="1"/>
  <c r="H32" i="1" s="1"/>
  <c r="H34" i="1" s="1"/>
</calcChain>
</file>

<file path=xl/sharedStrings.xml><?xml version="1.0" encoding="utf-8"?>
<sst xmlns="http://schemas.openxmlformats.org/spreadsheetml/2006/main" count="45" uniqueCount="35">
  <si>
    <t>Modelo de Supervivencia</t>
  </si>
  <si>
    <r>
      <t xml:space="preserve">Tasa </t>
    </r>
    <r>
      <rPr>
        <b/>
        <i/>
        <sz val="11"/>
        <color theme="0"/>
        <rFont val="EYInterstate Light"/>
      </rPr>
      <t>r</t>
    </r>
  </si>
  <si>
    <r>
      <t>EI</t>
    </r>
    <r>
      <rPr>
        <b/>
        <sz val="8"/>
        <color theme="0"/>
        <rFont val="EYInterstate Light"/>
      </rPr>
      <t>t</t>
    </r>
  </si>
  <si>
    <t>Factor de Descuento</t>
  </si>
  <si>
    <t>PI</t>
  </si>
  <si>
    <r>
      <t>PS</t>
    </r>
    <r>
      <rPr>
        <b/>
        <sz val="8"/>
        <color theme="0"/>
        <rFont val="EYInterstate Light"/>
      </rPr>
      <t>t-1</t>
    </r>
  </si>
  <si>
    <t>SP</t>
  </si>
  <si>
    <t>Reserva</t>
  </si>
  <si>
    <t>Tiempo</t>
  </si>
  <si>
    <t>SI Inicio</t>
  </si>
  <si>
    <t>Tasa</t>
  </si>
  <si>
    <t>Int.</t>
  </si>
  <si>
    <t>Pago a Capital</t>
  </si>
  <si>
    <t>SI Final</t>
  </si>
  <si>
    <t>Tabla de Amortización del Crédito</t>
  </si>
  <si>
    <t>Línea de 
Crédito</t>
  </si>
  <si>
    <t>Tasa del 
Crédito (Anual)</t>
  </si>
  <si>
    <t>Tiempo (n)</t>
  </si>
  <si>
    <t>meses</t>
  </si>
  <si>
    <t>Pago = Cap + Int</t>
  </si>
  <si>
    <t xml:space="preserve">Tasa Comisión 
por Apertura </t>
  </si>
  <si>
    <t>Pagar Seguro (Anual)</t>
  </si>
  <si>
    <t>Comisión por
 Apertura</t>
  </si>
  <si>
    <t>Seguro 
de Vida</t>
  </si>
  <si>
    <t>Pago Final</t>
  </si>
  <si>
    <t>Tasa Efectiva</t>
  </si>
  <si>
    <t>Flujos a VP</t>
  </si>
  <si>
    <t>Supuesto</t>
  </si>
  <si>
    <t>Reserva lifetime =</t>
  </si>
  <si>
    <t>Reserva 12m =</t>
  </si>
  <si>
    <t>Tasa Efectiva =</t>
  </si>
  <si>
    <t>Probabilidad de Incumplimiento calculada con Puntajes</t>
  </si>
  <si>
    <t>Severidad de la Pérdidad mediante la fórmula de las notas</t>
  </si>
  <si>
    <t>Pago Mensual</t>
  </si>
  <si>
    <t>Flujos_t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</si>
</sst>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#,##0.00_ ;\-#,##0.00\ "/>
    <numFmt numFmtId="166" formatCode="0.0000%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EYInterstate Light"/>
    </font>
    <font>
      <b/>
      <sz val="11"/>
      <color theme="0"/>
      <name val="EYInterstate Light"/>
    </font>
    <font>
      <b/>
      <i/>
      <sz val="11"/>
      <color theme="0"/>
      <name val="EYInterstate Light"/>
    </font>
    <font>
      <b/>
      <sz val="8"/>
      <color theme="0"/>
      <name val="EYInterstate Light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mediumDashed">
        <color theme="0" tint="-0.24994659260841701"/>
      </left>
      <right style="mediumDashed">
        <color theme="0" tint="-0.24994659260841701"/>
      </right>
      <top style="mediumDashed">
        <color theme="0" tint="-0.24994659260841701"/>
      </top>
      <bottom style="mediumDashed">
        <color theme="0" tint="-0.24994659260841701"/>
      </bottom>
      <diagonal/>
    </border>
    <border>
      <left style="mediumDashed">
        <color theme="0" tint="-0.34998626667073579"/>
      </left>
      <right style="mediumDashed">
        <color theme="0" tint="-0.34998626667073579"/>
      </right>
      <top/>
      <bottom style="mediumDashed">
        <color theme="0" tint="-0.34998626667073579"/>
      </bottom>
      <diagonal/>
    </border>
    <border>
      <left style="mediumDashed">
        <color theme="0" tint="-0.34998626667073579"/>
      </left>
      <right style="mediumDashed">
        <color theme="0" tint="-0.34998626667073579"/>
      </right>
      <top style="mediumDashed">
        <color theme="0" tint="-0.34998626667073579"/>
      </top>
      <bottom style="mediumDashed">
        <color theme="0" tint="-0.34998626667073579"/>
      </bottom>
      <diagonal/>
    </border>
    <border>
      <left/>
      <right style="mediumDashed">
        <color theme="5"/>
      </right>
      <top/>
      <bottom/>
      <diagonal/>
    </border>
    <border>
      <left style="mediumDashed">
        <color theme="5"/>
      </left>
      <right style="mediumDashed">
        <color theme="5"/>
      </right>
      <top style="mediumDashed">
        <color theme="5"/>
      </top>
      <bottom/>
      <diagonal/>
    </border>
    <border>
      <left style="mediumDashed">
        <color theme="5"/>
      </left>
      <right style="mediumDashed">
        <color theme="5"/>
      </right>
      <top/>
      <bottom style="mediumDashed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1">
    <xf numFmtId="0" fontId="0" fillId="0" borderId="0" xfId="0"/>
    <xf numFmtId="0" fontId="4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43" fontId="0" fillId="0" borderId="7" xfId="1" applyFont="1" applyBorder="1"/>
    <xf numFmtId="43" fontId="0" fillId="0" borderId="7" xfId="0" applyNumberFormat="1" applyBorder="1"/>
    <xf numFmtId="43" fontId="0" fillId="0" borderId="0" xfId="1" applyFont="1" applyAlignment="1">
      <alignment vertical="center"/>
    </xf>
    <xf numFmtId="0" fontId="0" fillId="0" borderId="0" xfId="0" applyAlignment="1">
      <alignment horizontal="center"/>
    </xf>
    <xf numFmtId="164" fontId="0" fillId="0" borderId="7" xfId="2" applyNumberFormat="1" applyFont="1" applyBorder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43" fontId="0" fillId="0" borderId="0" xfId="0" applyNumberFormat="1"/>
    <xf numFmtId="0" fontId="3" fillId="0" borderId="0" xfId="0" applyFont="1" applyAlignment="1">
      <alignment horizontal="center" vertical="center"/>
    </xf>
    <xf numFmtId="0" fontId="3" fillId="5" borderId="0" xfId="0" applyFont="1" applyFill="1" applyAlignment="1">
      <alignment horizontal="center"/>
    </xf>
    <xf numFmtId="10" fontId="3" fillId="4" borderId="0" xfId="0" applyNumberFormat="1" applyFont="1" applyFill="1" applyAlignment="1">
      <alignment horizontal="center"/>
    </xf>
    <xf numFmtId="0" fontId="3" fillId="0" borderId="0" xfId="0" applyFont="1"/>
    <xf numFmtId="0" fontId="0" fillId="0" borderId="0" xfId="0" applyAlignment="1">
      <alignment vertical="center"/>
    </xf>
    <xf numFmtId="164" fontId="3" fillId="0" borderId="2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9" fontId="3" fillId="0" borderId="2" xfId="0" applyNumberFormat="1" applyFont="1" applyBorder="1" applyAlignment="1">
      <alignment horizontal="center"/>
    </xf>
    <xf numFmtId="165" fontId="8" fillId="0" borderId="2" xfId="1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Alignment="1">
      <alignment horizontal="left" vertical="center"/>
    </xf>
    <xf numFmtId="10" fontId="3" fillId="4" borderId="0" xfId="0" applyNumberFormat="1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4" fontId="0" fillId="0" borderId="0" xfId="3" applyFont="1"/>
    <xf numFmtId="43" fontId="3" fillId="0" borderId="7" xfId="0" applyNumberFormat="1" applyFont="1" applyBorder="1" applyAlignment="1">
      <alignment horizontal="center" vertical="center"/>
    </xf>
    <xf numFmtId="8" fontId="0" fillId="0" borderId="7" xfId="1" applyNumberFormat="1" applyFont="1" applyBorder="1"/>
    <xf numFmtId="8" fontId="0" fillId="0" borderId="7" xfId="0" applyNumberFormat="1" applyBorder="1"/>
    <xf numFmtId="43" fontId="3" fillId="0" borderId="7" xfId="0" applyNumberFormat="1" applyFont="1" applyBorder="1" applyAlignment="1">
      <alignment horizontal="center" vertical="center" wrapText="1"/>
    </xf>
    <xf numFmtId="43" fontId="3" fillId="0" borderId="8" xfId="0" applyNumberFormat="1" applyFont="1" applyBorder="1" applyAlignment="1">
      <alignment horizontal="center" vertical="center" wrapText="1"/>
    </xf>
    <xf numFmtId="43" fontId="3" fillId="0" borderId="8" xfId="0" applyNumberFormat="1" applyFont="1" applyBorder="1" applyAlignment="1">
      <alignment horizontal="center" vertical="center"/>
    </xf>
    <xf numFmtId="8" fontId="3" fillId="0" borderId="8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/>
    </xf>
    <xf numFmtId="9" fontId="0" fillId="0" borderId="0" xfId="2" applyFont="1"/>
    <xf numFmtId="0" fontId="3" fillId="6" borderId="0" xfId="0" applyFont="1" applyFill="1" applyAlignment="1">
      <alignment wrapText="1"/>
    </xf>
    <xf numFmtId="43" fontId="0" fillId="6" borderId="0" xfId="1" applyFont="1" applyFill="1" applyAlignment="1">
      <alignment vertical="center"/>
    </xf>
    <xf numFmtId="0" fontId="0" fillId="2" borderId="0" xfId="0" applyFill="1" applyAlignment="1">
      <alignment wrapText="1"/>
    </xf>
    <xf numFmtId="9" fontId="0" fillId="2" borderId="0" xfId="0" applyNumberFormat="1" applyFill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3" borderId="0" xfId="0" applyFill="1" applyAlignment="1">
      <alignment wrapText="1"/>
    </xf>
    <xf numFmtId="9" fontId="0" fillId="3" borderId="0" xfId="0" applyNumberFormat="1" applyFill="1" applyAlignment="1">
      <alignment horizontal="center" vertical="center"/>
    </xf>
    <xf numFmtId="0" fontId="0" fillId="8" borderId="0" xfId="0" applyFill="1"/>
    <xf numFmtId="43" fontId="0" fillId="8" borderId="0" xfId="1" applyFont="1" applyFill="1" applyAlignment="1">
      <alignment vertical="center"/>
    </xf>
    <xf numFmtId="0" fontId="0" fillId="9" borderId="0" xfId="0" applyFill="1"/>
    <xf numFmtId="8" fontId="0" fillId="9" borderId="0" xfId="1" applyNumberFormat="1" applyFont="1" applyFill="1" applyAlignment="1">
      <alignment vertical="center"/>
    </xf>
    <xf numFmtId="164" fontId="0" fillId="0" borderId="0" xfId="2" applyNumberFormat="1" applyFont="1"/>
    <xf numFmtId="9" fontId="0" fillId="0" borderId="0" xfId="0" applyNumberFormat="1"/>
    <xf numFmtId="166" fontId="0" fillId="0" borderId="0" xfId="0" applyNumberFormat="1"/>
    <xf numFmtId="0" fontId="8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5" fontId="8" fillId="0" borderId="5" xfId="1" applyNumberFormat="1" applyFont="1" applyBorder="1" applyAlignment="1">
      <alignment horizontal="center" vertical="center" wrapText="1"/>
    </xf>
    <xf numFmtId="165" fontId="8" fillId="0" borderId="6" xfId="1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</cellXfs>
  <cellStyles count="4">
    <cellStyle name="Millares" xfId="1" builtinId="3"/>
    <cellStyle name="Moneda" xfId="3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3</xdr:row>
      <xdr:rowOff>304800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D600D739-D314-5A2D-FD02-E5C16E2A2F4F}"/>
            </a:ext>
          </a:extLst>
        </xdr:cNvPr>
        <xdr:cNvSpPr>
          <a:spLocks noChangeAspect="1" noChangeArrowheads="1"/>
        </xdr:cNvSpPr>
      </xdr:nvSpPr>
      <xdr:spPr bwMode="auto">
        <a:xfrm>
          <a:off x="2762250" y="8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240082</xdr:colOff>
      <xdr:row>1</xdr:row>
      <xdr:rowOff>167014</xdr:rowOff>
    </xdr:from>
    <xdr:to>
      <xdr:col>5</xdr:col>
      <xdr:colOff>52191</xdr:colOff>
      <xdr:row>3</xdr:row>
      <xdr:rowOff>240082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67A178B6-D6A8-49D6-AB54-98BF0DB9A134}"/>
            </a:ext>
          </a:extLst>
        </xdr:cNvPr>
        <xdr:cNvCxnSpPr/>
      </xdr:nvCxnSpPr>
      <xdr:spPr>
        <a:xfrm flipV="1">
          <a:off x="4055301" y="349685"/>
          <a:ext cx="422753" cy="4384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B5696-B45F-4D44-B88E-EA1C9290AB7E}">
  <sheetPr codeName="Sheet6"/>
  <dimension ref="A1:L35"/>
  <sheetViews>
    <sheetView tabSelected="1" zoomScale="115" zoomScaleNormal="115" workbookViewId="0">
      <selection activeCell="A3" sqref="A3:A8"/>
    </sheetView>
  </sheetViews>
  <sheetFormatPr baseColWidth="10" defaultColWidth="8.85546875" defaultRowHeight="15"/>
  <cols>
    <col min="1" max="1" width="18.7109375" customWidth="1"/>
    <col min="2" max="2" width="13.85546875" bestFit="1" customWidth="1"/>
    <col min="4" max="4" width="17.140625" bestFit="1" customWidth="1"/>
    <col min="5" max="5" width="17.28515625" bestFit="1" customWidth="1"/>
    <col min="6" max="6" width="12.5703125" bestFit="1" customWidth="1"/>
    <col min="7" max="7" width="13.85546875" bestFit="1" customWidth="1"/>
    <col min="8" max="8" width="12.7109375" customWidth="1"/>
    <col min="9" max="9" width="11.28515625" customWidth="1"/>
    <col min="10" max="10" width="12.140625" customWidth="1"/>
    <col min="11" max="11" width="14" bestFit="1" customWidth="1"/>
  </cols>
  <sheetData>
    <row r="1" spans="1:12" ht="23.25">
      <c r="A1" s="1" t="s">
        <v>14</v>
      </c>
    </row>
    <row r="3" spans="1:12" ht="30">
      <c r="A3" s="39" t="s">
        <v>15</v>
      </c>
      <c r="B3" s="40">
        <v>1000000</v>
      </c>
    </row>
    <row r="4" spans="1:12" ht="30">
      <c r="A4" s="41" t="s">
        <v>16</v>
      </c>
      <c r="B4" s="42">
        <v>0.12</v>
      </c>
    </row>
    <row r="5" spans="1:12">
      <c r="A5" s="43" t="s">
        <v>17</v>
      </c>
      <c r="B5" s="44">
        <v>24</v>
      </c>
      <c r="D5" s="7" t="s">
        <v>18</v>
      </c>
    </row>
    <row r="6" spans="1:12" ht="30">
      <c r="A6" s="45" t="s">
        <v>20</v>
      </c>
      <c r="B6" s="46">
        <v>0.02</v>
      </c>
      <c r="C6" s="7"/>
      <c r="J6" s="14" t="s">
        <v>25</v>
      </c>
      <c r="K6" s="26">
        <v>0.15993382037332352</v>
      </c>
      <c r="L6" s="25"/>
    </row>
    <row r="7" spans="1:12">
      <c r="A7" s="47" t="s">
        <v>21</v>
      </c>
      <c r="B7" s="48">
        <v>10000</v>
      </c>
      <c r="C7" s="7"/>
      <c r="D7" s="28">
        <f>B3/((1-(1+B4/12)^(-B5))/(B4/12))</f>
        <v>47073.472223264645</v>
      </c>
      <c r="E7" s="28">
        <f>B3/((1-(1+B4/12)^(-B5))/(B4/12))</f>
        <v>47073.472223264645</v>
      </c>
      <c r="F7" s="28">
        <f>B3*(B4/12)/(1-(1+B4/12)^(-B5))</f>
        <v>47073.472223264645</v>
      </c>
    </row>
    <row r="8" spans="1:12">
      <c r="A8" s="49" t="s">
        <v>33</v>
      </c>
      <c r="B8" s="50">
        <f>-PMT(B4/12,B5,B3,0,0)</f>
        <v>47073.472223264704</v>
      </c>
      <c r="C8" s="7"/>
    </row>
    <row r="9" spans="1:12">
      <c r="B9" s="6"/>
      <c r="J9" t="s">
        <v>34</v>
      </c>
      <c r="K9" s="13">
        <f>SUM(K11:K35)</f>
        <v>1000000.0000031556</v>
      </c>
    </row>
    <row r="10" spans="1:12" ht="30">
      <c r="A10" s="9" t="s">
        <v>8</v>
      </c>
      <c r="B10" s="9" t="s">
        <v>9</v>
      </c>
      <c r="C10" s="9" t="s">
        <v>10</v>
      </c>
      <c r="D10" s="9" t="s">
        <v>19</v>
      </c>
      <c r="E10" s="9" t="s">
        <v>11</v>
      </c>
      <c r="F10" s="9" t="s">
        <v>12</v>
      </c>
      <c r="G10" s="9" t="s">
        <v>13</v>
      </c>
      <c r="H10" s="10" t="s">
        <v>22</v>
      </c>
      <c r="I10" s="12" t="s">
        <v>23</v>
      </c>
      <c r="J10" s="11" t="s">
        <v>24</v>
      </c>
      <c r="K10" s="11" t="s">
        <v>26</v>
      </c>
    </row>
    <row r="11" spans="1:12">
      <c r="A11" s="36">
        <v>0</v>
      </c>
      <c r="B11" s="36"/>
      <c r="C11" s="36"/>
      <c r="D11" s="36"/>
      <c r="E11" s="36"/>
      <c r="F11" s="27"/>
      <c r="G11" s="29">
        <f>B3</f>
        <v>1000000</v>
      </c>
      <c r="H11" s="32">
        <f>G11*B6</f>
        <v>20000</v>
      </c>
      <c r="I11" s="33">
        <f>B7</f>
        <v>10000</v>
      </c>
      <c r="J11" s="34">
        <f>D11+H11+I11</f>
        <v>30000</v>
      </c>
      <c r="K11" s="34">
        <f>J11/(1+$K$6/12)^A11</f>
        <v>30000</v>
      </c>
    </row>
    <row r="12" spans="1:12">
      <c r="A12" s="3">
        <v>1</v>
      </c>
      <c r="B12" s="4">
        <f>G11</f>
        <v>1000000</v>
      </c>
      <c r="C12" s="8">
        <f>$B$4/12</f>
        <v>0.01</v>
      </c>
      <c r="D12" s="30">
        <f>$B$8</f>
        <v>47073.472223264704</v>
      </c>
      <c r="E12" s="4">
        <f>C12*B12</f>
        <v>10000</v>
      </c>
      <c r="F12" s="31">
        <f>D12-E12</f>
        <v>37073.472223264704</v>
      </c>
      <c r="G12" s="5">
        <f>G11-F12</f>
        <v>962926.52777673525</v>
      </c>
      <c r="H12" s="5"/>
      <c r="I12" s="5"/>
      <c r="J12" s="35">
        <f>D12+H12+I12</f>
        <v>47073.472223264704</v>
      </c>
      <c r="K12" s="34">
        <f t="shared" ref="K12:K35" si="0">J12/(1+$K$6/12)^A12</f>
        <v>46454.337254101432</v>
      </c>
    </row>
    <row r="13" spans="1:12">
      <c r="A13" s="3">
        <f>+A12+1</f>
        <v>2</v>
      </c>
      <c r="B13" s="4">
        <f t="shared" ref="B13:B35" si="1">G12</f>
        <v>962926.52777673525</v>
      </c>
      <c r="C13" s="8">
        <f t="shared" ref="C13:C35" si="2">$B$4/12</f>
        <v>0.01</v>
      </c>
      <c r="D13" s="30">
        <f t="shared" ref="D13:D35" si="3">$B$8</f>
        <v>47073.472223264704</v>
      </c>
      <c r="E13" s="4">
        <f t="shared" ref="E13:E35" si="4">C13*B13</f>
        <v>9629.265277767352</v>
      </c>
      <c r="F13" s="31">
        <f t="shared" ref="F13:F35" si="5">D13-E13</f>
        <v>37444.206945497353</v>
      </c>
      <c r="G13" s="5">
        <f t="shared" ref="G13:G35" si="6">G12-F13</f>
        <v>925482.32083123794</v>
      </c>
      <c r="H13" s="5"/>
      <c r="I13" s="5"/>
      <c r="J13" s="34">
        <f t="shared" ref="J13:J35" si="7">D13+H13+I13</f>
        <v>47073.472223264704</v>
      </c>
      <c r="K13" s="34">
        <f t="shared" si="0"/>
        <v>45843.345472426496</v>
      </c>
    </row>
    <row r="14" spans="1:12">
      <c r="A14" s="3">
        <f t="shared" ref="A14:A35" si="8">+A13+1</f>
        <v>3</v>
      </c>
      <c r="B14" s="4">
        <f t="shared" si="1"/>
        <v>925482.32083123794</v>
      </c>
      <c r="C14" s="8">
        <f t="shared" si="2"/>
        <v>0.01</v>
      </c>
      <c r="D14" s="30">
        <f t="shared" si="3"/>
        <v>47073.472223264704</v>
      </c>
      <c r="E14" s="4">
        <f t="shared" si="4"/>
        <v>9254.8232083123803</v>
      </c>
      <c r="F14" s="31">
        <f t="shared" si="5"/>
        <v>37818.649014952323</v>
      </c>
      <c r="G14" s="5">
        <f t="shared" si="6"/>
        <v>887663.67181628558</v>
      </c>
      <c r="H14" s="5"/>
      <c r="I14" s="5"/>
      <c r="J14" s="34">
        <f t="shared" si="7"/>
        <v>47073.472223264704</v>
      </c>
      <c r="K14" s="34">
        <f t="shared" si="0"/>
        <v>45240.389774771698</v>
      </c>
    </row>
    <row r="15" spans="1:12">
      <c r="A15" s="3">
        <f t="shared" si="8"/>
        <v>4</v>
      </c>
      <c r="B15" s="4">
        <f t="shared" si="1"/>
        <v>887663.67181628558</v>
      </c>
      <c r="C15" s="8">
        <f t="shared" si="2"/>
        <v>0.01</v>
      </c>
      <c r="D15" s="30">
        <f t="shared" si="3"/>
        <v>47073.472223264704</v>
      </c>
      <c r="E15" s="4">
        <f t="shared" si="4"/>
        <v>8876.6367181628557</v>
      </c>
      <c r="F15" s="31">
        <f t="shared" si="5"/>
        <v>38196.835505101844</v>
      </c>
      <c r="G15" s="5">
        <f t="shared" si="6"/>
        <v>849466.83631118375</v>
      </c>
      <c r="H15" s="5"/>
      <c r="I15" s="5"/>
      <c r="J15" s="34">
        <f t="shared" si="7"/>
        <v>47073.472223264704</v>
      </c>
      <c r="K15" s="34">
        <f t="shared" si="0"/>
        <v>44645.364466349813</v>
      </c>
    </row>
    <row r="16" spans="1:12">
      <c r="A16" s="3">
        <f t="shared" si="8"/>
        <v>5</v>
      </c>
      <c r="B16" s="4">
        <f t="shared" si="1"/>
        <v>849466.83631118375</v>
      </c>
      <c r="C16" s="8">
        <f t="shared" si="2"/>
        <v>0.01</v>
      </c>
      <c r="D16" s="30">
        <f t="shared" si="3"/>
        <v>47073.472223264704</v>
      </c>
      <c r="E16" s="4">
        <f t="shared" si="4"/>
        <v>8494.6683631118376</v>
      </c>
      <c r="F16" s="31">
        <f t="shared" si="5"/>
        <v>38578.803860152868</v>
      </c>
      <c r="G16" s="5">
        <f t="shared" si="6"/>
        <v>810888.03245103091</v>
      </c>
      <c r="H16" s="5"/>
      <c r="I16" s="5"/>
      <c r="J16" s="34">
        <f t="shared" si="7"/>
        <v>47073.472223264704</v>
      </c>
      <c r="K16" s="34">
        <f t="shared" si="0"/>
        <v>44058.165242526768</v>
      </c>
    </row>
    <row r="17" spans="1:11">
      <c r="A17" s="3">
        <f t="shared" si="8"/>
        <v>6</v>
      </c>
      <c r="B17" s="4">
        <f t="shared" si="1"/>
        <v>810888.03245103091</v>
      </c>
      <c r="C17" s="8">
        <f t="shared" si="2"/>
        <v>0.01</v>
      </c>
      <c r="D17" s="30">
        <f t="shared" si="3"/>
        <v>47073.472223264704</v>
      </c>
      <c r="E17" s="4">
        <f t="shared" si="4"/>
        <v>8108.880324510309</v>
      </c>
      <c r="F17" s="31">
        <f t="shared" si="5"/>
        <v>38964.591898754392</v>
      </c>
      <c r="G17" s="5">
        <f t="shared" si="6"/>
        <v>771923.44055227656</v>
      </c>
      <c r="H17" s="5"/>
      <c r="I17" s="5"/>
      <c r="J17" s="34">
        <f t="shared" si="7"/>
        <v>47073.472223264704</v>
      </c>
      <c r="K17" s="34">
        <f t="shared" si="0"/>
        <v>43478.689170537749</v>
      </c>
    </row>
    <row r="18" spans="1:11">
      <c r="A18" s="3">
        <f t="shared" si="8"/>
        <v>7</v>
      </c>
      <c r="B18" s="4">
        <f t="shared" si="1"/>
        <v>771923.44055227656</v>
      </c>
      <c r="C18" s="8">
        <f t="shared" si="2"/>
        <v>0.01</v>
      </c>
      <c r="D18" s="30">
        <f t="shared" si="3"/>
        <v>47073.472223264704</v>
      </c>
      <c r="E18" s="4">
        <f t="shared" si="4"/>
        <v>7719.2344055227659</v>
      </c>
      <c r="F18" s="31">
        <f t="shared" si="5"/>
        <v>39354.237817741938</v>
      </c>
      <c r="G18" s="5">
        <f t="shared" si="6"/>
        <v>732569.20273453463</v>
      </c>
      <c r="H18" s="5"/>
      <c r="I18" s="5"/>
      <c r="J18" s="34">
        <f t="shared" si="7"/>
        <v>47073.472223264704</v>
      </c>
      <c r="K18" s="34">
        <f t="shared" si="0"/>
        <v>42906.834671443525</v>
      </c>
    </row>
    <row r="19" spans="1:11">
      <c r="A19" s="3">
        <f t="shared" si="8"/>
        <v>8</v>
      </c>
      <c r="B19" s="4">
        <f t="shared" si="1"/>
        <v>732569.20273453463</v>
      </c>
      <c r="C19" s="8">
        <f t="shared" si="2"/>
        <v>0.01</v>
      </c>
      <c r="D19" s="30">
        <f t="shared" si="3"/>
        <v>47073.472223264704</v>
      </c>
      <c r="E19" s="4">
        <f t="shared" si="4"/>
        <v>7325.6920273453461</v>
      </c>
      <c r="F19" s="31">
        <f t="shared" si="5"/>
        <v>39747.78019591936</v>
      </c>
      <c r="G19" s="5">
        <f t="shared" si="6"/>
        <v>692821.4225386153</v>
      </c>
      <c r="H19" s="5"/>
      <c r="I19" s="5"/>
      <c r="J19" s="34">
        <f t="shared" si="7"/>
        <v>47073.472223264704</v>
      </c>
      <c r="K19" s="34">
        <f t="shared" si="0"/>
        <v>42342.501502324376</v>
      </c>
    </row>
    <row r="20" spans="1:11">
      <c r="A20" s="3">
        <f t="shared" si="8"/>
        <v>9</v>
      </c>
      <c r="B20" s="4">
        <f t="shared" si="1"/>
        <v>692821.4225386153</v>
      </c>
      <c r="C20" s="8">
        <f t="shared" si="2"/>
        <v>0.01</v>
      </c>
      <c r="D20" s="30">
        <f t="shared" si="3"/>
        <v>47073.472223264704</v>
      </c>
      <c r="E20" s="4">
        <f t="shared" si="4"/>
        <v>6928.214225386153</v>
      </c>
      <c r="F20" s="31">
        <f t="shared" si="5"/>
        <v>40145.257997878551</v>
      </c>
      <c r="G20" s="5">
        <f t="shared" si="6"/>
        <v>652676.1645407367</v>
      </c>
      <c r="H20" s="5"/>
      <c r="I20" s="5"/>
      <c r="J20" s="34">
        <f t="shared" si="7"/>
        <v>47073.472223264704</v>
      </c>
      <c r="K20" s="34">
        <f t="shared" si="0"/>
        <v>41785.590738707899</v>
      </c>
    </row>
    <row r="21" spans="1:11">
      <c r="A21" s="3">
        <f t="shared" si="8"/>
        <v>10</v>
      </c>
      <c r="B21" s="4">
        <f t="shared" si="1"/>
        <v>652676.1645407367</v>
      </c>
      <c r="C21" s="8">
        <f t="shared" si="2"/>
        <v>0.01</v>
      </c>
      <c r="D21" s="30">
        <f t="shared" si="3"/>
        <v>47073.472223264704</v>
      </c>
      <c r="E21" s="4">
        <f t="shared" si="4"/>
        <v>6526.7616454073668</v>
      </c>
      <c r="F21" s="31">
        <f t="shared" si="5"/>
        <v>40546.710577857339</v>
      </c>
      <c r="G21" s="5">
        <f t="shared" si="6"/>
        <v>612129.45396287937</v>
      </c>
      <c r="H21" s="5"/>
      <c r="I21" s="5"/>
      <c r="J21" s="34">
        <f t="shared" si="7"/>
        <v>47073.472223264704</v>
      </c>
      <c r="K21" s="34">
        <f t="shared" si="0"/>
        <v>41236.004757228227</v>
      </c>
    </row>
    <row r="22" spans="1:11">
      <c r="A22" s="3">
        <f t="shared" si="8"/>
        <v>11</v>
      </c>
      <c r="B22" s="4">
        <f t="shared" si="1"/>
        <v>612129.45396287937</v>
      </c>
      <c r="C22" s="8">
        <f t="shared" si="2"/>
        <v>0.01</v>
      </c>
      <c r="D22" s="30">
        <f t="shared" si="3"/>
        <v>47073.472223264704</v>
      </c>
      <c r="E22" s="4">
        <f t="shared" si="4"/>
        <v>6121.2945396287942</v>
      </c>
      <c r="F22" s="31">
        <f t="shared" si="5"/>
        <v>40952.177683635906</v>
      </c>
      <c r="G22" s="5">
        <f t="shared" si="6"/>
        <v>571177.27627924341</v>
      </c>
      <c r="H22" s="5"/>
      <c r="I22" s="5"/>
      <c r="J22" s="34">
        <f t="shared" si="7"/>
        <v>47073.472223264704</v>
      </c>
      <c r="K22" s="34">
        <f t="shared" si="0"/>
        <v>40693.647218513128</v>
      </c>
    </row>
    <row r="23" spans="1:11">
      <c r="A23" s="3">
        <f t="shared" si="8"/>
        <v>12</v>
      </c>
      <c r="B23" s="4">
        <f t="shared" si="1"/>
        <v>571177.27627924341</v>
      </c>
      <c r="C23" s="8">
        <f t="shared" si="2"/>
        <v>0.01</v>
      </c>
      <c r="D23" s="30">
        <f t="shared" si="3"/>
        <v>47073.472223264704</v>
      </c>
      <c r="E23" s="4">
        <f t="shared" si="4"/>
        <v>5711.7727627924342</v>
      </c>
      <c r="F23" s="31">
        <f t="shared" si="5"/>
        <v>41361.699460472271</v>
      </c>
      <c r="G23" s="5">
        <f t="shared" si="6"/>
        <v>529815.57681877119</v>
      </c>
      <c r="H23" s="5"/>
      <c r="I23" s="5">
        <f>B7</f>
        <v>10000</v>
      </c>
      <c r="J23" s="35">
        <f>D23+H23+I23</f>
        <v>57073.472223264704</v>
      </c>
      <c r="K23" s="34">
        <f t="shared" si="0"/>
        <v>48689.432375427234</v>
      </c>
    </row>
    <row r="24" spans="1:11">
      <c r="A24" s="3">
        <f t="shared" si="8"/>
        <v>13</v>
      </c>
      <c r="B24" s="4">
        <f t="shared" si="1"/>
        <v>529815.57681877119</v>
      </c>
      <c r="C24" s="8">
        <f t="shared" si="2"/>
        <v>0.01</v>
      </c>
      <c r="D24" s="30">
        <f t="shared" si="3"/>
        <v>47073.472223264704</v>
      </c>
      <c r="E24" s="4">
        <f t="shared" si="4"/>
        <v>5298.1557681877121</v>
      </c>
      <c r="F24" s="31">
        <f t="shared" si="5"/>
        <v>41775.316455076994</v>
      </c>
      <c r="G24" s="5">
        <f t="shared" si="6"/>
        <v>488040.26036369422</v>
      </c>
      <c r="H24" s="5"/>
      <c r="I24" s="5"/>
      <c r="J24" s="34">
        <f t="shared" si="7"/>
        <v>47073.472223264704</v>
      </c>
      <c r="K24" s="34">
        <f t="shared" si="0"/>
        <v>39630.238430751648</v>
      </c>
    </row>
    <row r="25" spans="1:11">
      <c r="A25" s="3">
        <f t="shared" si="8"/>
        <v>14</v>
      </c>
      <c r="B25" s="4">
        <f t="shared" si="1"/>
        <v>488040.26036369422</v>
      </c>
      <c r="C25" s="8">
        <f t="shared" si="2"/>
        <v>0.01</v>
      </c>
      <c r="D25" s="30">
        <f t="shared" si="3"/>
        <v>47073.472223264704</v>
      </c>
      <c r="E25" s="4">
        <f t="shared" si="4"/>
        <v>4880.4026036369423</v>
      </c>
      <c r="F25" s="31">
        <f t="shared" si="5"/>
        <v>42193.069619627764</v>
      </c>
      <c r="G25" s="5">
        <f t="shared" si="6"/>
        <v>445847.19074406644</v>
      </c>
      <c r="H25" s="5"/>
      <c r="I25" s="5"/>
      <c r="J25" s="34">
        <f t="shared" si="7"/>
        <v>47073.472223264704</v>
      </c>
      <c r="K25" s="34">
        <f t="shared" si="0"/>
        <v>39109.000772046929</v>
      </c>
    </row>
    <row r="26" spans="1:11">
      <c r="A26" s="3">
        <f t="shared" si="8"/>
        <v>15</v>
      </c>
      <c r="B26" s="4">
        <f t="shared" si="1"/>
        <v>445847.19074406644</v>
      </c>
      <c r="C26" s="8">
        <f t="shared" si="2"/>
        <v>0.01</v>
      </c>
      <c r="D26" s="30">
        <f t="shared" si="3"/>
        <v>47073.472223264704</v>
      </c>
      <c r="E26" s="4">
        <f t="shared" si="4"/>
        <v>4458.4719074406648</v>
      </c>
      <c r="F26" s="31">
        <f t="shared" si="5"/>
        <v>42615.000315824036</v>
      </c>
      <c r="G26" s="5">
        <f t="shared" si="6"/>
        <v>403232.19042824238</v>
      </c>
      <c r="H26" s="5"/>
      <c r="I26" s="5"/>
      <c r="J26" s="34">
        <f t="shared" si="7"/>
        <v>47073.472223264704</v>
      </c>
      <c r="K26" s="34">
        <f t="shared" si="0"/>
        <v>38594.618704113534</v>
      </c>
    </row>
    <row r="27" spans="1:11">
      <c r="A27" s="3">
        <f t="shared" si="8"/>
        <v>16</v>
      </c>
      <c r="B27" s="4">
        <f t="shared" si="1"/>
        <v>403232.19042824238</v>
      </c>
      <c r="C27" s="8">
        <f t="shared" si="2"/>
        <v>0.01</v>
      </c>
      <c r="D27" s="30">
        <f t="shared" si="3"/>
        <v>47073.472223264704</v>
      </c>
      <c r="E27" s="4">
        <f t="shared" si="4"/>
        <v>4032.3219042824239</v>
      </c>
      <c r="F27" s="31">
        <f t="shared" si="5"/>
        <v>43041.150318982283</v>
      </c>
      <c r="G27" s="5">
        <f t="shared" si="6"/>
        <v>360191.04010926012</v>
      </c>
      <c r="H27" s="5"/>
      <c r="I27" s="5"/>
      <c r="J27" s="34">
        <f t="shared" si="7"/>
        <v>47073.472223264704</v>
      </c>
      <c r="K27" s="34">
        <f t="shared" si="0"/>
        <v>38087.002058629936</v>
      </c>
    </row>
    <row r="28" spans="1:11">
      <c r="A28" s="3">
        <f t="shared" si="8"/>
        <v>17</v>
      </c>
      <c r="B28" s="4">
        <f t="shared" si="1"/>
        <v>360191.04010926012</v>
      </c>
      <c r="C28" s="8">
        <f t="shared" si="2"/>
        <v>0.01</v>
      </c>
      <c r="D28" s="30">
        <f t="shared" si="3"/>
        <v>47073.472223264704</v>
      </c>
      <c r="E28" s="4">
        <f t="shared" si="4"/>
        <v>3601.9104010926012</v>
      </c>
      <c r="F28" s="31">
        <f t="shared" si="5"/>
        <v>43471.561822172102</v>
      </c>
      <c r="G28" s="5">
        <f t="shared" si="6"/>
        <v>316719.47828708804</v>
      </c>
      <c r="H28" s="5"/>
      <c r="I28" s="5"/>
      <c r="J28" s="34">
        <f t="shared" si="7"/>
        <v>47073.472223264704</v>
      </c>
      <c r="K28" s="34">
        <f t="shared" si="0"/>
        <v>37586.061853215542</v>
      </c>
    </row>
    <row r="29" spans="1:11">
      <c r="A29" s="3">
        <f t="shared" si="8"/>
        <v>18</v>
      </c>
      <c r="B29" s="4">
        <f t="shared" si="1"/>
        <v>316719.47828708804</v>
      </c>
      <c r="C29" s="8">
        <f t="shared" si="2"/>
        <v>0.01</v>
      </c>
      <c r="D29" s="30">
        <f t="shared" si="3"/>
        <v>47073.472223264704</v>
      </c>
      <c r="E29" s="4">
        <f t="shared" si="4"/>
        <v>3167.1947828708803</v>
      </c>
      <c r="F29" s="31">
        <f t="shared" si="5"/>
        <v>43906.277440393824</v>
      </c>
      <c r="G29" s="5">
        <f t="shared" si="6"/>
        <v>272813.20084669424</v>
      </c>
      <c r="H29" s="5"/>
      <c r="I29" s="5"/>
      <c r="J29" s="34">
        <f t="shared" si="7"/>
        <v>47073.472223264704</v>
      </c>
      <c r="K29" s="34">
        <f t="shared" si="0"/>
        <v>37091.710275832673</v>
      </c>
    </row>
    <row r="30" spans="1:11">
      <c r="A30" s="3">
        <f t="shared" si="8"/>
        <v>19</v>
      </c>
      <c r="B30" s="4">
        <f t="shared" si="1"/>
        <v>272813.20084669424</v>
      </c>
      <c r="C30" s="8">
        <f t="shared" si="2"/>
        <v>0.01</v>
      </c>
      <c r="D30" s="30">
        <f t="shared" si="3"/>
        <v>47073.472223264704</v>
      </c>
      <c r="E30" s="4">
        <f t="shared" si="4"/>
        <v>2728.1320084669424</v>
      </c>
      <c r="F30" s="31">
        <f t="shared" si="5"/>
        <v>44345.340214797761</v>
      </c>
      <c r="G30" s="5">
        <f t="shared" si="6"/>
        <v>228467.86063189647</v>
      </c>
      <c r="H30" s="5"/>
      <c r="I30" s="5"/>
      <c r="J30" s="34">
        <f t="shared" si="7"/>
        <v>47073.472223264704</v>
      </c>
      <c r="K30" s="34">
        <f t="shared" si="0"/>
        <v>36603.860669393587</v>
      </c>
    </row>
    <row r="31" spans="1:11">
      <c r="A31" s="3">
        <f t="shared" si="8"/>
        <v>20</v>
      </c>
      <c r="B31" s="4">
        <f t="shared" si="1"/>
        <v>228467.86063189647</v>
      </c>
      <c r="C31" s="8">
        <f t="shared" si="2"/>
        <v>0.01</v>
      </c>
      <c r="D31" s="30">
        <f t="shared" si="3"/>
        <v>47073.472223264704</v>
      </c>
      <c r="E31" s="4">
        <f t="shared" si="4"/>
        <v>2284.6786063189647</v>
      </c>
      <c r="F31" s="31">
        <f t="shared" si="5"/>
        <v>44788.793616945739</v>
      </c>
      <c r="G31" s="5">
        <f t="shared" si="6"/>
        <v>183679.06701495074</v>
      </c>
      <c r="H31" s="5"/>
      <c r="I31" s="5"/>
      <c r="J31" s="34">
        <f t="shared" si="7"/>
        <v>47073.472223264704</v>
      </c>
      <c r="K31" s="34">
        <f t="shared" si="0"/>
        <v>36122.427516569966</v>
      </c>
    </row>
    <row r="32" spans="1:11">
      <c r="A32" s="3">
        <f t="shared" si="8"/>
        <v>21</v>
      </c>
      <c r="B32" s="4">
        <f t="shared" si="1"/>
        <v>183679.06701495074</v>
      </c>
      <c r="C32" s="8">
        <f t="shared" si="2"/>
        <v>0.01</v>
      </c>
      <c r="D32" s="30">
        <f t="shared" si="3"/>
        <v>47073.472223264704</v>
      </c>
      <c r="E32" s="4">
        <f t="shared" si="4"/>
        <v>1836.7906701495074</v>
      </c>
      <c r="F32" s="31">
        <f t="shared" si="5"/>
        <v>45236.681553115195</v>
      </c>
      <c r="G32" s="5">
        <f t="shared" si="6"/>
        <v>138442.38546183554</v>
      </c>
      <c r="H32" s="5"/>
      <c r="I32" s="5"/>
      <c r="J32" s="34">
        <f t="shared" si="7"/>
        <v>47073.472223264704</v>
      </c>
      <c r="K32" s="34">
        <f t="shared" si="0"/>
        <v>35647.326424802173</v>
      </c>
    </row>
    <row r="33" spans="1:11">
      <c r="A33" s="3">
        <f t="shared" si="8"/>
        <v>22</v>
      </c>
      <c r="B33" s="4">
        <f t="shared" si="1"/>
        <v>138442.38546183554</v>
      </c>
      <c r="C33" s="8">
        <f t="shared" si="2"/>
        <v>0.01</v>
      </c>
      <c r="D33" s="30">
        <f t="shared" si="3"/>
        <v>47073.472223264704</v>
      </c>
      <c r="E33" s="4">
        <f t="shared" si="4"/>
        <v>1384.4238546183553</v>
      </c>
      <c r="F33" s="31">
        <f t="shared" si="5"/>
        <v>45689.048368646349</v>
      </c>
      <c r="G33" s="5">
        <f t="shared" si="6"/>
        <v>92753.337093189184</v>
      </c>
      <c r="H33" s="5"/>
      <c r="I33" s="5"/>
      <c r="J33" s="34">
        <f t="shared" si="7"/>
        <v>47073.472223264704</v>
      </c>
      <c r="K33" s="34">
        <f t="shared" si="0"/>
        <v>35178.474111505748</v>
      </c>
    </row>
    <row r="34" spans="1:11">
      <c r="A34" s="3">
        <f t="shared" si="8"/>
        <v>23</v>
      </c>
      <c r="B34" s="4">
        <f t="shared" si="1"/>
        <v>92753.337093189184</v>
      </c>
      <c r="C34" s="8">
        <f t="shared" si="2"/>
        <v>0.01</v>
      </c>
      <c r="D34" s="30">
        <f t="shared" si="3"/>
        <v>47073.472223264704</v>
      </c>
      <c r="E34" s="4">
        <f t="shared" si="4"/>
        <v>927.53337093189191</v>
      </c>
      <c r="F34" s="31">
        <f t="shared" si="5"/>
        <v>46145.938852332809</v>
      </c>
      <c r="G34" s="5">
        <f t="shared" si="6"/>
        <v>46607.398240856375</v>
      </c>
      <c r="H34" s="5"/>
      <c r="I34" s="5"/>
      <c r="J34" s="34">
        <f t="shared" si="7"/>
        <v>47073.472223264704</v>
      </c>
      <c r="K34" s="34">
        <f t="shared" si="0"/>
        <v>34715.788389472393</v>
      </c>
    </row>
    <row r="35" spans="1:11">
      <c r="A35" s="3">
        <f t="shared" si="8"/>
        <v>24</v>
      </c>
      <c r="B35" s="4">
        <f t="shared" si="1"/>
        <v>46607.398240856375</v>
      </c>
      <c r="C35" s="8">
        <f t="shared" si="2"/>
        <v>0.01</v>
      </c>
      <c r="D35" s="30">
        <f t="shared" si="3"/>
        <v>47073.472223264704</v>
      </c>
      <c r="E35" s="4">
        <f t="shared" si="4"/>
        <v>466.07398240856378</v>
      </c>
      <c r="F35" s="31">
        <f t="shared" si="5"/>
        <v>46607.398240856142</v>
      </c>
      <c r="G35" s="5">
        <f t="shared" si="6"/>
        <v>2.3283064365386963E-10</v>
      </c>
      <c r="H35" s="5"/>
      <c r="I35" s="5"/>
      <c r="J35" s="34">
        <f t="shared" si="7"/>
        <v>47073.472223264704</v>
      </c>
      <c r="K35" s="34">
        <f t="shared" si="0"/>
        <v>34259.188152463066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220CF-5D1C-47AF-888C-C37330AD9B03}">
  <sheetPr codeName="Sheet5"/>
  <dimension ref="A1:R37"/>
  <sheetViews>
    <sheetView showGridLines="0" zoomScale="115" zoomScaleNormal="115" workbookViewId="0">
      <selection activeCell="L13" sqref="L13"/>
    </sheetView>
  </sheetViews>
  <sheetFormatPr baseColWidth="10" defaultColWidth="8.85546875" defaultRowHeight="15"/>
  <cols>
    <col min="1" max="1" width="13.140625" customWidth="1"/>
    <col min="2" max="2" width="12.7109375" customWidth="1"/>
    <col min="3" max="3" width="16.7109375" customWidth="1"/>
    <col min="4" max="4" width="13.28515625" customWidth="1"/>
    <col min="8" max="8" width="20.7109375" customWidth="1"/>
    <col min="12" max="12" width="10" customWidth="1"/>
    <col min="13" max="13" width="14" bestFit="1" customWidth="1"/>
    <col min="14" max="14" width="12" bestFit="1" customWidth="1"/>
    <col min="16" max="16" width="9.85546875" bestFit="1" customWidth="1"/>
    <col min="18" max="18" width="11.140625" bestFit="1" customWidth="1"/>
  </cols>
  <sheetData>
    <row r="1" spans="1:18">
      <c r="F1" s="58" t="s">
        <v>31</v>
      </c>
      <c r="G1" s="59"/>
      <c r="H1" s="59"/>
      <c r="I1" s="59"/>
      <c r="J1" s="60"/>
    </row>
    <row r="2" spans="1:18">
      <c r="A2" s="17" t="s">
        <v>30</v>
      </c>
      <c r="B2" s="16">
        <f>+'Tabla de Amorticación'!K6</f>
        <v>0.15993382037332352</v>
      </c>
      <c r="F2" s="61"/>
      <c r="G2" s="62"/>
      <c r="H2" s="63"/>
      <c r="I2" s="63"/>
      <c r="J2" s="64"/>
    </row>
    <row r="3" spans="1:18">
      <c r="H3" s="65" t="s">
        <v>32</v>
      </c>
      <c r="I3" s="66"/>
      <c r="J3" s="66"/>
      <c r="K3" s="67"/>
    </row>
    <row r="4" spans="1:18" ht="23.25">
      <c r="A4" s="1" t="s">
        <v>0</v>
      </c>
      <c r="H4" s="68"/>
      <c r="I4" s="69"/>
      <c r="J4" s="69"/>
      <c r="K4" s="70"/>
      <c r="L4" s="18"/>
    </row>
    <row r="5" spans="1:18" ht="15.75" thickBot="1">
      <c r="E5" s="15" t="s">
        <v>27</v>
      </c>
      <c r="G5" s="15" t="s">
        <v>27</v>
      </c>
      <c r="I5" s="18"/>
      <c r="J5" s="18"/>
      <c r="K5" s="18"/>
      <c r="L5" s="18"/>
    </row>
    <row r="6" spans="1:18" ht="38.450000000000003" customHeight="1" thickBot="1">
      <c r="A6" s="2" t="s">
        <v>8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K6" s="2" t="s">
        <v>8</v>
      </c>
      <c r="L6" s="2" t="s">
        <v>1</v>
      </c>
      <c r="M6" s="2" t="s">
        <v>2</v>
      </c>
      <c r="N6" s="2" t="s">
        <v>3</v>
      </c>
      <c r="O6" s="2" t="s">
        <v>4</v>
      </c>
      <c r="P6" s="2" t="s">
        <v>5</v>
      </c>
      <c r="Q6" s="2" t="s">
        <v>6</v>
      </c>
      <c r="R6" s="2" t="s">
        <v>7</v>
      </c>
    </row>
    <row r="7" spans="1:18" ht="15.75" thickBot="1">
      <c r="A7" s="24">
        <v>1</v>
      </c>
      <c r="B7" s="19">
        <f>$B$2/12</f>
        <v>1.3327818364443626E-2</v>
      </c>
      <c r="C7" s="20">
        <f>'Tabla de Amorticación'!B12</f>
        <v>1000000</v>
      </c>
      <c r="D7" s="21">
        <f>1/(1+B7)^A7</f>
        <v>0.98684747608532519</v>
      </c>
      <c r="E7" s="22">
        <v>0.25</v>
      </c>
      <c r="F7" s="37">
        <f>1-E7</f>
        <v>0.75</v>
      </c>
      <c r="G7" s="22">
        <v>0.45</v>
      </c>
      <c r="H7" s="23">
        <f>(C7*D7)*E7*F7*G7</f>
        <v>83265.255794699318</v>
      </c>
      <c r="K7">
        <v>1</v>
      </c>
      <c r="L7" s="51">
        <f>$B$2/12</f>
        <v>1.3327818364443626E-2</v>
      </c>
      <c r="M7" s="13">
        <f>'Tabla de Amorticación'!B12</f>
        <v>1000000</v>
      </c>
      <c r="N7" s="38">
        <f>1/(1+L7)^K7</f>
        <v>0.98684747608532519</v>
      </c>
      <c r="O7" s="52">
        <f>E7</f>
        <v>0.25</v>
      </c>
      <c r="P7" s="52">
        <f>1-O7</f>
        <v>0.75</v>
      </c>
      <c r="Q7" s="52">
        <f>G7</f>
        <v>0.45</v>
      </c>
      <c r="R7" s="13">
        <f>M7*N7*O7*P7*Q7</f>
        <v>83265.255794699318</v>
      </c>
    </row>
    <row r="8" spans="1:18" ht="15.75" thickBot="1">
      <c r="A8" s="24">
        <f>+A7+1</f>
        <v>2</v>
      </c>
      <c r="B8" s="19">
        <f t="shared" ref="B8:B30" si="0">$B$2/12</f>
        <v>1.3327818364443626E-2</v>
      </c>
      <c r="C8" s="20">
        <f>'Tabla de Amorticación'!B13</f>
        <v>962926.52777673525</v>
      </c>
      <c r="D8" s="21">
        <f t="shared" ref="D8:D30" si="1">1/(1+B8)^A8</f>
        <v>0.9738679410559764</v>
      </c>
      <c r="E8" s="22">
        <v>0.25</v>
      </c>
      <c r="F8" s="37">
        <f>F7*(1-E8)</f>
        <v>0.5625</v>
      </c>
      <c r="G8" s="22">
        <v>0.45</v>
      </c>
      <c r="H8" s="23">
        <f t="shared" ref="H8:H30" si="2">(C8*D8)*E8*F8*G8</f>
        <v>59342.832245721002</v>
      </c>
      <c r="K8">
        <v>2</v>
      </c>
      <c r="L8" s="51">
        <f t="shared" ref="L8:L30" si="3">$B$2/12</f>
        <v>1.3327818364443626E-2</v>
      </c>
      <c r="M8" s="13">
        <f>'Tabla de Amorticación'!B13</f>
        <v>962926.52777673525</v>
      </c>
      <c r="N8" s="38">
        <f t="shared" ref="N8:N30" si="4">1/(1+L8)^K8</f>
        <v>0.9738679410559764</v>
      </c>
      <c r="O8" s="52">
        <f t="shared" ref="O8:O30" si="5">E8</f>
        <v>0.25</v>
      </c>
      <c r="P8" s="53">
        <f>P7*(1-O8)</f>
        <v>0.5625</v>
      </c>
      <c r="Q8" s="52">
        <f t="shared" ref="Q8:Q30" si="6">G8</f>
        <v>0.45</v>
      </c>
      <c r="R8" s="13">
        <f t="shared" ref="R8:R30" si="7">M8*N8*O8*P8*Q8</f>
        <v>59342.832245721002</v>
      </c>
    </row>
    <row r="9" spans="1:18" ht="15.75" thickBot="1">
      <c r="A9" s="24">
        <f t="shared" ref="A9:A30" si="8">+A8+1</f>
        <v>3</v>
      </c>
      <c r="B9" s="19">
        <f t="shared" si="0"/>
        <v>1.3327818364443626E-2</v>
      </c>
      <c r="C9" s="20">
        <f>'Tabla de Amorticación'!B14</f>
        <v>925482.32083123794</v>
      </c>
      <c r="D9" s="21">
        <f t="shared" si="1"/>
        <v>0.96105911967150248</v>
      </c>
      <c r="E9" s="22">
        <v>0.25</v>
      </c>
      <c r="F9" s="37">
        <f t="shared" ref="F9:F30" si="9">F8*(1-E9)</f>
        <v>0.421875</v>
      </c>
      <c r="G9" s="22">
        <v>0.45</v>
      </c>
      <c r="H9" s="23">
        <f t="shared" si="2"/>
        <v>42213.809289198223</v>
      </c>
      <c r="K9">
        <v>3</v>
      </c>
      <c r="L9" s="51">
        <f t="shared" si="3"/>
        <v>1.3327818364443626E-2</v>
      </c>
      <c r="M9" s="13">
        <f>'Tabla de Amorticación'!B14</f>
        <v>925482.32083123794</v>
      </c>
      <c r="N9" s="38">
        <f t="shared" si="4"/>
        <v>0.96105911967150248</v>
      </c>
      <c r="O9" s="52">
        <f t="shared" si="5"/>
        <v>0.25</v>
      </c>
      <c r="P9" s="53">
        <f t="shared" ref="P9:P30" si="10">P8*(1-O9)</f>
        <v>0.421875</v>
      </c>
      <c r="Q9" s="52">
        <f t="shared" si="6"/>
        <v>0.45</v>
      </c>
      <c r="R9" s="13">
        <f t="shared" si="7"/>
        <v>42213.809289198223</v>
      </c>
    </row>
    <row r="10" spans="1:18" ht="15.75" thickBot="1">
      <c r="A10" s="24">
        <f t="shared" si="8"/>
        <v>4</v>
      </c>
      <c r="B10" s="19">
        <f t="shared" si="0"/>
        <v>1.3327818364443626E-2</v>
      </c>
      <c r="C10" s="20">
        <f>'Tabla de Amorticación'!B15</f>
        <v>887663.67181628558</v>
      </c>
      <c r="D10" s="21">
        <f t="shared" si="1"/>
        <v>0.94841876661660685</v>
      </c>
      <c r="E10" s="22">
        <v>0.25</v>
      </c>
      <c r="F10" s="37">
        <f t="shared" si="9"/>
        <v>0.31640625</v>
      </c>
      <c r="G10" s="22">
        <v>0.45</v>
      </c>
      <c r="H10" s="23">
        <f t="shared" si="2"/>
        <v>29967.199658940226</v>
      </c>
      <c r="K10">
        <v>4</v>
      </c>
      <c r="L10" s="51">
        <f t="shared" si="3"/>
        <v>1.3327818364443626E-2</v>
      </c>
      <c r="M10" s="13">
        <f>'Tabla de Amorticación'!B15</f>
        <v>887663.67181628558</v>
      </c>
      <c r="N10" s="38">
        <f t="shared" si="4"/>
        <v>0.94841876661660685</v>
      </c>
      <c r="O10" s="52">
        <f t="shared" si="5"/>
        <v>0.25</v>
      </c>
      <c r="P10" s="53">
        <f t="shared" si="10"/>
        <v>0.31640625</v>
      </c>
      <c r="Q10" s="52">
        <f t="shared" si="6"/>
        <v>0.45</v>
      </c>
      <c r="R10" s="13">
        <f t="shared" si="7"/>
        <v>29967.199658940226</v>
      </c>
    </row>
    <row r="11" spans="1:18" ht="15.75" thickBot="1">
      <c r="A11" s="24">
        <f t="shared" si="8"/>
        <v>5</v>
      </c>
      <c r="B11" s="19">
        <f t="shared" si="0"/>
        <v>1.3327818364443626E-2</v>
      </c>
      <c r="C11" s="20">
        <f>'Tabla de Amorticación'!B16</f>
        <v>849466.83631118375</v>
      </c>
      <c r="D11" s="21">
        <f t="shared" si="1"/>
        <v>0.93594466610755533</v>
      </c>
      <c r="E11" s="22">
        <v>0.25</v>
      </c>
      <c r="F11" s="37">
        <f t="shared" si="9"/>
        <v>0.2373046875</v>
      </c>
      <c r="G11" s="22">
        <v>0.45</v>
      </c>
      <c r="H11" s="23">
        <f t="shared" si="2"/>
        <v>21225.37839903952</v>
      </c>
      <c r="K11">
        <v>5</v>
      </c>
      <c r="L11" s="51">
        <f t="shared" si="3"/>
        <v>1.3327818364443626E-2</v>
      </c>
      <c r="M11" s="13">
        <f>'Tabla de Amorticación'!B16</f>
        <v>849466.83631118375</v>
      </c>
      <c r="N11" s="38">
        <f t="shared" si="4"/>
        <v>0.93594466610755533</v>
      </c>
      <c r="O11" s="52">
        <f t="shared" si="5"/>
        <v>0.25</v>
      </c>
      <c r="P11" s="53">
        <f t="shared" si="10"/>
        <v>0.2373046875</v>
      </c>
      <c r="Q11" s="52">
        <f t="shared" si="6"/>
        <v>0.45</v>
      </c>
      <c r="R11" s="13">
        <f t="shared" si="7"/>
        <v>21225.37839903952</v>
      </c>
    </row>
    <row r="12" spans="1:18" ht="15.75" thickBot="1">
      <c r="A12" s="24">
        <f t="shared" si="8"/>
        <v>6</v>
      </c>
      <c r="B12" s="19">
        <f t="shared" si="0"/>
        <v>1.3327818364443626E-2</v>
      </c>
      <c r="C12" s="20">
        <f>'Tabla de Amorticación'!B17</f>
        <v>810888.03245103091</v>
      </c>
      <c r="D12" s="21">
        <f t="shared" si="1"/>
        <v>0.92363463150376357</v>
      </c>
      <c r="E12" s="22">
        <v>0.25</v>
      </c>
      <c r="F12" s="37">
        <f t="shared" si="9"/>
        <v>0.177978515625</v>
      </c>
      <c r="G12" s="22">
        <v>0.45</v>
      </c>
      <c r="H12" s="23">
        <f t="shared" si="2"/>
        <v>14996.199246813494</v>
      </c>
      <c r="K12">
        <v>6</v>
      </c>
      <c r="L12" s="51">
        <f t="shared" si="3"/>
        <v>1.3327818364443626E-2</v>
      </c>
      <c r="M12" s="13">
        <f>'Tabla de Amorticación'!B17</f>
        <v>810888.03245103091</v>
      </c>
      <c r="N12" s="38">
        <f t="shared" si="4"/>
        <v>0.92363463150376357</v>
      </c>
      <c r="O12" s="52">
        <f t="shared" si="5"/>
        <v>0.25</v>
      </c>
      <c r="P12" s="53">
        <f t="shared" si="10"/>
        <v>0.177978515625</v>
      </c>
      <c r="Q12" s="52">
        <f t="shared" si="6"/>
        <v>0.45</v>
      </c>
      <c r="R12" s="13">
        <f t="shared" si="7"/>
        <v>14996.199246813494</v>
      </c>
    </row>
    <row r="13" spans="1:18" ht="15.75" thickBot="1">
      <c r="A13" s="24">
        <f t="shared" si="8"/>
        <v>7</v>
      </c>
      <c r="B13" s="19">
        <f t="shared" si="0"/>
        <v>1.3327818364443626E-2</v>
      </c>
      <c r="C13" s="20">
        <f>'Tabla de Amorticación'!B18</f>
        <v>771923.44055227656</v>
      </c>
      <c r="D13" s="21">
        <f t="shared" si="1"/>
        <v>0.91148650492448824</v>
      </c>
      <c r="E13" s="22">
        <v>0.25</v>
      </c>
      <c r="F13" s="37">
        <f t="shared" si="9"/>
        <v>0.13348388671875</v>
      </c>
      <c r="G13" s="22">
        <v>0.45</v>
      </c>
      <c r="H13" s="23">
        <f t="shared" si="2"/>
        <v>10565.883999416241</v>
      </c>
      <c r="K13">
        <v>7</v>
      </c>
      <c r="L13" s="51">
        <f t="shared" si="3"/>
        <v>1.3327818364443626E-2</v>
      </c>
      <c r="M13" s="13">
        <f>'Tabla de Amorticación'!B18</f>
        <v>771923.44055227656</v>
      </c>
      <c r="N13" s="38">
        <f t="shared" si="4"/>
        <v>0.91148650492448824</v>
      </c>
      <c r="O13" s="52">
        <f t="shared" si="5"/>
        <v>0.25</v>
      </c>
      <c r="P13" s="53">
        <f t="shared" si="10"/>
        <v>0.13348388671875</v>
      </c>
      <c r="Q13" s="52">
        <f t="shared" si="6"/>
        <v>0.45</v>
      </c>
      <c r="R13" s="13">
        <f t="shared" si="7"/>
        <v>10565.883999416241</v>
      </c>
    </row>
    <row r="14" spans="1:18" ht="15.75" thickBot="1">
      <c r="A14" s="24">
        <f t="shared" si="8"/>
        <v>8</v>
      </c>
      <c r="B14" s="19">
        <f t="shared" si="0"/>
        <v>1.3327818364443626E-2</v>
      </c>
      <c r="C14" s="20">
        <f>'Tabla de Amorticación'!B19</f>
        <v>732569.20273453463</v>
      </c>
      <c r="D14" s="21">
        <f t="shared" si="1"/>
        <v>0.89949815687056578</v>
      </c>
      <c r="E14" s="22">
        <v>0.25</v>
      </c>
      <c r="F14" s="37">
        <f t="shared" si="9"/>
        <v>0.1001129150390625</v>
      </c>
      <c r="G14" s="22">
        <v>0.45</v>
      </c>
      <c r="H14" s="23">
        <f t="shared" si="2"/>
        <v>7421.4978215190358</v>
      </c>
      <c r="K14">
        <v>8</v>
      </c>
      <c r="L14" s="51">
        <f t="shared" si="3"/>
        <v>1.3327818364443626E-2</v>
      </c>
      <c r="M14" s="13">
        <f>'Tabla de Amorticación'!B19</f>
        <v>732569.20273453463</v>
      </c>
      <c r="N14" s="38">
        <f t="shared" si="4"/>
        <v>0.89949815687056578</v>
      </c>
      <c r="O14" s="52">
        <f t="shared" si="5"/>
        <v>0.25</v>
      </c>
      <c r="P14" s="53">
        <f t="shared" si="10"/>
        <v>0.1001129150390625</v>
      </c>
      <c r="Q14" s="52">
        <f t="shared" si="6"/>
        <v>0.45</v>
      </c>
      <c r="R14" s="13">
        <f t="shared" si="7"/>
        <v>7421.4978215190358</v>
      </c>
    </row>
    <row r="15" spans="1:18" ht="15.75" thickBot="1">
      <c r="A15" s="24">
        <f t="shared" si="8"/>
        <v>9</v>
      </c>
      <c r="B15" s="19">
        <f t="shared" si="0"/>
        <v>1.3327818364443626E-2</v>
      </c>
      <c r="C15" s="20">
        <f>'Tabla de Amorticación'!B20</f>
        <v>692821.4225386153</v>
      </c>
      <c r="D15" s="21">
        <f t="shared" si="1"/>
        <v>0.88766748585111976</v>
      </c>
      <c r="E15" s="22">
        <v>0.25</v>
      </c>
      <c r="F15" s="37">
        <f t="shared" si="9"/>
        <v>7.5084686279296875E-2</v>
      </c>
      <c r="G15" s="22">
        <v>0.45</v>
      </c>
      <c r="H15" s="23">
        <f t="shared" si="2"/>
        <v>5194.8799216024063</v>
      </c>
      <c r="K15">
        <v>9</v>
      </c>
      <c r="L15" s="51">
        <f t="shared" si="3"/>
        <v>1.3327818364443626E-2</v>
      </c>
      <c r="M15" s="13">
        <f>'Tabla de Amorticación'!B20</f>
        <v>692821.4225386153</v>
      </c>
      <c r="N15" s="38">
        <f t="shared" si="4"/>
        <v>0.88766748585111976</v>
      </c>
      <c r="O15" s="52">
        <f t="shared" si="5"/>
        <v>0.25</v>
      </c>
      <c r="P15" s="53">
        <f t="shared" si="10"/>
        <v>7.5084686279296875E-2</v>
      </c>
      <c r="Q15" s="52">
        <f t="shared" si="6"/>
        <v>0.45</v>
      </c>
      <c r="R15" s="13">
        <f t="shared" si="7"/>
        <v>5194.8799216024063</v>
      </c>
    </row>
    <row r="16" spans="1:18" ht="15.75" thickBot="1">
      <c r="A16" s="24">
        <f t="shared" si="8"/>
        <v>10</v>
      </c>
      <c r="B16" s="19">
        <f t="shared" si="0"/>
        <v>1.3327818364443626E-2</v>
      </c>
      <c r="C16" s="20">
        <f>'Tabla de Amorticación'!B21</f>
        <v>652676.1645407367</v>
      </c>
      <c r="D16" s="21">
        <f t="shared" si="1"/>
        <v>0.87599241801518357</v>
      </c>
      <c r="E16" s="22">
        <v>0.25</v>
      </c>
      <c r="F16" s="37">
        <f t="shared" si="9"/>
        <v>5.6313514709472656E-2</v>
      </c>
      <c r="G16" s="22">
        <v>0.45</v>
      </c>
      <c r="H16" s="23">
        <f t="shared" si="2"/>
        <v>3622.1235198924414</v>
      </c>
      <c r="K16">
        <v>10</v>
      </c>
      <c r="L16" s="51">
        <f t="shared" si="3"/>
        <v>1.3327818364443626E-2</v>
      </c>
      <c r="M16" s="13">
        <f>'Tabla de Amorticación'!B21</f>
        <v>652676.1645407367</v>
      </c>
      <c r="N16" s="38">
        <f t="shared" si="4"/>
        <v>0.87599241801518357</v>
      </c>
      <c r="O16" s="52">
        <f t="shared" si="5"/>
        <v>0.25</v>
      </c>
      <c r="P16" s="53">
        <f t="shared" si="10"/>
        <v>5.6313514709472656E-2</v>
      </c>
      <c r="Q16" s="52">
        <f t="shared" si="6"/>
        <v>0.45</v>
      </c>
      <c r="R16" s="13">
        <f t="shared" si="7"/>
        <v>3622.1235198924414</v>
      </c>
    </row>
    <row r="17" spans="1:18" ht="15.75" thickBot="1">
      <c r="A17" s="24">
        <f t="shared" si="8"/>
        <v>11</v>
      </c>
      <c r="B17" s="19">
        <f t="shared" si="0"/>
        <v>1.3327818364443626E-2</v>
      </c>
      <c r="C17" s="20">
        <f>'Tabla de Amorticación'!B22</f>
        <v>612129.45396287937</v>
      </c>
      <c r="D17" s="21">
        <f t="shared" si="1"/>
        <v>0.86447090678816485</v>
      </c>
      <c r="E17" s="22">
        <v>0.25</v>
      </c>
      <c r="F17" s="37">
        <f t="shared" si="9"/>
        <v>4.2235136032104492E-2</v>
      </c>
      <c r="G17" s="22">
        <v>0.45</v>
      </c>
      <c r="H17" s="23">
        <f t="shared" si="2"/>
        <v>2514.3172719933327</v>
      </c>
      <c r="K17">
        <v>11</v>
      </c>
      <c r="L17" s="51">
        <f t="shared" si="3"/>
        <v>1.3327818364443626E-2</v>
      </c>
      <c r="M17" s="13">
        <f>'Tabla de Amorticación'!B22</f>
        <v>612129.45396287937</v>
      </c>
      <c r="N17" s="38">
        <f t="shared" si="4"/>
        <v>0.86447090678816485</v>
      </c>
      <c r="O17" s="52">
        <f t="shared" si="5"/>
        <v>0.25</v>
      </c>
      <c r="P17" s="53">
        <f t="shared" si="10"/>
        <v>4.2235136032104492E-2</v>
      </c>
      <c r="Q17" s="52">
        <f t="shared" si="6"/>
        <v>0.45</v>
      </c>
      <c r="R17" s="13">
        <f t="shared" si="7"/>
        <v>2514.3172719933327</v>
      </c>
    </row>
    <row r="18" spans="1:18" ht="15.75" thickBot="1">
      <c r="A18" s="24">
        <f t="shared" si="8"/>
        <v>12</v>
      </c>
      <c r="B18" s="19">
        <f t="shared" si="0"/>
        <v>1.3327818364443626E-2</v>
      </c>
      <c r="C18" s="20">
        <f>'Tabla de Amorticación'!B23</f>
        <v>571177.27627924341</v>
      </c>
      <c r="D18" s="21">
        <f t="shared" si="1"/>
        <v>0.85310093251309305</v>
      </c>
      <c r="E18" s="22">
        <v>0.25</v>
      </c>
      <c r="F18" s="37">
        <f t="shared" si="9"/>
        <v>3.1676352024078369E-2</v>
      </c>
      <c r="G18" s="22">
        <v>0.45</v>
      </c>
      <c r="H18" s="23">
        <f t="shared" si="2"/>
        <v>1736.4369590196354</v>
      </c>
      <c r="K18">
        <v>12</v>
      </c>
      <c r="L18" s="51">
        <f t="shared" si="3"/>
        <v>1.3327818364443626E-2</v>
      </c>
      <c r="M18" s="13">
        <f>'Tabla de Amorticación'!B23</f>
        <v>571177.27627924341</v>
      </c>
      <c r="N18" s="38">
        <f t="shared" si="4"/>
        <v>0.85310093251309305</v>
      </c>
      <c r="O18" s="52">
        <f t="shared" si="5"/>
        <v>0.25</v>
      </c>
      <c r="P18" s="53">
        <f t="shared" si="10"/>
        <v>3.1676352024078369E-2</v>
      </c>
      <c r="Q18" s="52">
        <f t="shared" si="6"/>
        <v>0.45</v>
      </c>
      <c r="R18" s="13">
        <f t="shared" si="7"/>
        <v>1736.4369590196354</v>
      </c>
    </row>
    <row r="19" spans="1:18" ht="15.75" thickBot="1">
      <c r="A19" s="24">
        <f t="shared" si="8"/>
        <v>13</v>
      </c>
      <c r="B19" s="19">
        <f t="shared" si="0"/>
        <v>1.3327818364443626E-2</v>
      </c>
      <c r="C19" s="20">
        <f>'Tabla de Amorticación'!B24</f>
        <v>529815.57681877119</v>
      </c>
      <c r="D19" s="21">
        <f t="shared" si="1"/>
        <v>0.84188050209658316</v>
      </c>
      <c r="E19" s="22">
        <v>0.25</v>
      </c>
      <c r="F19" s="37">
        <f t="shared" si="9"/>
        <v>2.3757264018058777E-2</v>
      </c>
      <c r="G19" s="22">
        <v>0.45</v>
      </c>
      <c r="H19" s="23">
        <f t="shared" si="2"/>
        <v>1192.1313818017536</v>
      </c>
      <c r="K19">
        <v>13</v>
      </c>
      <c r="L19" s="51">
        <f t="shared" si="3"/>
        <v>1.3327818364443626E-2</v>
      </c>
      <c r="M19" s="13">
        <f>'Tabla de Amorticación'!B24</f>
        <v>529815.57681877119</v>
      </c>
      <c r="N19" s="38">
        <f t="shared" si="4"/>
        <v>0.84188050209658316</v>
      </c>
      <c r="O19" s="52">
        <f t="shared" si="5"/>
        <v>0.25</v>
      </c>
      <c r="P19" s="53">
        <f t="shared" si="10"/>
        <v>2.3757264018058777E-2</v>
      </c>
      <c r="Q19" s="52">
        <f t="shared" si="6"/>
        <v>0.45</v>
      </c>
      <c r="R19" s="13">
        <f t="shared" si="7"/>
        <v>1192.1313818017536</v>
      </c>
    </row>
    <row r="20" spans="1:18" ht="15.75" thickBot="1">
      <c r="A20" s="24">
        <f t="shared" si="8"/>
        <v>14</v>
      </c>
      <c r="B20" s="19">
        <f t="shared" si="0"/>
        <v>1.3327818364443626E-2</v>
      </c>
      <c r="C20" s="20">
        <f>'Tabla de Amorticación'!B25</f>
        <v>488040.26036369422</v>
      </c>
      <c r="D20" s="21">
        <f t="shared" si="1"/>
        <v>0.83080764865945955</v>
      </c>
      <c r="E20" s="22">
        <v>0.25</v>
      </c>
      <c r="F20" s="37">
        <f t="shared" si="9"/>
        <v>1.7817948013544083E-2</v>
      </c>
      <c r="G20" s="22">
        <v>0.45</v>
      </c>
      <c r="H20" s="23">
        <f t="shared" si="2"/>
        <v>812.76753176505406</v>
      </c>
      <c r="K20">
        <v>14</v>
      </c>
      <c r="L20" s="51">
        <f t="shared" si="3"/>
        <v>1.3327818364443626E-2</v>
      </c>
      <c r="M20" s="13">
        <f>'Tabla de Amorticación'!B25</f>
        <v>488040.26036369422</v>
      </c>
      <c r="N20" s="38">
        <f t="shared" si="4"/>
        <v>0.83080764865945955</v>
      </c>
      <c r="O20" s="52">
        <f t="shared" si="5"/>
        <v>0.25</v>
      </c>
      <c r="P20" s="53">
        <f t="shared" si="10"/>
        <v>1.7817948013544083E-2</v>
      </c>
      <c r="Q20" s="52">
        <f t="shared" si="6"/>
        <v>0.45</v>
      </c>
      <c r="R20" s="13">
        <f t="shared" si="7"/>
        <v>812.76753176505406</v>
      </c>
    </row>
    <row r="21" spans="1:18" ht="15.75" thickBot="1">
      <c r="A21" s="24">
        <f t="shared" si="8"/>
        <v>15</v>
      </c>
      <c r="B21" s="19">
        <f t="shared" si="0"/>
        <v>1.3327818364443626E-2</v>
      </c>
      <c r="C21" s="20">
        <f>'Tabla de Amorticación'!B26</f>
        <v>445847.19074406644</v>
      </c>
      <c r="D21" s="21">
        <f t="shared" si="1"/>
        <v>0.81988043119197096</v>
      </c>
      <c r="E21" s="22">
        <v>0.25</v>
      </c>
      <c r="F21" s="37">
        <f t="shared" si="9"/>
        <v>1.3363461010158062E-2</v>
      </c>
      <c r="G21" s="22">
        <v>0.45</v>
      </c>
      <c r="H21" s="23">
        <f t="shared" si="2"/>
        <v>549.55103317646729</v>
      </c>
      <c r="K21">
        <v>15</v>
      </c>
      <c r="L21" s="51">
        <f t="shared" si="3"/>
        <v>1.3327818364443626E-2</v>
      </c>
      <c r="M21" s="13">
        <f>'Tabla de Amorticación'!B26</f>
        <v>445847.19074406644</v>
      </c>
      <c r="N21" s="38">
        <f t="shared" si="4"/>
        <v>0.81988043119197096</v>
      </c>
      <c r="O21" s="52">
        <f t="shared" si="5"/>
        <v>0.25</v>
      </c>
      <c r="P21" s="53">
        <f t="shared" si="10"/>
        <v>1.3363461010158062E-2</v>
      </c>
      <c r="Q21" s="52">
        <f t="shared" si="6"/>
        <v>0.45</v>
      </c>
      <c r="R21" s="13">
        <f t="shared" si="7"/>
        <v>549.55103317646729</v>
      </c>
    </row>
    <row r="22" spans="1:18" ht="15.75" thickBot="1">
      <c r="A22" s="24">
        <f t="shared" si="8"/>
        <v>16</v>
      </c>
      <c r="B22" s="19">
        <f t="shared" si="0"/>
        <v>1.3327818364443626E-2</v>
      </c>
      <c r="C22" s="20">
        <f>'Tabla de Amorticación'!B27</f>
        <v>403232.19042824238</v>
      </c>
      <c r="D22" s="21">
        <f t="shared" si="1"/>
        <v>0.80909693421354489</v>
      </c>
      <c r="E22" s="22">
        <v>0.25</v>
      </c>
      <c r="F22" s="37">
        <f t="shared" si="9"/>
        <v>1.0022595757618546E-2</v>
      </c>
      <c r="G22" s="22">
        <v>0.45</v>
      </c>
      <c r="H22" s="23">
        <f t="shared" si="2"/>
        <v>367.86501508724814</v>
      </c>
      <c r="K22">
        <v>16</v>
      </c>
      <c r="L22" s="51">
        <f t="shared" si="3"/>
        <v>1.3327818364443626E-2</v>
      </c>
      <c r="M22" s="13">
        <f>'Tabla de Amorticación'!B27</f>
        <v>403232.19042824238</v>
      </c>
      <c r="N22" s="38">
        <f t="shared" si="4"/>
        <v>0.80909693421354489</v>
      </c>
      <c r="O22" s="52">
        <f t="shared" si="5"/>
        <v>0.25</v>
      </c>
      <c r="P22" s="53">
        <f t="shared" si="10"/>
        <v>1.0022595757618546E-2</v>
      </c>
      <c r="Q22" s="52">
        <f t="shared" si="6"/>
        <v>0.45</v>
      </c>
      <c r="R22" s="13">
        <f t="shared" si="7"/>
        <v>367.86501508724814</v>
      </c>
    </row>
    <row r="23" spans="1:18" ht="15.75" thickBot="1">
      <c r="A23" s="24">
        <f t="shared" si="8"/>
        <v>17</v>
      </c>
      <c r="B23" s="19">
        <f t="shared" si="0"/>
        <v>1.3327818364443626E-2</v>
      </c>
      <c r="C23" s="20">
        <f>'Tabla de Amorticación'!B28</f>
        <v>360191.04010926012</v>
      </c>
      <c r="D23" s="21">
        <f t="shared" si="1"/>
        <v>0.79845526743701123</v>
      </c>
      <c r="E23" s="22">
        <v>0.25</v>
      </c>
      <c r="F23" s="37">
        <f t="shared" si="9"/>
        <v>7.5169468182139099E-3</v>
      </c>
      <c r="G23" s="22">
        <v>0.45</v>
      </c>
      <c r="H23" s="23">
        <f t="shared" si="2"/>
        <v>243.2077980654168</v>
      </c>
      <c r="K23">
        <v>17</v>
      </c>
      <c r="L23" s="51">
        <f t="shared" si="3"/>
        <v>1.3327818364443626E-2</v>
      </c>
      <c r="M23" s="13">
        <f>'Tabla de Amorticación'!B28</f>
        <v>360191.04010926012</v>
      </c>
      <c r="N23" s="38">
        <f t="shared" si="4"/>
        <v>0.79845526743701123</v>
      </c>
      <c r="O23" s="52">
        <f t="shared" si="5"/>
        <v>0.25</v>
      </c>
      <c r="P23" s="53">
        <f t="shared" si="10"/>
        <v>7.5169468182139099E-3</v>
      </c>
      <c r="Q23" s="52">
        <f t="shared" si="6"/>
        <v>0.45</v>
      </c>
      <c r="R23" s="13">
        <f t="shared" si="7"/>
        <v>243.2077980654168</v>
      </c>
    </row>
    <row r="24" spans="1:18" ht="15.75" thickBot="1">
      <c r="A24" s="24">
        <f t="shared" si="8"/>
        <v>18</v>
      </c>
      <c r="B24" s="19">
        <f t="shared" si="0"/>
        <v>1.3327818364443626E-2</v>
      </c>
      <c r="C24" s="20">
        <f>'Tabla de Amorticación'!B29</f>
        <v>316719.47828708804</v>
      </c>
      <c r="D24" s="21">
        <f t="shared" si="1"/>
        <v>0.78795356543724782</v>
      </c>
      <c r="E24" s="22">
        <v>0.25</v>
      </c>
      <c r="F24" s="37">
        <f t="shared" si="9"/>
        <v>5.6377101136604324E-3</v>
      </c>
      <c r="G24" s="22">
        <v>0.45</v>
      </c>
      <c r="H24" s="23">
        <f t="shared" si="2"/>
        <v>158.28168388404268</v>
      </c>
      <c r="K24">
        <v>18</v>
      </c>
      <c r="L24" s="51">
        <f t="shared" si="3"/>
        <v>1.3327818364443626E-2</v>
      </c>
      <c r="M24" s="13">
        <f>'Tabla de Amorticación'!B29</f>
        <v>316719.47828708804</v>
      </c>
      <c r="N24" s="38">
        <f t="shared" si="4"/>
        <v>0.78795356543724782</v>
      </c>
      <c r="O24" s="52">
        <f t="shared" si="5"/>
        <v>0.25</v>
      </c>
      <c r="P24" s="53">
        <f t="shared" si="10"/>
        <v>5.6377101136604324E-3</v>
      </c>
      <c r="Q24" s="52">
        <f t="shared" si="6"/>
        <v>0.45</v>
      </c>
      <c r="R24" s="13">
        <f t="shared" si="7"/>
        <v>158.28168388404268</v>
      </c>
    </row>
    <row r="25" spans="1:18" ht="15.75" thickBot="1">
      <c r="A25" s="24">
        <f t="shared" si="8"/>
        <v>19</v>
      </c>
      <c r="B25" s="19">
        <f t="shared" si="0"/>
        <v>1.3327818364443626E-2</v>
      </c>
      <c r="C25" s="20">
        <f>'Tabla de Amorticación'!B30</f>
        <v>272813.20084669424</v>
      </c>
      <c r="D25" s="21">
        <f t="shared" si="1"/>
        <v>0.77758998732418105</v>
      </c>
      <c r="E25" s="22">
        <v>0.25</v>
      </c>
      <c r="F25" s="37">
        <f t="shared" si="9"/>
        <v>4.2282825852453243E-3</v>
      </c>
      <c r="G25" s="22">
        <v>0.45</v>
      </c>
      <c r="H25" s="23">
        <f t="shared" si="2"/>
        <v>100.90961929563477</v>
      </c>
      <c r="K25">
        <v>19</v>
      </c>
      <c r="L25" s="51">
        <f t="shared" si="3"/>
        <v>1.3327818364443626E-2</v>
      </c>
      <c r="M25" s="13">
        <f>'Tabla de Amorticación'!B30</f>
        <v>272813.20084669424</v>
      </c>
      <c r="N25" s="38">
        <f t="shared" si="4"/>
        <v>0.77758998732418105</v>
      </c>
      <c r="O25" s="52">
        <f t="shared" si="5"/>
        <v>0.25</v>
      </c>
      <c r="P25" s="53">
        <f t="shared" si="10"/>
        <v>4.2282825852453243E-3</v>
      </c>
      <c r="Q25" s="52">
        <f t="shared" si="6"/>
        <v>0.45</v>
      </c>
      <c r="R25" s="13">
        <f t="shared" si="7"/>
        <v>100.90961929563477</v>
      </c>
    </row>
    <row r="26" spans="1:18" ht="15.75" thickBot="1">
      <c r="A26" s="24">
        <f t="shared" si="8"/>
        <v>20</v>
      </c>
      <c r="B26" s="19">
        <f t="shared" si="0"/>
        <v>1.3327818364443626E-2</v>
      </c>
      <c r="C26" s="20">
        <f>'Tabla de Amorticación'!B31</f>
        <v>228467.86063189647</v>
      </c>
      <c r="D26" s="21">
        <f t="shared" si="1"/>
        <v>0.76736271642008813</v>
      </c>
      <c r="E26" s="22">
        <v>0.25</v>
      </c>
      <c r="F26" s="37">
        <f t="shared" si="9"/>
        <v>3.1712119389339932E-3</v>
      </c>
      <c r="G26" s="22">
        <v>0.45</v>
      </c>
      <c r="H26" s="23">
        <f t="shared" si="2"/>
        <v>62.54658460140061</v>
      </c>
      <c r="K26">
        <v>20</v>
      </c>
      <c r="L26" s="51">
        <f t="shared" si="3"/>
        <v>1.3327818364443626E-2</v>
      </c>
      <c r="M26" s="13">
        <f>'Tabla de Amorticación'!B31</f>
        <v>228467.86063189647</v>
      </c>
      <c r="N26" s="38">
        <f t="shared" si="4"/>
        <v>0.76736271642008813</v>
      </c>
      <c r="O26" s="52">
        <f t="shared" si="5"/>
        <v>0.25</v>
      </c>
      <c r="P26" s="53">
        <f t="shared" si="10"/>
        <v>3.1712119389339932E-3</v>
      </c>
      <c r="Q26" s="52">
        <f t="shared" si="6"/>
        <v>0.45</v>
      </c>
      <c r="R26" s="13">
        <f t="shared" si="7"/>
        <v>62.54658460140061</v>
      </c>
    </row>
    <row r="27" spans="1:18" ht="15.75" thickBot="1">
      <c r="A27" s="24">
        <f t="shared" si="8"/>
        <v>21</v>
      </c>
      <c r="B27" s="19">
        <f t="shared" si="0"/>
        <v>1.3327818364443626E-2</v>
      </c>
      <c r="C27" s="20">
        <f>'Tabla de Amorticación'!B32</f>
        <v>183679.06701495074</v>
      </c>
      <c r="D27" s="21">
        <f t="shared" si="1"/>
        <v>0.7572699599411431</v>
      </c>
      <c r="E27" s="22">
        <v>0.25</v>
      </c>
      <c r="F27" s="37">
        <f t="shared" si="9"/>
        <v>2.3784089542004949E-3</v>
      </c>
      <c r="G27" s="22">
        <v>0.45</v>
      </c>
      <c r="H27" s="23">
        <f t="shared" si="2"/>
        <v>37.217692866642999</v>
      </c>
      <c r="K27">
        <v>21</v>
      </c>
      <c r="L27" s="51">
        <f t="shared" si="3"/>
        <v>1.3327818364443626E-2</v>
      </c>
      <c r="M27" s="13">
        <f>'Tabla de Amorticación'!B32</f>
        <v>183679.06701495074</v>
      </c>
      <c r="N27" s="38">
        <f t="shared" si="4"/>
        <v>0.7572699599411431</v>
      </c>
      <c r="O27" s="52">
        <f t="shared" si="5"/>
        <v>0.25</v>
      </c>
      <c r="P27" s="53">
        <f t="shared" si="10"/>
        <v>2.3784089542004949E-3</v>
      </c>
      <c r="Q27" s="52">
        <f t="shared" si="6"/>
        <v>0.45</v>
      </c>
      <c r="R27" s="13">
        <f t="shared" si="7"/>
        <v>37.217692866642999</v>
      </c>
    </row>
    <row r="28" spans="1:18" ht="15.75" thickBot="1">
      <c r="A28" s="24">
        <f t="shared" si="8"/>
        <v>22</v>
      </c>
      <c r="B28" s="19">
        <f t="shared" si="0"/>
        <v>1.3327818364443626E-2</v>
      </c>
      <c r="C28" s="20">
        <f>'Tabla de Amorticación'!B33</f>
        <v>138442.38546183554</v>
      </c>
      <c r="D28" s="21">
        <f t="shared" si="1"/>
        <v>0.74730994868315237</v>
      </c>
      <c r="E28" s="22">
        <v>0.25</v>
      </c>
      <c r="F28" s="37">
        <f t="shared" si="9"/>
        <v>1.7838067156503712E-3</v>
      </c>
      <c r="G28" s="22">
        <v>0.45</v>
      </c>
      <c r="H28" s="23">
        <f t="shared" si="2"/>
        <v>20.762046284183707</v>
      </c>
      <c r="K28">
        <v>22</v>
      </c>
      <c r="L28" s="51">
        <f t="shared" si="3"/>
        <v>1.3327818364443626E-2</v>
      </c>
      <c r="M28" s="13">
        <f>'Tabla de Amorticación'!B33</f>
        <v>138442.38546183554</v>
      </c>
      <c r="N28" s="38">
        <f t="shared" si="4"/>
        <v>0.74730994868315237</v>
      </c>
      <c r="O28" s="52">
        <f t="shared" si="5"/>
        <v>0.25</v>
      </c>
      <c r="P28" s="53">
        <f t="shared" si="10"/>
        <v>1.7838067156503712E-3</v>
      </c>
      <c r="Q28" s="52">
        <f t="shared" si="6"/>
        <v>0.45</v>
      </c>
      <c r="R28" s="13">
        <f t="shared" si="7"/>
        <v>20.762046284183707</v>
      </c>
    </row>
    <row r="29" spans="1:18" ht="15.75" thickBot="1">
      <c r="A29" s="24">
        <f t="shared" si="8"/>
        <v>23</v>
      </c>
      <c r="B29" s="19">
        <f t="shared" si="0"/>
        <v>1.3327818364443626E-2</v>
      </c>
      <c r="C29" s="20">
        <f>'Tabla de Amorticación'!B34</f>
        <v>92753.337093189184</v>
      </c>
      <c r="D29" s="21">
        <f t="shared" si="1"/>
        <v>0.73748093671142267</v>
      </c>
      <c r="E29" s="22">
        <v>0.25</v>
      </c>
      <c r="F29" s="37">
        <f t="shared" si="9"/>
        <v>1.3378550367377784E-3</v>
      </c>
      <c r="G29" s="22">
        <v>0.45</v>
      </c>
      <c r="H29" s="23">
        <f t="shared" si="2"/>
        <v>10.295369138231811</v>
      </c>
      <c r="K29">
        <v>23</v>
      </c>
      <c r="L29" s="51">
        <f t="shared" si="3"/>
        <v>1.3327818364443626E-2</v>
      </c>
      <c r="M29" s="13">
        <f>'Tabla de Amorticación'!B34</f>
        <v>92753.337093189184</v>
      </c>
      <c r="N29" s="38">
        <f t="shared" si="4"/>
        <v>0.73748093671142267</v>
      </c>
      <c r="O29" s="52">
        <f t="shared" si="5"/>
        <v>0.25</v>
      </c>
      <c r="P29" s="53">
        <f t="shared" si="10"/>
        <v>1.3378550367377784E-3</v>
      </c>
      <c r="Q29" s="52">
        <f t="shared" si="6"/>
        <v>0.45</v>
      </c>
      <c r="R29" s="13">
        <f t="shared" si="7"/>
        <v>10.295369138231811</v>
      </c>
    </row>
    <row r="30" spans="1:18" ht="15.75" thickBot="1">
      <c r="A30" s="24">
        <f t="shared" si="8"/>
        <v>24</v>
      </c>
      <c r="B30" s="19">
        <f t="shared" si="0"/>
        <v>1.3327818364443626E-2</v>
      </c>
      <c r="C30" s="20">
        <f>'Tabla de Amorticación'!B35</f>
        <v>46607.398240856375</v>
      </c>
      <c r="D30" s="21">
        <f t="shared" si="1"/>
        <v>0.727781201054709</v>
      </c>
      <c r="E30" s="22">
        <v>0.25</v>
      </c>
      <c r="F30" s="37">
        <f t="shared" si="9"/>
        <v>1.0033912775533338E-3</v>
      </c>
      <c r="G30" s="22">
        <v>0.45</v>
      </c>
      <c r="H30" s="23">
        <f t="shared" si="2"/>
        <v>3.8289397910168463</v>
      </c>
      <c r="K30">
        <v>24</v>
      </c>
      <c r="L30" s="51">
        <f t="shared" si="3"/>
        <v>1.3327818364443626E-2</v>
      </c>
      <c r="M30" s="13">
        <f>'Tabla de Amorticación'!B35</f>
        <v>46607.398240856375</v>
      </c>
      <c r="N30" s="38">
        <f t="shared" si="4"/>
        <v>0.727781201054709</v>
      </c>
      <c r="O30" s="52">
        <f t="shared" si="5"/>
        <v>0.25</v>
      </c>
      <c r="P30" s="53">
        <f t="shared" si="10"/>
        <v>1.0033912775533338E-3</v>
      </c>
      <c r="Q30" s="52">
        <f t="shared" si="6"/>
        <v>0.45</v>
      </c>
      <c r="R30" s="13">
        <f t="shared" si="7"/>
        <v>3.8289397910168463</v>
      </c>
    </row>
    <row r="31" spans="1:18" ht="15.75" thickBot="1"/>
    <row r="32" spans="1:18" ht="14.45" customHeight="1">
      <c r="F32" s="54" t="s">
        <v>28</v>
      </c>
      <c r="G32" s="55"/>
      <c r="H32" s="56">
        <f>SUM(H7:H30)</f>
        <v>285625.17882361193</v>
      </c>
    </row>
    <row r="33" spans="6:8" ht="15.75" thickBot="1">
      <c r="F33" s="54"/>
      <c r="G33" s="55"/>
      <c r="H33" s="57"/>
    </row>
    <row r="34" spans="6:8" ht="15.75" thickBot="1">
      <c r="H34" s="38">
        <f>H32/C7</f>
        <v>0.28562517882361194</v>
      </c>
    </row>
    <row r="35" spans="6:8">
      <c r="F35" s="54" t="s">
        <v>29</v>
      </c>
      <c r="G35" s="55"/>
      <c r="H35" s="56">
        <f>SUM(H7:H18)</f>
        <v>282065.81412785489</v>
      </c>
    </row>
    <row r="36" spans="6:8" ht="15.75" thickBot="1">
      <c r="F36" s="54"/>
      <c r="G36" s="55"/>
      <c r="H36" s="57"/>
    </row>
    <row r="37" spans="6:8">
      <c r="H37" s="38">
        <f>H35/C7</f>
        <v>0.28206581412785486</v>
      </c>
    </row>
  </sheetData>
  <mergeCells count="6">
    <mergeCell ref="F35:G36"/>
    <mergeCell ref="H35:H36"/>
    <mergeCell ref="H32:H33"/>
    <mergeCell ref="F32:G33"/>
    <mergeCell ref="F1:J2"/>
    <mergeCell ref="H3:K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de Amorticación</vt:lpstr>
      <vt:lpstr>Modelo de Supervivencia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Ferrer Luis Noe</dc:creator>
  <cp:lastModifiedBy>Luis Noe Torres Ferrer</cp:lastModifiedBy>
  <dcterms:created xsi:type="dcterms:W3CDTF">2022-05-13T01:13:41Z</dcterms:created>
  <dcterms:modified xsi:type="dcterms:W3CDTF">2025-05-26T03:38:29Z</dcterms:modified>
</cp:coreProperties>
</file>